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3"/>
  <workbookPr codeName="ThisWorkbook" autoCompressPictures="0"/>
  <mc:AlternateContent xmlns:mc="http://schemas.openxmlformats.org/markup-compatibility/2006">
    <mc:Choice Requires="x15">
      <x15ac:absPath xmlns:x15ac="http://schemas.microsoft.com/office/spreadsheetml/2010/11/ac" url="/Volumes/Zakelijk/PGW Advies/Accounts/Spaarnelanden/EU SMO 2025/"/>
    </mc:Choice>
  </mc:AlternateContent>
  <xr:revisionPtr revIDLastSave="0" documentId="8_{59C49D04-4ADE-6D48-92CA-108283782C55}" xr6:coauthVersionLast="47" xr6:coauthVersionMax="47" xr10:uidLastSave="{00000000-0000-0000-0000-000000000000}"/>
  <bookViews>
    <workbookView xWindow="0" yWindow="1040" windowWidth="39980" windowHeight="20260" tabRatio="763" activeTab="8" xr2:uid="{00000000-000D-0000-FFFF-FFFF00000000}"/>
  </bookViews>
  <sheets>
    <sheet name="Toelichting calculatiemodel" sheetId="21" r:id="rId1"/>
    <sheet name="Toelichting mutaties" sheetId="51" state="hidden" r:id="rId2"/>
    <sheet name="Mutaties" sheetId="41" state="hidden" r:id="rId3"/>
    <sheet name="1-Totaaloverzicht" sheetId="24" r:id="rId4"/>
    <sheet name="Inschrijving" sheetId="46" state="hidden" r:id="rId5"/>
    <sheet name="2-Tarieven" sheetId="31" r:id="rId6"/>
    <sheet name="3A-Prestatie" sheetId="1" r:id="rId7"/>
    <sheet name="3B-Prestaties vloeren" sheetId="34" r:id="rId8"/>
    <sheet name="4-Basis ruimtestaat" sheetId="33" r:id="rId9"/>
    <sheet name="4a-KST" sheetId="42" r:id="rId10"/>
    <sheet name="4b Glasbewassing " sheetId="52" r:id="rId11"/>
    <sheet name="5-Opbouw uurtarieven" sheetId="18" r:id="rId12"/>
    <sheet name="6-Afroepprijs" sheetId="30" r:id="rId13"/>
    <sheet name="7 - Toelichting vloeronderhoud" sheetId="35" r:id="rId14"/>
  </sheets>
  <externalReferences>
    <externalReference r:id="rId15"/>
    <externalReference r:id="rId16"/>
    <externalReference r:id="rId17"/>
    <externalReference r:id="rId18"/>
    <externalReference r:id="rId19"/>
    <externalReference r:id="rId20"/>
  </externalReferences>
  <definedNames>
    <definedName name="_1_0_F" localSheetId="7" hidden="1">#REF!</definedName>
    <definedName name="_1_0_F" localSheetId="8" hidden="1">#REF!</definedName>
    <definedName name="_1_0_F" localSheetId="10" hidden="1">[1]Blad1!#REF!</definedName>
    <definedName name="_1_0_F" localSheetId="12" hidden="1">#REF!</definedName>
    <definedName name="_1_0_F" localSheetId="2" hidden="1">#REF!</definedName>
    <definedName name="_1_0_F" hidden="1">#REF!</definedName>
    <definedName name="_1F" hidden="1">#REF!</definedName>
    <definedName name="_2_0_F" hidden="1">#REF!</definedName>
    <definedName name="_Dist_Bin" hidden="1">#REF!</definedName>
    <definedName name="_Dist_Values" hidden="1">#REF!</definedName>
    <definedName name="_Fill" localSheetId="7" hidden="1">#REF!</definedName>
    <definedName name="_Fill" localSheetId="8" hidden="1">#REF!</definedName>
    <definedName name="_Fill" localSheetId="10" hidden="1">'[2]#REF'!#REF!</definedName>
    <definedName name="_Fill" localSheetId="12" hidden="1">#REF!</definedName>
    <definedName name="_Fill" localSheetId="2" hidden="1">#REF!</definedName>
    <definedName name="_Fill" hidden="1">#REF!</definedName>
    <definedName name="_xlnm._FilterDatabase" localSheetId="3" hidden="1">'1-Totaaloverzicht'!$A$1:$K$14</definedName>
    <definedName name="_xlnm._FilterDatabase" localSheetId="6" hidden="1">'3A-Prestatie'!$A$1:$M$22</definedName>
    <definedName name="_xlnm._FilterDatabase" localSheetId="7" hidden="1">'3B-Prestaties vloeren'!$A$27:$T$118</definedName>
    <definedName name="_xlnm._FilterDatabase" localSheetId="8" hidden="1">'4-Basis ruimtestaat'!$A$1:$Z$438</definedName>
    <definedName name="_xlnm._FilterDatabase" localSheetId="9" hidden="1">'4a-KST'!$A$1:$E$10</definedName>
    <definedName name="_xlnm._FilterDatabase" localSheetId="13" hidden="1">'7 - Toelichting vloeronderhoud'!$A$4:$D$59</definedName>
    <definedName name="_xlnm._FilterDatabase" localSheetId="2" hidden="1">Mutaties!$A$3:$W$3</definedName>
    <definedName name="_Key1" localSheetId="7" hidden="1">#REF!</definedName>
    <definedName name="_Key1" localSheetId="8" hidden="1">#REF!</definedName>
    <definedName name="_Key1" localSheetId="10" hidden="1">'[2]#REF'!#REF!</definedName>
    <definedName name="_Key1" localSheetId="12" hidden="1">#REF!</definedName>
    <definedName name="_Key1" localSheetId="2" hidden="1">#REF!</definedName>
    <definedName name="_Key1" hidden="1">#REF!</definedName>
    <definedName name="_Key2" localSheetId="7" hidden="1">#REF!</definedName>
    <definedName name="_Key2" localSheetId="8" hidden="1">#REF!</definedName>
    <definedName name="_Key2" localSheetId="2" hidden="1">#REF!</definedName>
    <definedName name="_Key2" hidden="1">#REF!</definedName>
    <definedName name="_Order1" hidden="1">255</definedName>
    <definedName name="_Order2" hidden="1">255</definedName>
    <definedName name="_Sort" localSheetId="7" hidden="1">#REF!</definedName>
    <definedName name="_Sort" localSheetId="8"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_xlnm.Print_Area" localSheetId="3">'1-Totaaloverzicht'!$A$1:$K$14</definedName>
    <definedName name="_xlnm.Print_Area" localSheetId="5">'2-Tarieven'!$A$1:$J$30</definedName>
    <definedName name="_xlnm.Print_Area" localSheetId="6">'3A-Prestatie'!$A$1:$M$22</definedName>
    <definedName name="_xlnm.Print_Area" localSheetId="7">'3B-Prestaties vloeren'!#REF!</definedName>
    <definedName name="_xlnm.Print_Area" localSheetId="8">'4-Basis ruimtestaat'!$B$1:$G$1</definedName>
    <definedName name="_xlnm.Print_Area" localSheetId="10">'4b Glasbewassing '!$A$1:$H$28</definedName>
    <definedName name="_xlnm.Print_Area" localSheetId="11">'5-Opbouw uurtarieven'!$J$1:$V$41</definedName>
    <definedName name="_xlnm.Print_Area" localSheetId="12">'6-Afroepprijs'!$A$1:$G$103</definedName>
    <definedName name="_xlnm.Print_Area" localSheetId="13">'7 - Toelichting vloeronderhoud'!$A$1:$D$74</definedName>
    <definedName name="_xlnm.Print_Area" localSheetId="4">Inschrijving!$A$1:$D$15</definedName>
    <definedName name="_xlnm.Print_Area" localSheetId="2">Mutaties!$A$1:$V$3</definedName>
    <definedName name="_xlnm.Print_Area" localSheetId="0">'Toelichting calculatiemodel'!$A$1:$E$49</definedName>
    <definedName name="_xlnm.Print_Area" localSheetId="1">'Toelichting mutaties'!$A$1:$D$43</definedName>
    <definedName name="_xlnm.Print_Titles" localSheetId="3">'1-Totaaloverzicht'!$1:$1</definedName>
    <definedName name="_xlnm.Print_Titles" localSheetId="6">'3A-Prestatie'!$1:$1</definedName>
    <definedName name="_xlnm.Print_Titles" localSheetId="7">'3B-Prestaties vloeren'!#REF!</definedName>
    <definedName name="_xlnm.Print_Titles" localSheetId="8">'4-Basis ruimtestaat'!$1:$1</definedName>
    <definedName name="_xlnm.Print_Titles" localSheetId="11">'5-Opbouw uurtarieven'!$A:$C</definedName>
    <definedName name="_xlnm.Print_Titles" localSheetId="1">'Toelichting mutaties'!$1:$1</definedName>
    <definedName name="arbeidsprestatie">#REF!</definedName>
    <definedName name="dertien" localSheetId="9" hidden="1">{"'ma_vr'!$A$1:$AA$42"}</definedName>
    <definedName name="dertien" localSheetId="10" hidden="1">{"'ma_vr'!$A$1:$AA$42"}</definedName>
    <definedName name="dertien" localSheetId="2" hidden="1">{"'ma_vr'!$A$1:$AA$42"}</definedName>
    <definedName name="dertien" hidden="1">{"'ma_vr'!$A$1:$AA$42"}</definedName>
    <definedName name="freq">#REF!</definedName>
    <definedName name="FRQ.5W">#REF!</definedName>
    <definedName name="FRQ.WF">#REF!</definedName>
    <definedName name="han" localSheetId="7" hidden="1">#REF!</definedName>
    <definedName name="han" localSheetId="8" hidden="1">#REF!</definedName>
    <definedName name="han" localSheetId="10" hidden="1">'[2]#REF'!#REF!</definedName>
    <definedName name="han" localSheetId="12" hidden="1">#REF!</definedName>
    <definedName name="han" hidden="1">#REF!</definedName>
    <definedName name="html" localSheetId="8" hidden="1">{"'Blad1'!$A$1:$Q$51"}</definedName>
    <definedName name="html" localSheetId="9" hidden="1">{"'Blad1'!$A$1:$Q$51"}</definedName>
    <definedName name="html" localSheetId="10" hidden="1">{"'Blad1'!$A$1:$Q$51"}</definedName>
    <definedName name="html" localSheetId="12" hidden="1">{"'Blad1'!$A$1:$Q$51"}</definedName>
    <definedName name="html" localSheetId="2" hidden="1">{"'Blad1'!$A$1:$Q$51"}</definedName>
    <definedName name="html" hidden="1">{"'Blad1'!$A$1:$Q$51"}</definedName>
    <definedName name="HTML_CodePage" hidden="1">1252</definedName>
    <definedName name="HTML_Control" localSheetId="8" hidden="1">{"'ma_vr'!$A$1:$AA$42"}</definedName>
    <definedName name="HTML_Control" localSheetId="9" hidden="1">{"'ma_vr'!$A$1:$AA$42"}</definedName>
    <definedName name="HTML_Control" localSheetId="10" hidden="1">{"'ma_vr'!$A$1:$AA$42"}</definedName>
    <definedName name="HTML_Control" localSheetId="12"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8" hidden="1">{"'Blad1'!$A$1:$Q$51"}</definedName>
    <definedName name="html2" localSheetId="9" hidden="1">{"'Blad1'!$A$1:$Q$51"}</definedName>
    <definedName name="html2" localSheetId="10" hidden="1">{"'Blad1'!$A$1:$Q$51"}</definedName>
    <definedName name="html2" localSheetId="12" hidden="1">{"'Blad1'!$A$1:$Q$51"}</definedName>
    <definedName name="html2" localSheetId="2" hidden="1">{"'Blad1'!$A$1:$Q$51"}</definedName>
    <definedName name="html2" hidden="1">{"'Blad1'!$A$1:$Q$51"}</definedName>
    <definedName name="html3" localSheetId="8" hidden="1">{"'Blad1'!$A$1:$Q$51"}</definedName>
    <definedName name="html3" localSheetId="9" hidden="1">{"'Blad1'!$A$1:$Q$51"}</definedName>
    <definedName name="html3" localSheetId="10" hidden="1">{"'Blad1'!$A$1:$Q$51"}</definedName>
    <definedName name="html3" localSheetId="12" hidden="1">{"'Blad1'!$A$1:$Q$51"}</definedName>
    <definedName name="html3" localSheetId="2" hidden="1">{"'Blad1'!$A$1:$Q$51"}</definedName>
    <definedName name="html3" hidden="1">{"'Blad1'!$A$1:$Q$51"}</definedName>
    <definedName name="KengCode">[3]Kengetal!$A$4:$F$28</definedName>
    <definedName name="Kengetal">'[4]2-Kengetal'!$A$9:$L$110</definedName>
    <definedName name="Mutatiederdekwartaal" localSheetId="8" hidden="1">{"'ma_vr'!$A$1:$AA$42"}</definedName>
    <definedName name="Mutatiederdekwartaal" localSheetId="9" hidden="1">{"'ma_vr'!$A$1:$AA$42"}</definedName>
    <definedName name="Mutatiederdekwartaal" localSheetId="10" hidden="1">{"'ma_vr'!$A$1:$AA$42"}</definedName>
    <definedName name="Mutatiederdekwartaal" localSheetId="12" hidden="1">{"'ma_vr'!$A$1:$AA$42"}</definedName>
    <definedName name="Mutatiederdekwartaal" localSheetId="2" hidden="1">{"'ma_vr'!$A$1:$AA$42"}</definedName>
    <definedName name="Mutatiederdekwartaal" hidden="1">{"'ma_vr'!$A$1:$AA$42"}</definedName>
    <definedName name="norm" localSheetId="10">#REF!</definedName>
    <definedName name="norm">#REF!</definedName>
    <definedName name="normen">[5]Normen!$A$1:$B$65536</definedName>
    <definedName name="programma">#REF!</definedName>
    <definedName name="qry_tbv_Disk" localSheetId="10">#REF!</definedName>
    <definedName name="qry_tbv_Disk">#REF!</definedName>
    <definedName name="R_Code">#REF!</definedName>
    <definedName name="ST.BDL">'[6]CALC Intern'!$A$2:$A$275</definedName>
    <definedName name="ST.BDR.JR">#REF!</definedName>
    <definedName name="ST.BDR.JR.WF">#REF!</definedName>
    <definedName name="ST.OPP">'[6]CALC Intern'!$G$2:$G$275</definedName>
    <definedName name="ST.OPP.WF">'[6]CALC Intern'!$G$278:$G$298</definedName>
    <definedName name="ST.RBN">'[6]CALC Intern'!$E$2:$E$275</definedName>
    <definedName name="ST.RBN.WF">'[6]CALC Intern'!$E$278:$E$298</definedName>
    <definedName name="ST.URN.DG">'[6]CALC Intern'!$Z$2:$Z$275</definedName>
    <definedName name="ST.URN.DG.WF">'[6]CALC Intern'!$Z$278:$Z$298</definedName>
    <definedName name="ST.URN.JR">'[6]CALC Intern'!$Y$2:$Y$275</definedName>
    <definedName name="ST.URN.JR.WF">'[6]CALC Intern'!$Y$278:$Y$298</definedName>
    <definedName name="staffel">[3]Kengetal!$A$4:$F$28</definedName>
    <definedName name="tabeltype" localSheetId="10">#REF!</definedName>
    <definedName name="tabeltype">#REF!</definedName>
    <definedName name="test" localSheetId="8" hidden="1">{"'ma_vr'!$A$1:$AA$42"}</definedName>
    <definedName name="test" localSheetId="9" hidden="1">{"'ma_vr'!$A$1:$AA$42"}</definedName>
    <definedName name="test" localSheetId="10" hidden="1">{"'ma_vr'!$A$1:$AA$42"}</definedName>
    <definedName name="test" localSheetId="12" hidden="1">{"'ma_vr'!$A$1:$AA$42"}</definedName>
    <definedName name="test" localSheetId="2" hidden="1">{"'ma_vr'!$A$1:$AA$42"}</definedName>
    <definedName name="test" hidden="1">{"'ma_vr'!$A$1:$AA$42"}</definedName>
    <definedName name="TRF.NMTZ">#REF!</definedName>
    <definedName name="TRF.RSM">#REF!</definedName>
    <definedName name="TRF.SPEC">#REF!</definedName>
    <definedName name="TRF.WF">#REF!</definedName>
    <definedName name="Vl_Code">#REF!</definedName>
    <definedName name="vloer">#REF!</definedName>
    <definedName name="vloeren">'3B-Prestaties vloeren'!$F$27:$G$30</definedName>
    <definedName name="wk">#REF!</definedName>
    <definedName name="ww" localSheetId="8" hidden="1">{"'ma_vr'!$A$1:$AA$42"}</definedName>
    <definedName name="ww" localSheetId="9" hidden="1">{"'ma_vr'!$A$1:$AA$42"}</definedName>
    <definedName name="ww" localSheetId="10" hidden="1">{"'ma_vr'!$A$1:$AA$42"}</definedName>
    <definedName name="ww" localSheetId="12" hidden="1">{"'ma_vr'!$A$1:$AA$42"}</definedName>
    <definedName name="ww" localSheetId="2" hidden="1">{"'ma_vr'!$A$1:$AA$42"}</definedName>
    <definedName name="ww" hidden="1">{"'ma_vr'!$A$1:$AA$42"}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0" i="24" l="1"/>
  <c r="M26" i="33"/>
  <c r="N26" i="33" s="1"/>
  <c r="M27" i="33"/>
  <c r="N27" i="33" s="1"/>
  <c r="M28" i="33"/>
  <c r="N28" i="33" s="1"/>
  <c r="M29" i="33"/>
  <c r="N29" i="33" s="1"/>
  <c r="M30" i="33"/>
  <c r="N30" i="33" s="1"/>
  <c r="M31" i="33"/>
  <c r="N31" i="33" s="1"/>
  <c r="M32" i="33"/>
  <c r="N32" i="33" s="1"/>
  <c r="M34" i="33"/>
  <c r="N34" i="33" s="1"/>
  <c r="M35" i="33"/>
  <c r="N35" i="33" s="1"/>
  <c r="M36" i="33"/>
  <c r="N36" i="33" s="1"/>
  <c r="M37" i="33"/>
  <c r="N37" i="33" s="1"/>
  <c r="M41" i="33"/>
  <c r="N41" i="33" s="1"/>
  <c r="M42" i="33"/>
  <c r="N42" i="33" s="1"/>
  <c r="M43" i="33"/>
  <c r="N43" i="33" s="1"/>
  <c r="M44" i="33"/>
  <c r="N44" i="33" s="1"/>
  <c r="M45" i="33"/>
  <c r="N45" i="33" s="1"/>
  <c r="M46" i="33"/>
  <c r="N46" i="33" s="1"/>
  <c r="M47" i="33"/>
  <c r="N47" i="33" s="1"/>
  <c r="M49" i="33"/>
  <c r="N49" i="33" s="1"/>
  <c r="M52" i="33"/>
  <c r="N52" i="33" s="1"/>
  <c r="M57" i="33"/>
  <c r="N57" i="33" s="1"/>
  <c r="M61" i="33"/>
  <c r="N61" i="33" s="1"/>
  <c r="M63" i="33"/>
  <c r="N63" i="33" s="1"/>
  <c r="M64" i="33"/>
  <c r="N64" i="33" s="1"/>
  <c r="M65" i="33"/>
  <c r="N65" i="33" s="1"/>
  <c r="M69" i="33"/>
  <c r="N69" i="33" s="1"/>
  <c r="M70" i="33"/>
  <c r="N70" i="33" s="1"/>
  <c r="M71" i="33"/>
  <c r="N71" i="33" s="1"/>
  <c r="M72" i="33"/>
  <c r="N72" i="33" s="1"/>
  <c r="M74" i="33"/>
  <c r="N74" i="33" s="1"/>
  <c r="M75" i="33"/>
  <c r="N75" i="33" s="1"/>
  <c r="M76" i="33"/>
  <c r="N76" i="33" s="1"/>
  <c r="M77" i="33"/>
  <c r="N77" i="33" s="1"/>
  <c r="M78" i="33"/>
  <c r="N78" i="33" s="1"/>
  <c r="M81" i="33"/>
  <c r="N81" i="33" s="1"/>
  <c r="M82" i="33"/>
  <c r="N82" i="33" s="1"/>
  <c r="M83" i="33"/>
  <c r="N83" i="33" s="1"/>
  <c r="M86" i="33"/>
  <c r="N86" i="33" s="1"/>
  <c r="M87" i="33"/>
  <c r="N87" i="33" s="1"/>
  <c r="M88" i="33"/>
  <c r="N88" i="33" s="1"/>
  <c r="M89" i="33"/>
  <c r="N89" i="33" s="1"/>
  <c r="M91" i="33"/>
  <c r="N91" i="33" s="1"/>
  <c r="M92" i="33"/>
  <c r="N92" i="33" s="1"/>
  <c r="M93" i="33"/>
  <c r="N93" i="33" s="1"/>
  <c r="M94" i="33"/>
  <c r="N94" i="33" s="1"/>
  <c r="M96" i="33"/>
  <c r="N96" i="33" s="1"/>
  <c r="M97" i="33"/>
  <c r="N97" i="33" s="1"/>
  <c r="M98" i="33"/>
  <c r="N98" i="33" s="1"/>
  <c r="M99" i="33"/>
  <c r="N99" i="33" s="1"/>
  <c r="M100" i="33"/>
  <c r="N100" i="33" s="1"/>
  <c r="M103" i="33"/>
  <c r="N103" i="33" s="1"/>
  <c r="M104" i="33"/>
  <c r="N104" i="33" s="1"/>
  <c r="M105" i="33"/>
  <c r="N105" i="33" s="1"/>
  <c r="M106" i="33"/>
  <c r="N106" i="33" s="1"/>
  <c r="M108" i="33"/>
  <c r="N108" i="33" s="1"/>
  <c r="M110" i="33"/>
  <c r="N110" i="33" s="1"/>
  <c r="M111" i="33"/>
  <c r="N111" i="33" s="1"/>
  <c r="M112" i="33"/>
  <c r="N112" i="33" s="1"/>
  <c r="M113" i="33"/>
  <c r="N113" i="33" s="1"/>
  <c r="M114" i="33"/>
  <c r="N114" i="33" s="1"/>
  <c r="M115" i="33"/>
  <c r="N115" i="33" s="1"/>
  <c r="M116" i="33"/>
  <c r="N116" i="33" s="1"/>
  <c r="M117" i="33"/>
  <c r="N117" i="33" s="1"/>
  <c r="M119" i="33"/>
  <c r="N119" i="33" s="1"/>
  <c r="M120" i="33"/>
  <c r="N120" i="33" s="1"/>
  <c r="M121" i="33"/>
  <c r="N121" i="33" s="1"/>
  <c r="M126" i="33"/>
  <c r="N126" i="33" s="1"/>
  <c r="M127" i="33"/>
  <c r="N127" i="33" s="1"/>
  <c r="M128" i="33"/>
  <c r="N128" i="33" s="1"/>
  <c r="M129" i="33"/>
  <c r="N129" i="33" s="1"/>
  <c r="M130" i="33"/>
  <c r="N130" i="33" s="1"/>
  <c r="M132" i="33"/>
  <c r="N132" i="33" s="1"/>
  <c r="M133" i="33"/>
  <c r="N133" i="33" s="1"/>
  <c r="M134" i="33"/>
  <c r="N134" i="33" s="1"/>
  <c r="M135" i="33"/>
  <c r="N135" i="33" s="1"/>
  <c r="M136" i="33"/>
  <c r="N136" i="33" s="1"/>
  <c r="M138" i="33"/>
  <c r="N138" i="33" s="1"/>
  <c r="M140" i="33"/>
  <c r="N140" i="33" s="1"/>
  <c r="M141" i="33"/>
  <c r="N141" i="33" s="1"/>
  <c r="M142" i="33"/>
  <c r="N142" i="33" s="1"/>
  <c r="M144" i="33"/>
  <c r="N144" i="33" s="1"/>
  <c r="M145" i="33"/>
  <c r="N145" i="33" s="1"/>
  <c r="M146" i="33"/>
  <c r="N146" i="33" s="1"/>
  <c r="M147" i="33"/>
  <c r="N147" i="33" s="1"/>
  <c r="M150" i="33"/>
  <c r="N150" i="33" s="1"/>
  <c r="M152" i="33"/>
  <c r="N152" i="33" s="1"/>
  <c r="M153" i="33"/>
  <c r="N153" i="33" s="1"/>
  <c r="M156" i="33"/>
  <c r="N156" i="33" s="1"/>
  <c r="M159" i="33"/>
  <c r="N159" i="33" s="1"/>
  <c r="M160" i="33"/>
  <c r="N160" i="33" s="1"/>
  <c r="M161" i="33"/>
  <c r="N161" i="33" s="1"/>
  <c r="M162" i="33"/>
  <c r="N162" i="33" s="1"/>
  <c r="M164" i="33"/>
  <c r="N164" i="33" s="1"/>
  <c r="M165" i="33"/>
  <c r="N165" i="33" s="1"/>
  <c r="M173" i="33"/>
  <c r="N173" i="33" s="1"/>
  <c r="M174" i="33"/>
  <c r="N174" i="33" s="1"/>
  <c r="M175" i="33"/>
  <c r="N175" i="33" s="1"/>
  <c r="M176" i="33"/>
  <c r="N176" i="33" s="1"/>
  <c r="M183" i="33"/>
  <c r="N183" i="33" s="1"/>
  <c r="M184" i="33"/>
  <c r="N184" i="33" s="1"/>
  <c r="M185" i="33"/>
  <c r="N185" i="33" s="1"/>
  <c r="M188" i="33"/>
  <c r="N188" i="33" s="1"/>
  <c r="M193" i="33"/>
  <c r="N193" i="33" s="1"/>
  <c r="M194" i="33"/>
  <c r="N194" i="33" s="1"/>
  <c r="M197" i="33"/>
  <c r="N197" i="33" s="1"/>
  <c r="M198" i="33"/>
  <c r="N198" i="33" s="1"/>
  <c r="M199" i="33"/>
  <c r="N199" i="33" s="1"/>
  <c r="M202" i="33"/>
  <c r="N202" i="33" s="1"/>
  <c r="M203" i="33"/>
  <c r="N203" i="33" s="1"/>
  <c r="M204" i="33"/>
  <c r="N204" i="33" s="1"/>
  <c r="M205" i="33"/>
  <c r="N205" i="33" s="1"/>
  <c r="M207" i="33"/>
  <c r="N207" i="33" s="1"/>
  <c r="M218" i="33"/>
  <c r="N218" i="33" s="1"/>
  <c r="M219" i="33"/>
  <c r="N219" i="33" s="1"/>
  <c r="M220" i="33"/>
  <c r="N220" i="33" s="1"/>
  <c r="M224" i="33"/>
  <c r="N224" i="33" s="1"/>
  <c r="M226" i="33"/>
  <c r="N226" i="33" s="1"/>
  <c r="M236" i="33"/>
  <c r="N236" i="33" s="1"/>
  <c r="M238" i="33"/>
  <c r="N238" i="33" s="1"/>
  <c r="M239" i="33"/>
  <c r="N239" i="33" s="1"/>
  <c r="M242" i="33"/>
  <c r="N242" i="33" s="1"/>
  <c r="M255" i="33"/>
  <c r="N255" i="33" s="1"/>
  <c r="M257" i="33"/>
  <c r="N257" i="33" s="1"/>
  <c r="M266" i="33"/>
  <c r="N266" i="33" s="1"/>
  <c r="M268" i="33"/>
  <c r="N268" i="33" s="1"/>
  <c r="M269" i="33"/>
  <c r="N269" i="33" s="1"/>
  <c r="M272" i="33"/>
  <c r="N272" i="33" s="1"/>
  <c r="M284" i="33"/>
  <c r="N284" i="33" s="1"/>
  <c r="M285" i="33"/>
  <c r="N285" i="33" s="1"/>
  <c r="M289" i="33"/>
  <c r="N289" i="33" s="1"/>
  <c r="M300" i="33"/>
  <c r="N300" i="33" s="1"/>
  <c r="M302" i="33"/>
  <c r="N302" i="33" s="1"/>
  <c r="M303" i="33"/>
  <c r="N303" i="33" s="1"/>
  <c r="M306" i="33"/>
  <c r="N306" i="33" s="1"/>
  <c r="M318" i="33"/>
  <c r="N318" i="33" s="1"/>
  <c r="M319" i="33"/>
  <c r="N319" i="33" s="1"/>
  <c r="M321" i="33"/>
  <c r="N321" i="33" s="1"/>
  <c r="M322" i="33"/>
  <c r="N322" i="33" s="1"/>
  <c r="M323" i="33"/>
  <c r="N323" i="33" s="1"/>
  <c r="M324" i="33"/>
  <c r="N324" i="33" s="1"/>
  <c r="M325" i="33"/>
  <c r="N325" i="33" s="1"/>
  <c r="M328" i="33"/>
  <c r="N328" i="33" s="1"/>
  <c r="M329" i="33"/>
  <c r="N329" i="33" s="1"/>
  <c r="M330" i="33"/>
  <c r="N330" i="33" s="1"/>
  <c r="M331" i="33"/>
  <c r="N331" i="33" s="1"/>
  <c r="M332" i="33"/>
  <c r="N332" i="33" s="1"/>
  <c r="M333" i="33"/>
  <c r="N333" i="33" s="1"/>
  <c r="M335" i="33"/>
  <c r="N335" i="33" s="1"/>
  <c r="M337" i="33"/>
  <c r="N337" i="33" s="1"/>
  <c r="M341" i="33"/>
  <c r="N341" i="33" s="1"/>
  <c r="M344" i="33"/>
  <c r="N344" i="33" s="1"/>
  <c r="M345" i="33"/>
  <c r="N345" i="33" s="1"/>
  <c r="M346" i="33"/>
  <c r="N346" i="33" s="1"/>
  <c r="M347" i="33"/>
  <c r="N347" i="33" s="1"/>
  <c r="M348" i="33"/>
  <c r="N348" i="33" s="1"/>
  <c r="M349" i="33"/>
  <c r="N349" i="33" s="1"/>
  <c r="M350" i="33"/>
  <c r="N350" i="33" s="1"/>
  <c r="M351" i="33"/>
  <c r="N351" i="33" s="1"/>
  <c r="M352" i="33"/>
  <c r="N352" i="33" s="1"/>
  <c r="M353" i="33"/>
  <c r="N353" i="33" s="1"/>
  <c r="M354" i="33"/>
  <c r="N354" i="33" s="1"/>
  <c r="M355" i="33"/>
  <c r="N355" i="33" s="1"/>
  <c r="M356" i="33"/>
  <c r="N356" i="33" s="1"/>
  <c r="M357" i="33"/>
  <c r="N357" i="33" s="1"/>
  <c r="M358" i="33"/>
  <c r="N358" i="33" s="1"/>
  <c r="M359" i="33"/>
  <c r="N359" i="33" s="1"/>
  <c r="M360" i="33"/>
  <c r="N360" i="33" s="1"/>
  <c r="M361" i="33"/>
  <c r="N361" i="33" s="1"/>
  <c r="M362" i="33"/>
  <c r="N362" i="33" s="1"/>
  <c r="M363" i="33"/>
  <c r="N363" i="33" s="1"/>
  <c r="M364" i="33"/>
  <c r="N364" i="33" s="1"/>
  <c r="M365" i="33"/>
  <c r="N365" i="33" s="1"/>
  <c r="M366" i="33"/>
  <c r="N366" i="33" s="1"/>
  <c r="M367" i="33"/>
  <c r="N367" i="33" s="1"/>
  <c r="M368" i="33"/>
  <c r="N368" i="33" s="1"/>
  <c r="M369" i="33"/>
  <c r="N369" i="33" s="1"/>
  <c r="M370" i="33"/>
  <c r="N370" i="33" s="1"/>
  <c r="M371" i="33"/>
  <c r="N371" i="33" s="1"/>
  <c r="M372" i="33"/>
  <c r="N372" i="33" s="1"/>
  <c r="M373" i="33"/>
  <c r="N373" i="33" s="1"/>
  <c r="M374" i="33"/>
  <c r="N374" i="33" s="1"/>
  <c r="M375" i="33"/>
  <c r="N375" i="33" s="1"/>
  <c r="M376" i="33"/>
  <c r="N376" i="33" s="1"/>
  <c r="M377" i="33"/>
  <c r="N377" i="33" s="1"/>
  <c r="M378" i="33"/>
  <c r="N378" i="33" s="1"/>
  <c r="M379" i="33"/>
  <c r="N379" i="33" s="1"/>
  <c r="M380" i="33"/>
  <c r="N380" i="33" s="1"/>
  <c r="M381" i="33"/>
  <c r="N381" i="33" s="1"/>
  <c r="M383" i="33"/>
  <c r="N383" i="33" s="1"/>
  <c r="M384" i="33"/>
  <c r="N384" i="33" s="1"/>
  <c r="M385" i="33"/>
  <c r="N385" i="33" s="1"/>
  <c r="M386" i="33"/>
  <c r="N386" i="33" s="1"/>
  <c r="M387" i="33"/>
  <c r="N387" i="33" s="1"/>
  <c r="M388" i="33"/>
  <c r="N388" i="33" s="1"/>
  <c r="M389" i="33"/>
  <c r="N389" i="33" s="1"/>
  <c r="M390" i="33"/>
  <c r="N390" i="33" s="1"/>
  <c r="M391" i="33"/>
  <c r="N391" i="33" s="1"/>
  <c r="M392" i="33"/>
  <c r="N392" i="33" s="1"/>
  <c r="M393" i="33"/>
  <c r="N393" i="33" s="1"/>
  <c r="M394" i="33"/>
  <c r="N394" i="33" s="1"/>
  <c r="M395" i="33"/>
  <c r="N395" i="33" s="1"/>
  <c r="M396" i="33"/>
  <c r="N396" i="33" s="1"/>
  <c r="M397" i="33"/>
  <c r="N397" i="33" s="1"/>
  <c r="M398" i="33"/>
  <c r="N398" i="33" s="1"/>
  <c r="M399" i="33"/>
  <c r="N399" i="33" s="1"/>
  <c r="M400" i="33"/>
  <c r="N400" i="33" s="1"/>
  <c r="M401" i="33"/>
  <c r="N401" i="33" s="1"/>
  <c r="M402" i="33"/>
  <c r="N402" i="33" s="1"/>
  <c r="M403" i="33"/>
  <c r="N403" i="33" s="1"/>
  <c r="M404" i="33"/>
  <c r="N404" i="33" s="1"/>
  <c r="M406" i="33"/>
  <c r="N406" i="33" s="1"/>
  <c r="M408" i="33"/>
  <c r="N408" i="33" s="1"/>
  <c r="M409" i="33"/>
  <c r="N409" i="33" s="1"/>
  <c r="M410" i="33"/>
  <c r="N410" i="33" s="1"/>
  <c r="M412" i="33"/>
  <c r="N412" i="33" s="1"/>
  <c r="M413" i="33"/>
  <c r="N413" i="33" s="1"/>
  <c r="M431" i="33"/>
  <c r="N431" i="33" s="1"/>
  <c r="M433" i="33"/>
  <c r="N433" i="33" s="1"/>
  <c r="M434" i="33"/>
  <c r="N434" i="33" s="1"/>
  <c r="M435" i="33"/>
  <c r="N435" i="33" s="1"/>
  <c r="M3" i="33"/>
  <c r="N3" i="33" s="1"/>
  <c r="M4" i="33"/>
  <c r="N4" i="33" s="1"/>
  <c r="M5" i="33"/>
  <c r="N5" i="33" s="1"/>
  <c r="M6" i="33"/>
  <c r="N6" i="33" s="1"/>
  <c r="M7" i="33"/>
  <c r="N7" i="33" s="1"/>
  <c r="M8" i="33"/>
  <c r="N8" i="33" s="1"/>
  <c r="M9" i="33"/>
  <c r="N9" i="33" s="1"/>
  <c r="M10" i="33"/>
  <c r="N10" i="33" s="1"/>
  <c r="M2" i="33"/>
  <c r="N2" i="33" s="1"/>
  <c r="P13" i="33"/>
  <c r="J14" i="34"/>
  <c r="L13" i="1"/>
  <c r="L12" i="33"/>
  <c r="M12" i="33" s="1"/>
  <c r="N12" i="33" s="1"/>
  <c r="L17" i="33"/>
  <c r="M17" i="33" s="1"/>
  <c r="N17" i="33" s="1"/>
  <c r="L18" i="33"/>
  <c r="M18" i="33" s="1"/>
  <c r="N18" i="33" s="1"/>
  <c r="L19" i="33"/>
  <c r="M19" i="33" s="1"/>
  <c r="N19" i="33" s="1"/>
  <c r="L20" i="33"/>
  <c r="M20" i="33" s="1"/>
  <c r="N20" i="33" s="1"/>
  <c r="L21" i="33"/>
  <c r="M21" i="33" s="1"/>
  <c r="N21" i="33" s="1"/>
  <c r="L22" i="33"/>
  <c r="M22" i="33" s="1"/>
  <c r="N22" i="33" s="1"/>
  <c r="L23" i="33"/>
  <c r="M23" i="33" s="1"/>
  <c r="N23" i="33" s="1"/>
  <c r="L24" i="33"/>
  <c r="M24" i="33" s="1"/>
  <c r="N24" i="33" s="1"/>
  <c r="L25" i="33"/>
  <c r="M25" i="33" s="1"/>
  <c r="N25" i="33" s="1"/>
  <c r="L26" i="33"/>
  <c r="L27" i="33"/>
  <c r="L28" i="33"/>
  <c r="L29" i="33"/>
  <c r="L30" i="33"/>
  <c r="L31" i="33"/>
  <c r="L32" i="33"/>
  <c r="L33" i="33"/>
  <c r="M33" i="33" s="1"/>
  <c r="N33" i="33" s="1"/>
  <c r="L34" i="33"/>
  <c r="L35" i="33"/>
  <c r="L36" i="33"/>
  <c r="L37" i="33"/>
  <c r="L38" i="33"/>
  <c r="M38" i="33" s="1"/>
  <c r="N38" i="33" s="1"/>
  <c r="L39" i="33"/>
  <c r="M39" i="33" s="1"/>
  <c r="N39" i="33" s="1"/>
  <c r="L40" i="33"/>
  <c r="M40" i="33" s="1"/>
  <c r="N40" i="33" s="1"/>
  <c r="L41" i="33"/>
  <c r="L42" i="33"/>
  <c r="L43" i="33"/>
  <c r="L44" i="33"/>
  <c r="L45" i="33"/>
  <c r="L46" i="33"/>
  <c r="L47" i="33"/>
  <c r="L48" i="33"/>
  <c r="M48" i="33" s="1"/>
  <c r="N48" i="33" s="1"/>
  <c r="L49" i="33"/>
  <c r="L50" i="33"/>
  <c r="M50" i="33" s="1"/>
  <c r="N50" i="33" s="1"/>
  <c r="L51" i="33"/>
  <c r="M51" i="33" s="1"/>
  <c r="N51" i="33" s="1"/>
  <c r="L52" i="33"/>
  <c r="L53" i="33"/>
  <c r="M53" i="33" s="1"/>
  <c r="N53" i="33" s="1"/>
  <c r="L54" i="33"/>
  <c r="M54" i="33" s="1"/>
  <c r="N54" i="33" s="1"/>
  <c r="L55" i="33"/>
  <c r="M55" i="33" s="1"/>
  <c r="N55" i="33" s="1"/>
  <c r="L56" i="33"/>
  <c r="M56" i="33" s="1"/>
  <c r="N56" i="33" s="1"/>
  <c r="L57" i="33"/>
  <c r="L58" i="33"/>
  <c r="M58" i="33" s="1"/>
  <c r="N58" i="33" s="1"/>
  <c r="L59" i="33"/>
  <c r="M59" i="33" s="1"/>
  <c r="N59" i="33" s="1"/>
  <c r="L60" i="33"/>
  <c r="M60" i="33" s="1"/>
  <c r="N60" i="33" s="1"/>
  <c r="L61" i="33"/>
  <c r="L62" i="33"/>
  <c r="M62" i="33" s="1"/>
  <c r="N62" i="33" s="1"/>
  <c r="L63" i="33"/>
  <c r="L64" i="33"/>
  <c r="L65" i="33"/>
  <c r="L66" i="33"/>
  <c r="M66" i="33" s="1"/>
  <c r="N66" i="33" s="1"/>
  <c r="L67" i="33"/>
  <c r="M67" i="33" s="1"/>
  <c r="N67" i="33" s="1"/>
  <c r="L68" i="33"/>
  <c r="M68" i="33" s="1"/>
  <c r="N68" i="33" s="1"/>
  <c r="L69" i="33"/>
  <c r="L70" i="33"/>
  <c r="L71" i="33"/>
  <c r="L72" i="33"/>
  <c r="L73" i="33"/>
  <c r="M73" i="33" s="1"/>
  <c r="N73" i="33" s="1"/>
  <c r="L74" i="33"/>
  <c r="L75" i="33"/>
  <c r="L76" i="33"/>
  <c r="L77" i="33"/>
  <c r="L78" i="33"/>
  <c r="L79" i="33"/>
  <c r="M79" i="33" s="1"/>
  <c r="N79" i="33" s="1"/>
  <c r="L80" i="33"/>
  <c r="M80" i="33" s="1"/>
  <c r="N80" i="33" s="1"/>
  <c r="L81" i="33"/>
  <c r="L82" i="33"/>
  <c r="L83" i="33"/>
  <c r="L84" i="33"/>
  <c r="M84" i="33" s="1"/>
  <c r="N84" i="33" s="1"/>
  <c r="L85" i="33"/>
  <c r="M85" i="33" s="1"/>
  <c r="N85" i="33" s="1"/>
  <c r="L86" i="33"/>
  <c r="L87" i="33"/>
  <c r="L88" i="33"/>
  <c r="L89" i="33"/>
  <c r="L90" i="33"/>
  <c r="M90" i="33" s="1"/>
  <c r="N90" i="33" s="1"/>
  <c r="L91" i="33"/>
  <c r="L92" i="33"/>
  <c r="L93" i="33"/>
  <c r="L94" i="33"/>
  <c r="L95" i="33"/>
  <c r="M95" i="33" s="1"/>
  <c r="N95" i="33" s="1"/>
  <c r="L96" i="33"/>
  <c r="L97" i="33"/>
  <c r="L98" i="33"/>
  <c r="L99" i="33"/>
  <c r="L100" i="33"/>
  <c r="L101" i="33"/>
  <c r="M101" i="33" s="1"/>
  <c r="N101" i="33" s="1"/>
  <c r="L102" i="33"/>
  <c r="M102" i="33" s="1"/>
  <c r="N102" i="33" s="1"/>
  <c r="L103" i="33"/>
  <c r="L104" i="33"/>
  <c r="L105" i="33"/>
  <c r="L106" i="33"/>
  <c r="L107" i="33"/>
  <c r="M107" i="33" s="1"/>
  <c r="N107" i="33" s="1"/>
  <c r="L108" i="33"/>
  <c r="L109" i="33"/>
  <c r="M109" i="33" s="1"/>
  <c r="N109" i="33" s="1"/>
  <c r="L110" i="33"/>
  <c r="L111" i="33"/>
  <c r="L112" i="33"/>
  <c r="L113" i="33"/>
  <c r="L114" i="33"/>
  <c r="L115" i="33"/>
  <c r="L116" i="33"/>
  <c r="L117" i="33"/>
  <c r="L118" i="33"/>
  <c r="M118" i="33" s="1"/>
  <c r="N118" i="33" s="1"/>
  <c r="L119" i="33"/>
  <c r="L120" i="33"/>
  <c r="L121" i="33"/>
  <c r="L122" i="33"/>
  <c r="M122" i="33" s="1"/>
  <c r="N122" i="33" s="1"/>
  <c r="L123" i="33"/>
  <c r="M123" i="33" s="1"/>
  <c r="N123" i="33" s="1"/>
  <c r="L124" i="33"/>
  <c r="M124" i="33" s="1"/>
  <c r="N124" i="33" s="1"/>
  <c r="L125" i="33"/>
  <c r="M125" i="33" s="1"/>
  <c r="N125" i="33" s="1"/>
  <c r="L126" i="33"/>
  <c r="L127" i="33"/>
  <c r="L128" i="33"/>
  <c r="L129" i="33"/>
  <c r="L130" i="33"/>
  <c r="L131" i="33"/>
  <c r="M131" i="33" s="1"/>
  <c r="N131" i="33" s="1"/>
  <c r="L132" i="33"/>
  <c r="L133" i="33"/>
  <c r="L134" i="33"/>
  <c r="L135" i="33"/>
  <c r="L136" i="33"/>
  <c r="L137" i="33"/>
  <c r="M137" i="33" s="1"/>
  <c r="N137" i="33" s="1"/>
  <c r="L138" i="33"/>
  <c r="L139" i="33"/>
  <c r="M139" i="33" s="1"/>
  <c r="N139" i="33" s="1"/>
  <c r="L140" i="33"/>
  <c r="L141" i="33"/>
  <c r="L142" i="33"/>
  <c r="L143" i="33"/>
  <c r="M143" i="33" s="1"/>
  <c r="N143" i="33" s="1"/>
  <c r="L144" i="33"/>
  <c r="L145" i="33"/>
  <c r="L146" i="33"/>
  <c r="L147" i="33"/>
  <c r="L148" i="33"/>
  <c r="M148" i="33" s="1"/>
  <c r="N148" i="33" s="1"/>
  <c r="L149" i="33"/>
  <c r="M149" i="33" s="1"/>
  <c r="N149" i="33" s="1"/>
  <c r="L150" i="33"/>
  <c r="L151" i="33"/>
  <c r="M151" i="33" s="1"/>
  <c r="N151" i="33" s="1"/>
  <c r="L152" i="33"/>
  <c r="L153" i="33"/>
  <c r="L154" i="33"/>
  <c r="M154" i="33" s="1"/>
  <c r="N154" i="33" s="1"/>
  <c r="L155" i="33"/>
  <c r="M155" i="33" s="1"/>
  <c r="N155" i="33" s="1"/>
  <c r="L156" i="33"/>
  <c r="L157" i="33"/>
  <c r="M157" i="33" s="1"/>
  <c r="N157" i="33" s="1"/>
  <c r="L158" i="33"/>
  <c r="M158" i="33" s="1"/>
  <c r="N158" i="33" s="1"/>
  <c r="L159" i="33"/>
  <c r="L160" i="33"/>
  <c r="L161" i="33"/>
  <c r="L162" i="33"/>
  <c r="L163" i="33"/>
  <c r="M163" i="33" s="1"/>
  <c r="N163" i="33" s="1"/>
  <c r="L164" i="33"/>
  <c r="L165" i="33"/>
  <c r="L166" i="33"/>
  <c r="M166" i="33" s="1"/>
  <c r="N166" i="33" s="1"/>
  <c r="L167" i="33"/>
  <c r="M167" i="33" s="1"/>
  <c r="N167" i="33" s="1"/>
  <c r="L168" i="33"/>
  <c r="M168" i="33" s="1"/>
  <c r="N168" i="33" s="1"/>
  <c r="L169" i="33"/>
  <c r="M169" i="33" s="1"/>
  <c r="N169" i="33" s="1"/>
  <c r="L170" i="33"/>
  <c r="M170" i="33" s="1"/>
  <c r="N170" i="33" s="1"/>
  <c r="L171" i="33"/>
  <c r="M171" i="33" s="1"/>
  <c r="N171" i="33" s="1"/>
  <c r="L172" i="33"/>
  <c r="M172" i="33" s="1"/>
  <c r="N172" i="33" s="1"/>
  <c r="L173" i="33"/>
  <c r="L174" i="33"/>
  <c r="L175" i="33"/>
  <c r="L176" i="33"/>
  <c r="L177" i="33"/>
  <c r="M177" i="33" s="1"/>
  <c r="N177" i="33" s="1"/>
  <c r="L178" i="33"/>
  <c r="M178" i="33" s="1"/>
  <c r="N178" i="33" s="1"/>
  <c r="L179" i="33"/>
  <c r="M179" i="33" s="1"/>
  <c r="N179" i="33" s="1"/>
  <c r="L180" i="33"/>
  <c r="M180" i="33" s="1"/>
  <c r="N180" i="33" s="1"/>
  <c r="L181" i="33"/>
  <c r="M181" i="33" s="1"/>
  <c r="N181" i="33" s="1"/>
  <c r="L182" i="33"/>
  <c r="M182" i="33" s="1"/>
  <c r="N182" i="33" s="1"/>
  <c r="L183" i="33"/>
  <c r="L184" i="33"/>
  <c r="L185" i="33"/>
  <c r="L186" i="33"/>
  <c r="M186" i="33" s="1"/>
  <c r="N186" i="33" s="1"/>
  <c r="L187" i="33"/>
  <c r="M187" i="33" s="1"/>
  <c r="N187" i="33" s="1"/>
  <c r="L188" i="33"/>
  <c r="L189" i="33"/>
  <c r="M189" i="33" s="1"/>
  <c r="N189" i="33" s="1"/>
  <c r="L190" i="33"/>
  <c r="M190" i="33" s="1"/>
  <c r="N190" i="33" s="1"/>
  <c r="L191" i="33"/>
  <c r="M191" i="33" s="1"/>
  <c r="N191" i="33" s="1"/>
  <c r="L192" i="33"/>
  <c r="M192" i="33" s="1"/>
  <c r="N192" i="33" s="1"/>
  <c r="L193" i="33"/>
  <c r="L194" i="33"/>
  <c r="L195" i="33"/>
  <c r="M195" i="33" s="1"/>
  <c r="N195" i="33" s="1"/>
  <c r="L196" i="33"/>
  <c r="M196" i="33" s="1"/>
  <c r="N196" i="33" s="1"/>
  <c r="L197" i="33"/>
  <c r="L198" i="33"/>
  <c r="L199" i="33"/>
  <c r="L200" i="33"/>
  <c r="M200" i="33" s="1"/>
  <c r="N200" i="33" s="1"/>
  <c r="L201" i="33"/>
  <c r="M201" i="33" s="1"/>
  <c r="N201" i="33" s="1"/>
  <c r="L202" i="33"/>
  <c r="L203" i="33"/>
  <c r="L204" i="33"/>
  <c r="L205" i="33"/>
  <c r="L206" i="33"/>
  <c r="M206" i="33" s="1"/>
  <c r="N206" i="33" s="1"/>
  <c r="L207" i="33"/>
  <c r="L208" i="33"/>
  <c r="M208" i="33" s="1"/>
  <c r="N208" i="33" s="1"/>
  <c r="L209" i="33"/>
  <c r="M209" i="33" s="1"/>
  <c r="N209" i="33" s="1"/>
  <c r="L210" i="33"/>
  <c r="M210" i="33" s="1"/>
  <c r="N210" i="33" s="1"/>
  <c r="L211" i="33"/>
  <c r="M211" i="33" s="1"/>
  <c r="N211" i="33" s="1"/>
  <c r="L212" i="33"/>
  <c r="M212" i="33" s="1"/>
  <c r="N212" i="33" s="1"/>
  <c r="L213" i="33"/>
  <c r="M213" i="33" s="1"/>
  <c r="N213" i="33" s="1"/>
  <c r="L214" i="33"/>
  <c r="M214" i="33" s="1"/>
  <c r="N214" i="33" s="1"/>
  <c r="L215" i="33"/>
  <c r="M215" i="33" s="1"/>
  <c r="N215" i="33" s="1"/>
  <c r="L216" i="33"/>
  <c r="M216" i="33" s="1"/>
  <c r="N216" i="33" s="1"/>
  <c r="L217" i="33"/>
  <c r="M217" i="33" s="1"/>
  <c r="N217" i="33" s="1"/>
  <c r="L218" i="33"/>
  <c r="L219" i="33"/>
  <c r="L220" i="33"/>
  <c r="L221" i="33"/>
  <c r="M221" i="33" s="1"/>
  <c r="N221" i="33" s="1"/>
  <c r="L222" i="33"/>
  <c r="M222" i="33" s="1"/>
  <c r="N222" i="33" s="1"/>
  <c r="L223" i="33"/>
  <c r="M223" i="33" s="1"/>
  <c r="N223" i="33" s="1"/>
  <c r="L224" i="33"/>
  <c r="L225" i="33"/>
  <c r="M225" i="33" s="1"/>
  <c r="N225" i="33" s="1"/>
  <c r="L226" i="33"/>
  <c r="L227" i="33"/>
  <c r="M227" i="33" s="1"/>
  <c r="N227" i="33" s="1"/>
  <c r="L228" i="33"/>
  <c r="M228" i="33" s="1"/>
  <c r="N228" i="33" s="1"/>
  <c r="L229" i="33"/>
  <c r="M229" i="33" s="1"/>
  <c r="N229" i="33" s="1"/>
  <c r="L230" i="33"/>
  <c r="M230" i="33" s="1"/>
  <c r="N230" i="33" s="1"/>
  <c r="L231" i="33"/>
  <c r="M231" i="33" s="1"/>
  <c r="N231" i="33" s="1"/>
  <c r="L232" i="33"/>
  <c r="M232" i="33" s="1"/>
  <c r="N232" i="33" s="1"/>
  <c r="L233" i="33"/>
  <c r="M233" i="33" s="1"/>
  <c r="N233" i="33" s="1"/>
  <c r="L234" i="33"/>
  <c r="M234" i="33" s="1"/>
  <c r="N234" i="33" s="1"/>
  <c r="L235" i="33"/>
  <c r="M235" i="33" s="1"/>
  <c r="N235" i="33" s="1"/>
  <c r="L236" i="33"/>
  <c r="L237" i="33"/>
  <c r="M237" i="33" s="1"/>
  <c r="N237" i="33" s="1"/>
  <c r="L238" i="33"/>
  <c r="L239" i="33"/>
  <c r="L240" i="33"/>
  <c r="M240" i="33" s="1"/>
  <c r="N240" i="33" s="1"/>
  <c r="L241" i="33"/>
  <c r="M241" i="33" s="1"/>
  <c r="N241" i="33" s="1"/>
  <c r="L242" i="33"/>
  <c r="L243" i="33"/>
  <c r="M243" i="33" s="1"/>
  <c r="N243" i="33" s="1"/>
  <c r="L244" i="33"/>
  <c r="M244" i="33" s="1"/>
  <c r="N244" i="33" s="1"/>
  <c r="L245" i="33"/>
  <c r="M245" i="33" s="1"/>
  <c r="N245" i="33" s="1"/>
  <c r="L246" i="33"/>
  <c r="M246" i="33" s="1"/>
  <c r="N246" i="33" s="1"/>
  <c r="L247" i="33"/>
  <c r="M247" i="33" s="1"/>
  <c r="N247" i="33" s="1"/>
  <c r="L248" i="33"/>
  <c r="M248" i="33" s="1"/>
  <c r="N248" i="33" s="1"/>
  <c r="L249" i="33"/>
  <c r="M249" i="33" s="1"/>
  <c r="N249" i="33" s="1"/>
  <c r="L250" i="33"/>
  <c r="M250" i="33" s="1"/>
  <c r="N250" i="33" s="1"/>
  <c r="L251" i="33"/>
  <c r="M251" i="33" s="1"/>
  <c r="N251" i="33" s="1"/>
  <c r="L252" i="33"/>
  <c r="M252" i="33" s="1"/>
  <c r="N252" i="33" s="1"/>
  <c r="L253" i="33"/>
  <c r="M253" i="33" s="1"/>
  <c r="N253" i="33" s="1"/>
  <c r="L254" i="33"/>
  <c r="M254" i="33" s="1"/>
  <c r="N254" i="33" s="1"/>
  <c r="L255" i="33"/>
  <c r="L256" i="33"/>
  <c r="M256" i="33" s="1"/>
  <c r="N256" i="33" s="1"/>
  <c r="L257" i="33"/>
  <c r="L258" i="33"/>
  <c r="M258" i="33" s="1"/>
  <c r="N258" i="33" s="1"/>
  <c r="L259" i="33"/>
  <c r="M259" i="33" s="1"/>
  <c r="N259" i="33" s="1"/>
  <c r="L260" i="33"/>
  <c r="M260" i="33" s="1"/>
  <c r="N260" i="33" s="1"/>
  <c r="L261" i="33"/>
  <c r="M261" i="33" s="1"/>
  <c r="N261" i="33" s="1"/>
  <c r="L262" i="33"/>
  <c r="M262" i="33" s="1"/>
  <c r="N262" i="33" s="1"/>
  <c r="L263" i="33"/>
  <c r="M263" i="33" s="1"/>
  <c r="N263" i="33" s="1"/>
  <c r="L264" i="33"/>
  <c r="M264" i="33" s="1"/>
  <c r="N264" i="33" s="1"/>
  <c r="L265" i="33"/>
  <c r="M265" i="33" s="1"/>
  <c r="N265" i="33" s="1"/>
  <c r="L266" i="33"/>
  <c r="L267" i="33"/>
  <c r="M267" i="33" s="1"/>
  <c r="N267" i="33" s="1"/>
  <c r="L268" i="33"/>
  <c r="L269" i="33"/>
  <c r="L270" i="33"/>
  <c r="M270" i="33" s="1"/>
  <c r="N270" i="33" s="1"/>
  <c r="L271" i="33"/>
  <c r="M271" i="33" s="1"/>
  <c r="N271" i="33" s="1"/>
  <c r="L272" i="33"/>
  <c r="L273" i="33"/>
  <c r="M273" i="33" s="1"/>
  <c r="N273" i="33" s="1"/>
  <c r="L274" i="33"/>
  <c r="M274" i="33" s="1"/>
  <c r="N274" i="33" s="1"/>
  <c r="L275" i="33"/>
  <c r="M275" i="33" s="1"/>
  <c r="N275" i="33" s="1"/>
  <c r="L276" i="33"/>
  <c r="M276" i="33" s="1"/>
  <c r="N276" i="33" s="1"/>
  <c r="L277" i="33"/>
  <c r="M277" i="33" s="1"/>
  <c r="N277" i="33" s="1"/>
  <c r="L278" i="33"/>
  <c r="M278" i="33" s="1"/>
  <c r="N278" i="33" s="1"/>
  <c r="L279" i="33"/>
  <c r="M279" i="33" s="1"/>
  <c r="N279" i="33" s="1"/>
  <c r="L280" i="33"/>
  <c r="M280" i="33" s="1"/>
  <c r="N280" i="33" s="1"/>
  <c r="L281" i="33"/>
  <c r="M281" i="33" s="1"/>
  <c r="N281" i="33" s="1"/>
  <c r="L282" i="33"/>
  <c r="M282" i="33" s="1"/>
  <c r="N282" i="33" s="1"/>
  <c r="L283" i="33"/>
  <c r="M283" i="33" s="1"/>
  <c r="N283" i="33" s="1"/>
  <c r="L284" i="33"/>
  <c r="L285" i="33"/>
  <c r="L286" i="33"/>
  <c r="M286" i="33" s="1"/>
  <c r="N286" i="33" s="1"/>
  <c r="L287" i="33"/>
  <c r="M287" i="33" s="1"/>
  <c r="N287" i="33" s="1"/>
  <c r="L288" i="33"/>
  <c r="M288" i="33" s="1"/>
  <c r="N288" i="33" s="1"/>
  <c r="L289" i="33"/>
  <c r="L290" i="33"/>
  <c r="M290" i="33" s="1"/>
  <c r="N290" i="33" s="1"/>
  <c r="L291" i="33"/>
  <c r="M291" i="33" s="1"/>
  <c r="N291" i="33" s="1"/>
  <c r="L292" i="33"/>
  <c r="M292" i="33" s="1"/>
  <c r="N292" i="33" s="1"/>
  <c r="L293" i="33"/>
  <c r="M293" i="33" s="1"/>
  <c r="N293" i="33" s="1"/>
  <c r="L294" i="33"/>
  <c r="M294" i="33" s="1"/>
  <c r="N294" i="33" s="1"/>
  <c r="L295" i="33"/>
  <c r="M295" i="33" s="1"/>
  <c r="N295" i="33" s="1"/>
  <c r="L296" i="33"/>
  <c r="M296" i="33" s="1"/>
  <c r="N296" i="33" s="1"/>
  <c r="L297" i="33"/>
  <c r="M297" i="33" s="1"/>
  <c r="N297" i="33" s="1"/>
  <c r="L298" i="33"/>
  <c r="M298" i="33" s="1"/>
  <c r="N298" i="33" s="1"/>
  <c r="L299" i="33"/>
  <c r="M299" i="33" s="1"/>
  <c r="N299" i="33" s="1"/>
  <c r="L300" i="33"/>
  <c r="L301" i="33"/>
  <c r="M301" i="33" s="1"/>
  <c r="N301" i="33" s="1"/>
  <c r="L302" i="33"/>
  <c r="L303" i="33"/>
  <c r="L304" i="33"/>
  <c r="M304" i="33" s="1"/>
  <c r="N304" i="33" s="1"/>
  <c r="L305" i="33"/>
  <c r="M305" i="33" s="1"/>
  <c r="N305" i="33" s="1"/>
  <c r="L306" i="33"/>
  <c r="L307" i="33"/>
  <c r="M307" i="33" s="1"/>
  <c r="N307" i="33" s="1"/>
  <c r="L308" i="33"/>
  <c r="M308" i="33" s="1"/>
  <c r="N308" i="33" s="1"/>
  <c r="L309" i="33"/>
  <c r="M309" i="33" s="1"/>
  <c r="N309" i="33" s="1"/>
  <c r="L310" i="33"/>
  <c r="M310" i="33" s="1"/>
  <c r="N310" i="33" s="1"/>
  <c r="L311" i="33"/>
  <c r="M311" i="33" s="1"/>
  <c r="N311" i="33" s="1"/>
  <c r="L312" i="33"/>
  <c r="M312" i="33" s="1"/>
  <c r="N312" i="33" s="1"/>
  <c r="L313" i="33"/>
  <c r="M313" i="33" s="1"/>
  <c r="N313" i="33" s="1"/>
  <c r="L314" i="33"/>
  <c r="M314" i="33" s="1"/>
  <c r="N314" i="33" s="1"/>
  <c r="L315" i="33"/>
  <c r="M315" i="33" s="1"/>
  <c r="N315" i="33" s="1"/>
  <c r="L316" i="33"/>
  <c r="M316" i="33" s="1"/>
  <c r="N316" i="33" s="1"/>
  <c r="L317" i="33"/>
  <c r="M317" i="33" s="1"/>
  <c r="N317" i="33" s="1"/>
  <c r="L318" i="33"/>
  <c r="L319" i="33"/>
  <c r="L320" i="33"/>
  <c r="M320" i="33" s="1"/>
  <c r="N320" i="33" s="1"/>
  <c r="L321" i="33"/>
  <c r="L322" i="33"/>
  <c r="L323" i="33"/>
  <c r="L325" i="33"/>
  <c r="L326" i="33"/>
  <c r="M326" i="33" s="1"/>
  <c r="N326" i="33" s="1"/>
  <c r="L327" i="33"/>
  <c r="M327" i="33" s="1"/>
  <c r="N327" i="33" s="1"/>
  <c r="L328" i="33"/>
  <c r="L329" i="33"/>
  <c r="L330" i="33"/>
  <c r="L331" i="33"/>
  <c r="L332" i="33"/>
  <c r="L333" i="33"/>
  <c r="L334" i="33"/>
  <c r="M334" i="33" s="1"/>
  <c r="N334" i="33" s="1"/>
  <c r="L335" i="33"/>
  <c r="L336" i="33"/>
  <c r="M336" i="33" s="1"/>
  <c r="N336" i="33" s="1"/>
  <c r="L337" i="33"/>
  <c r="L338" i="33"/>
  <c r="M338" i="33" s="1"/>
  <c r="N338" i="33" s="1"/>
  <c r="L339" i="33"/>
  <c r="M339" i="33" s="1"/>
  <c r="N339" i="33" s="1"/>
  <c r="L340" i="33"/>
  <c r="M340" i="33" s="1"/>
  <c r="N340" i="33" s="1"/>
  <c r="L341" i="33"/>
  <c r="L342" i="33"/>
  <c r="M342" i="33" s="1"/>
  <c r="N342" i="33" s="1"/>
  <c r="L343" i="33"/>
  <c r="M343" i="33" s="1"/>
  <c r="N343" i="33" s="1"/>
  <c r="L344" i="33"/>
  <c r="L345" i="33"/>
  <c r="L346" i="33"/>
  <c r="L347" i="33"/>
  <c r="L348" i="33"/>
  <c r="L349" i="33"/>
  <c r="L350" i="33"/>
  <c r="L351" i="33"/>
  <c r="L2" i="33"/>
  <c r="L352" i="33"/>
  <c r="L3" i="33"/>
  <c r="L353" i="33"/>
  <c r="L4" i="33"/>
  <c r="L354" i="33"/>
  <c r="L355" i="33"/>
  <c r="L356" i="33"/>
  <c r="L357" i="33"/>
  <c r="L358" i="33"/>
  <c r="L359" i="33"/>
  <c r="L5" i="33"/>
  <c r="L360" i="33"/>
  <c r="L361" i="33"/>
  <c r="L362" i="33"/>
  <c r="L363" i="33"/>
  <c r="L364" i="33"/>
  <c r="L365" i="33"/>
  <c r="L366" i="33"/>
  <c r="L6" i="33"/>
  <c r="L367" i="33"/>
  <c r="L7" i="33"/>
  <c r="L368" i="33"/>
  <c r="L8" i="33"/>
  <c r="L369" i="33"/>
  <c r="L9" i="33"/>
  <c r="L10" i="33"/>
  <c r="L370" i="33"/>
  <c r="L371" i="33"/>
  <c r="L372" i="33"/>
  <c r="L373" i="33"/>
  <c r="L374" i="33"/>
  <c r="L375" i="33"/>
  <c r="L376" i="33"/>
  <c r="L378" i="33"/>
  <c r="L379" i="33"/>
  <c r="L380" i="33"/>
  <c r="L381" i="33"/>
  <c r="L382" i="33"/>
  <c r="M382" i="33" s="1"/>
  <c r="N382" i="33" s="1"/>
  <c r="L383" i="33"/>
  <c r="L384" i="33"/>
  <c r="L385" i="33"/>
  <c r="L386" i="33"/>
  <c r="L387" i="33"/>
  <c r="L388" i="33"/>
  <c r="L389" i="33"/>
  <c r="L390" i="33"/>
  <c r="L391" i="33"/>
  <c r="L392" i="33"/>
  <c r="L393" i="33"/>
  <c r="L394" i="33"/>
  <c r="L395" i="33"/>
  <c r="L396" i="33"/>
  <c r="L397" i="33"/>
  <c r="L398" i="33"/>
  <c r="L399" i="33"/>
  <c r="L400" i="33"/>
  <c r="L401" i="33"/>
  <c r="L402" i="33"/>
  <c r="L403" i="33"/>
  <c r="L404" i="33"/>
  <c r="L405" i="33"/>
  <c r="M405" i="33" s="1"/>
  <c r="N405" i="33" s="1"/>
  <c r="L406" i="33"/>
  <c r="L407" i="33"/>
  <c r="M407" i="33" s="1"/>
  <c r="N407" i="33" s="1"/>
  <c r="L408" i="33"/>
  <c r="L409" i="33"/>
  <c r="L410" i="33"/>
  <c r="L411" i="33"/>
  <c r="M411" i="33" s="1"/>
  <c r="N411" i="33" s="1"/>
  <c r="L412" i="33"/>
  <c r="L413" i="33"/>
  <c r="L414" i="33"/>
  <c r="M414" i="33" s="1"/>
  <c r="N414" i="33" s="1"/>
  <c r="L415" i="33"/>
  <c r="M415" i="33" s="1"/>
  <c r="N415" i="33" s="1"/>
  <c r="L416" i="33"/>
  <c r="M416" i="33" s="1"/>
  <c r="N416" i="33" s="1"/>
  <c r="L417" i="33"/>
  <c r="M417" i="33" s="1"/>
  <c r="N417" i="33" s="1"/>
  <c r="L418" i="33"/>
  <c r="M418" i="33" s="1"/>
  <c r="N418" i="33" s="1"/>
  <c r="L419" i="33"/>
  <c r="M419" i="33" s="1"/>
  <c r="N419" i="33" s="1"/>
  <c r="L420" i="33"/>
  <c r="M420" i="33" s="1"/>
  <c r="N420" i="33" s="1"/>
  <c r="L421" i="33"/>
  <c r="M421" i="33" s="1"/>
  <c r="N421" i="33" s="1"/>
  <c r="L422" i="33"/>
  <c r="M422" i="33" s="1"/>
  <c r="N422" i="33" s="1"/>
  <c r="L423" i="33"/>
  <c r="M423" i="33" s="1"/>
  <c r="N423" i="33" s="1"/>
  <c r="L424" i="33"/>
  <c r="M424" i="33" s="1"/>
  <c r="N424" i="33" s="1"/>
  <c r="L425" i="33"/>
  <c r="M425" i="33" s="1"/>
  <c r="N425" i="33" s="1"/>
  <c r="L426" i="33"/>
  <c r="M426" i="33" s="1"/>
  <c r="N426" i="33" s="1"/>
  <c r="L427" i="33"/>
  <c r="M427" i="33" s="1"/>
  <c r="N427" i="33" s="1"/>
  <c r="L428" i="33"/>
  <c r="M428" i="33" s="1"/>
  <c r="N428" i="33" s="1"/>
  <c r="L429" i="33"/>
  <c r="M429" i="33" s="1"/>
  <c r="N429" i="33" s="1"/>
  <c r="L430" i="33"/>
  <c r="M430" i="33" s="1"/>
  <c r="N430" i="33" s="1"/>
  <c r="L431" i="33"/>
  <c r="L432" i="33"/>
  <c r="M432" i="33" s="1"/>
  <c r="N432" i="33" s="1"/>
  <c r="L433" i="33"/>
  <c r="L434" i="33"/>
  <c r="L435" i="33"/>
  <c r="L11" i="33"/>
  <c r="M11" i="33" s="1"/>
  <c r="N11" i="33" s="1"/>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39" i="33"/>
  <c r="O40" i="33"/>
  <c r="O41" i="33"/>
  <c r="O42" i="33"/>
  <c r="O43" i="33"/>
  <c r="O44" i="33"/>
  <c r="O45" i="33"/>
  <c r="O46" i="33"/>
  <c r="O47" i="33"/>
  <c r="O48" i="33"/>
  <c r="O49" i="33"/>
  <c r="O50" i="33"/>
  <c r="O51" i="33"/>
  <c r="O52" i="33"/>
  <c r="O53" i="33"/>
  <c r="O54" i="33"/>
  <c r="O55" i="33"/>
  <c r="O56" i="33"/>
  <c r="O57" i="33"/>
  <c r="O58" i="33"/>
  <c r="O59" i="33"/>
  <c r="O60" i="33"/>
  <c r="O61" i="33"/>
  <c r="O62" i="33"/>
  <c r="O63" i="33"/>
  <c r="O64" i="33"/>
  <c r="O65" i="33"/>
  <c r="O66" i="33"/>
  <c r="O67" i="33"/>
  <c r="O68" i="33"/>
  <c r="O69" i="33"/>
  <c r="O70" i="33"/>
  <c r="O71" i="33"/>
  <c r="O72" i="33"/>
  <c r="O73" i="33"/>
  <c r="O74" i="33"/>
  <c r="O75" i="33"/>
  <c r="O76" i="33"/>
  <c r="O77" i="33"/>
  <c r="O78" i="33"/>
  <c r="O79" i="33"/>
  <c r="O80" i="33"/>
  <c r="O81" i="33"/>
  <c r="O82" i="33"/>
  <c r="O83" i="33"/>
  <c r="O84" i="33"/>
  <c r="O85" i="33"/>
  <c r="O86" i="33"/>
  <c r="O87" i="33"/>
  <c r="O88" i="33"/>
  <c r="O89" i="33"/>
  <c r="O90" i="33"/>
  <c r="O91" i="33"/>
  <c r="O92" i="33"/>
  <c r="O93" i="33"/>
  <c r="O94" i="33"/>
  <c r="O95" i="33"/>
  <c r="O96" i="33"/>
  <c r="O97" i="33"/>
  <c r="O98" i="33"/>
  <c r="O99" i="33"/>
  <c r="O100" i="33"/>
  <c r="O101" i="33"/>
  <c r="O102" i="33"/>
  <c r="O103" i="33"/>
  <c r="O104" i="33"/>
  <c r="O105" i="33"/>
  <c r="O106" i="33"/>
  <c r="O107" i="33"/>
  <c r="O108" i="33"/>
  <c r="O109" i="33"/>
  <c r="O110" i="33"/>
  <c r="O111" i="33"/>
  <c r="O112" i="33"/>
  <c r="O113" i="33"/>
  <c r="O114" i="33"/>
  <c r="O115" i="33"/>
  <c r="O116" i="33"/>
  <c r="O117" i="33"/>
  <c r="O118" i="33"/>
  <c r="O119" i="33"/>
  <c r="O120" i="33"/>
  <c r="O121" i="33"/>
  <c r="O122" i="33"/>
  <c r="O123" i="33"/>
  <c r="O124" i="33"/>
  <c r="O125" i="33"/>
  <c r="O126" i="33"/>
  <c r="O127" i="33"/>
  <c r="O128" i="33"/>
  <c r="O129" i="33"/>
  <c r="O130" i="33"/>
  <c r="O131" i="33"/>
  <c r="O132" i="33"/>
  <c r="O133" i="33"/>
  <c r="O134" i="33"/>
  <c r="O135" i="33"/>
  <c r="O136" i="33"/>
  <c r="O137" i="33"/>
  <c r="O138" i="33"/>
  <c r="O139" i="33"/>
  <c r="O140" i="33"/>
  <c r="O141" i="33"/>
  <c r="O142" i="33"/>
  <c r="O143" i="33"/>
  <c r="O144" i="33"/>
  <c r="O145" i="33"/>
  <c r="O146" i="33"/>
  <c r="O147" i="33"/>
  <c r="O148" i="33"/>
  <c r="O149" i="33"/>
  <c r="O150" i="33"/>
  <c r="O151" i="33"/>
  <c r="O152" i="33"/>
  <c r="O153" i="33"/>
  <c r="O154" i="33"/>
  <c r="O155" i="33"/>
  <c r="O156" i="33"/>
  <c r="O157" i="33"/>
  <c r="O158" i="33"/>
  <c r="O159" i="33"/>
  <c r="O160" i="33"/>
  <c r="O161" i="33"/>
  <c r="O162" i="33"/>
  <c r="O163" i="33"/>
  <c r="O164" i="33"/>
  <c r="O165" i="33"/>
  <c r="O166" i="33"/>
  <c r="O167" i="33"/>
  <c r="O168" i="33"/>
  <c r="O169" i="33"/>
  <c r="O170" i="33"/>
  <c r="O171" i="33"/>
  <c r="O172" i="33"/>
  <c r="O173" i="33"/>
  <c r="O174" i="33"/>
  <c r="O175" i="33"/>
  <c r="O176" i="33"/>
  <c r="O177" i="33"/>
  <c r="O178" i="33"/>
  <c r="O179" i="33"/>
  <c r="O180" i="33"/>
  <c r="O181" i="33"/>
  <c r="O182" i="33"/>
  <c r="O183" i="33"/>
  <c r="O184" i="33"/>
  <c r="O185" i="33"/>
  <c r="O186" i="33"/>
  <c r="O187" i="33"/>
  <c r="O188" i="33"/>
  <c r="O189" i="33"/>
  <c r="O190" i="33"/>
  <c r="O191" i="33"/>
  <c r="O192" i="33"/>
  <c r="O193" i="33"/>
  <c r="O194" i="33"/>
  <c r="O195" i="33"/>
  <c r="O196" i="33"/>
  <c r="O197" i="33"/>
  <c r="O198" i="33"/>
  <c r="O199" i="33"/>
  <c r="O200" i="33"/>
  <c r="O201" i="33"/>
  <c r="O202" i="33"/>
  <c r="O203" i="33"/>
  <c r="O204" i="33"/>
  <c r="O205" i="33"/>
  <c r="O206" i="33"/>
  <c r="O207" i="33"/>
  <c r="O208" i="33"/>
  <c r="O209" i="33"/>
  <c r="O210" i="33"/>
  <c r="O211" i="33"/>
  <c r="O212" i="33"/>
  <c r="O213" i="33"/>
  <c r="O214" i="33"/>
  <c r="O215" i="33"/>
  <c r="O216" i="33"/>
  <c r="O217" i="33"/>
  <c r="O218" i="33"/>
  <c r="O219" i="33"/>
  <c r="O220" i="33"/>
  <c r="O221" i="33"/>
  <c r="O222" i="33"/>
  <c r="O223" i="33"/>
  <c r="O224" i="33"/>
  <c r="O225" i="33"/>
  <c r="O226" i="33"/>
  <c r="O227" i="33"/>
  <c r="O228" i="33"/>
  <c r="O229" i="33"/>
  <c r="O230" i="33"/>
  <c r="O231" i="33"/>
  <c r="O232" i="33"/>
  <c r="O233" i="33"/>
  <c r="O234" i="33"/>
  <c r="O235" i="33"/>
  <c r="O236" i="33"/>
  <c r="O237" i="33"/>
  <c r="O238" i="33"/>
  <c r="O239" i="33"/>
  <c r="O240" i="33"/>
  <c r="O241" i="33"/>
  <c r="O242" i="33"/>
  <c r="O243" i="33"/>
  <c r="O244" i="33"/>
  <c r="O245" i="33"/>
  <c r="O246" i="33"/>
  <c r="O247" i="33"/>
  <c r="O248" i="33"/>
  <c r="O249" i="33"/>
  <c r="O250" i="33"/>
  <c r="O251" i="33"/>
  <c r="O252" i="33"/>
  <c r="O253" i="33"/>
  <c r="O254" i="33"/>
  <c r="O255" i="33"/>
  <c r="O256" i="33"/>
  <c r="O257" i="33"/>
  <c r="O258" i="33"/>
  <c r="O259" i="33"/>
  <c r="O260" i="33"/>
  <c r="O261" i="33"/>
  <c r="O262" i="33"/>
  <c r="O263" i="33"/>
  <c r="O264" i="33"/>
  <c r="O265" i="33"/>
  <c r="O266" i="33"/>
  <c r="O267" i="33"/>
  <c r="O268" i="33"/>
  <c r="O269" i="33"/>
  <c r="O270" i="33"/>
  <c r="O271" i="33"/>
  <c r="O272" i="33"/>
  <c r="O273" i="33"/>
  <c r="O274" i="33"/>
  <c r="O275" i="33"/>
  <c r="O276" i="33"/>
  <c r="O277" i="33"/>
  <c r="O278" i="33"/>
  <c r="O279" i="33"/>
  <c r="O280" i="33"/>
  <c r="O281" i="33"/>
  <c r="O282" i="33"/>
  <c r="O283" i="33"/>
  <c r="O284" i="33"/>
  <c r="O285" i="33"/>
  <c r="O286" i="33"/>
  <c r="O287" i="33"/>
  <c r="O288" i="33"/>
  <c r="O289" i="33"/>
  <c r="O290" i="33"/>
  <c r="O291" i="33"/>
  <c r="O292" i="33"/>
  <c r="O293" i="33"/>
  <c r="O294" i="33"/>
  <c r="O295" i="33"/>
  <c r="O296" i="33"/>
  <c r="O297" i="33"/>
  <c r="O298" i="33"/>
  <c r="O299" i="33"/>
  <c r="O300" i="33"/>
  <c r="O301" i="33"/>
  <c r="O302" i="33"/>
  <c r="O303" i="33"/>
  <c r="O304" i="33"/>
  <c r="O305" i="33"/>
  <c r="O306" i="33"/>
  <c r="O307" i="33"/>
  <c r="O308" i="33"/>
  <c r="O309" i="33"/>
  <c r="O310" i="33"/>
  <c r="O311" i="33"/>
  <c r="O312" i="33"/>
  <c r="O313" i="33"/>
  <c r="O314" i="33"/>
  <c r="O315" i="33"/>
  <c r="O316" i="33"/>
  <c r="O317" i="33"/>
  <c r="O318" i="33"/>
  <c r="O319" i="33"/>
  <c r="O320" i="33"/>
  <c r="O321" i="33"/>
  <c r="O322" i="33"/>
  <c r="O323" i="33"/>
  <c r="O324" i="33"/>
  <c r="O325" i="33"/>
  <c r="O326" i="33"/>
  <c r="O327" i="33"/>
  <c r="O330" i="33"/>
  <c r="O331" i="33"/>
  <c r="O332" i="33"/>
  <c r="O333" i="33"/>
  <c r="O334" i="33"/>
  <c r="O335" i="33"/>
  <c r="O336" i="33"/>
  <c r="O337" i="33"/>
  <c r="O338" i="33"/>
  <c r="O339" i="33"/>
  <c r="O340" i="33"/>
  <c r="O341" i="33"/>
  <c r="O342" i="33"/>
  <c r="O343" i="33"/>
  <c r="O344" i="33"/>
  <c r="O345" i="33"/>
  <c r="O346" i="33"/>
  <c r="O347" i="33"/>
  <c r="O348" i="33"/>
  <c r="O349" i="33"/>
  <c r="O350" i="33"/>
  <c r="O351" i="33"/>
  <c r="O2" i="33"/>
  <c r="O352" i="33"/>
  <c r="O3" i="33"/>
  <c r="O353" i="33"/>
  <c r="O4" i="33"/>
  <c r="O354" i="33"/>
  <c r="O355" i="33"/>
  <c r="O356" i="33"/>
  <c r="O357" i="33"/>
  <c r="O358" i="33"/>
  <c r="O359" i="33"/>
  <c r="O5" i="33"/>
  <c r="O360" i="33"/>
  <c r="O361" i="33"/>
  <c r="O362" i="33"/>
  <c r="O363" i="33"/>
  <c r="O364" i="33"/>
  <c r="O365" i="33"/>
  <c r="O366" i="33"/>
  <c r="O6" i="33"/>
  <c r="O367" i="33"/>
  <c r="O7" i="33"/>
  <c r="O368" i="33"/>
  <c r="O8" i="33"/>
  <c r="O369" i="33"/>
  <c r="O9" i="33"/>
  <c r="O10" i="33"/>
  <c r="O370" i="33"/>
  <c r="O371" i="33"/>
  <c r="O372" i="33"/>
  <c r="O373" i="33"/>
  <c r="O374" i="33"/>
  <c r="O375" i="33"/>
  <c r="O376" i="33"/>
  <c r="O377" i="33"/>
  <c r="O378" i="33"/>
  <c r="O379" i="33"/>
  <c r="O380" i="33"/>
  <c r="O381" i="33"/>
  <c r="O382" i="33"/>
  <c r="O383" i="33"/>
  <c r="O384" i="33"/>
  <c r="O385" i="33"/>
  <c r="O386" i="33"/>
  <c r="O387" i="33"/>
  <c r="O388" i="33"/>
  <c r="O389" i="33"/>
  <c r="O390" i="33"/>
  <c r="O391" i="33"/>
  <c r="O392" i="33"/>
  <c r="O393" i="33"/>
  <c r="O394" i="33"/>
  <c r="O395" i="33"/>
  <c r="O396" i="33"/>
  <c r="O397" i="33"/>
  <c r="O398" i="33"/>
  <c r="O399" i="33"/>
  <c r="O400" i="33"/>
  <c r="O401" i="33"/>
  <c r="O402" i="33"/>
  <c r="O403" i="33"/>
  <c r="O404" i="33"/>
  <c r="O405" i="33"/>
  <c r="O406" i="33"/>
  <c r="O407" i="33"/>
  <c r="O408" i="33"/>
  <c r="O409" i="33"/>
  <c r="O410" i="33"/>
  <c r="O411" i="33"/>
  <c r="O412" i="33"/>
  <c r="O413" i="33"/>
  <c r="O414" i="33"/>
  <c r="O415" i="33"/>
  <c r="O416" i="33"/>
  <c r="O417" i="33"/>
  <c r="O418" i="33"/>
  <c r="O419" i="33"/>
  <c r="O420" i="33"/>
  <c r="O421" i="33"/>
  <c r="O422" i="33"/>
  <c r="O423" i="33"/>
  <c r="O424" i="33"/>
  <c r="O425" i="33"/>
  <c r="O426" i="33"/>
  <c r="O427" i="33"/>
  <c r="O428" i="33"/>
  <c r="O429" i="33"/>
  <c r="O430" i="33"/>
  <c r="O431" i="33"/>
  <c r="O432" i="33"/>
  <c r="O433" i="33"/>
  <c r="O434" i="33"/>
  <c r="O435" i="33"/>
  <c r="O11" i="33"/>
  <c r="O12" i="33"/>
  <c r="J5" i="34"/>
  <c r="J6" i="34"/>
  <c r="J7" i="34"/>
  <c r="J8" i="34"/>
  <c r="J9" i="34"/>
  <c r="J10" i="34"/>
  <c r="J11" i="34"/>
  <c r="J12" i="34"/>
  <c r="J13" i="34"/>
  <c r="J15" i="34"/>
  <c r="J16" i="34"/>
  <c r="J17" i="34"/>
  <c r="J18" i="34"/>
  <c r="J19" i="34"/>
  <c r="J20" i="34"/>
  <c r="J21" i="34"/>
  <c r="J22" i="34"/>
  <c r="J23" i="34"/>
  <c r="L5" i="1"/>
  <c r="L6" i="1"/>
  <c r="L7" i="1"/>
  <c r="L8" i="1"/>
  <c r="L9" i="1"/>
  <c r="L10" i="1"/>
  <c r="L11" i="1"/>
  <c r="L12" i="1"/>
  <c r="L14" i="1"/>
  <c r="L15" i="1"/>
  <c r="L16" i="1"/>
  <c r="L17" i="1"/>
  <c r="L18" i="1"/>
  <c r="L19" i="1"/>
  <c r="L20" i="1"/>
  <c r="L21" i="1"/>
  <c r="L22" i="1"/>
  <c r="L4" i="1"/>
  <c r="L13" i="33"/>
  <c r="M13" i="33" s="1"/>
  <c r="N13" i="33" s="1"/>
  <c r="L14" i="33"/>
  <c r="M14" i="33" s="1"/>
  <c r="N14" i="33" s="1"/>
  <c r="L15" i="33"/>
  <c r="M15" i="33" s="1"/>
  <c r="N15" i="33" s="1"/>
  <c r="L16" i="33"/>
  <c r="M16" i="33" s="1"/>
  <c r="N16" i="33" s="1"/>
  <c r="G166" i="33"/>
  <c r="G167" i="33"/>
  <c r="G168" i="33"/>
  <c r="G169" i="33"/>
  <c r="G170" i="33"/>
  <c r="G171" i="33"/>
  <c r="G172" i="33"/>
  <c r="G173" i="33"/>
  <c r="G174" i="33"/>
  <c r="G175" i="33"/>
  <c r="G176" i="33"/>
  <c r="G177" i="33"/>
  <c r="G178" i="33"/>
  <c r="G179" i="33"/>
  <c r="G180" i="33"/>
  <c r="G181" i="33"/>
  <c r="G182" i="33"/>
  <c r="G183" i="33"/>
  <c r="G184" i="33"/>
  <c r="G185" i="33"/>
  <c r="G186" i="33"/>
  <c r="G187" i="33"/>
  <c r="G188" i="33"/>
  <c r="G189" i="33"/>
  <c r="G190" i="33"/>
  <c r="G191" i="33"/>
  <c r="G192" i="33"/>
  <c r="G193" i="33"/>
  <c r="G194" i="33"/>
  <c r="G195" i="33"/>
  <c r="G196" i="33"/>
  <c r="G197" i="33"/>
  <c r="G198" i="33"/>
  <c r="G199" i="33"/>
  <c r="G200" i="33"/>
  <c r="G201" i="33"/>
  <c r="G202" i="33"/>
  <c r="G203" i="33"/>
  <c r="G204" i="33"/>
  <c r="G205" i="33"/>
  <c r="G206" i="33"/>
  <c r="G207" i="33"/>
  <c r="G208" i="33"/>
  <c r="G209" i="33"/>
  <c r="G210" i="33"/>
  <c r="G211" i="33"/>
  <c r="G212" i="33"/>
  <c r="G213" i="33"/>
  <c r="G214" i="33"/>
  <c r="G215" i="33"/>
  <c r="G216" i="33"/>
  <c r="G217" i="33"/>
  <c r="G218" i="33"/>
  <c r="G219" i="33"/>
  <c r="G220" i="33"/>
  <c r="G221" i="33"/>
  <c r="G222" i="33"/>
  <c r="G223" i="33"/>
  <c r="G224" i="33"/>
  <c r="G225" i="33"/>
  <c r="G226" i="33"/>
  <c r="G227" i="33"/>
  <c r="G228" i="33"/>
  <c r="G229" i="33"/>
  <c r="G230" i="33"/>
  <c r="G231" i="33"/>
  <c r="G232" i="33"/>
  <c r="G233" i="33"/>
  <c r="G234" i="33"/>
  <c r="G235" i="33"/>
  <c r="G236" i="33"/>
  <c r="G237" i="33"/>
  <c r="G238" i="33"/>
  <c r="G239" i="33"/>
  <c r="G240" i="33"/>
  <c r="G241" i="33"/>
  <c r="G242" i="33"/>
  <c r="G243" i="33"/>
  <c r="G244" i="33"/>
  <c r="G245" i="33"/>
  <c r="G246" i="33"/>
  <c r="G247" i="33"/>
  <c r="G248" i="33"/>
  <c r="G249" i="33"/>
  <c r="G250" i="33"/>
  <c r="G251" i="33"/>
  <c r="G252" i="33"/>
  <c r="G253" i="33"/>
  <c r="G254" i="33"/>
  <c r="G255" i="33"/>
  <c r="G256" i="33"/>
  <c r="G257" i="33"/>
  <c r="G258" i="33"/>
  <c r="G259" i="33"/>
  <c r="G260" i="33"/>
  <c r="G261" i="33"/>
  <c r="G262" i="33"/>
  <c r="G263" i="33"/>
  <c r="G264" i="33"/>
  <c r="G265" i="33"/>
  <c r="G266" i="33"/>
  <c r="G267" i="33"/>
  <c r="G268" i="33"/>
  <c r="G269" i="33"/>
  <c r="G270" i="33"/>
  <c r="G271" i="33"/>
  <c r="G272" i="33"/>
  <c r="G273" i="33"/>
  <c r="G274" i="33"/>
  <c r="G275" i="33"/>
  <c r="G276" i="33"/>
  <c r="G277" i="33"/>
  <c r="G278" i="33"/>
  <c r="G279" i="33"/>
  <c r="G280" i="33"/>
  <c r="G281" i="33"/>
  <c r="G282" i="33"/>
  <c r="G283" i="33"/>
  <c r="G284" i="33"/>
  <c r="G285" i="33"/>
  <c r="G286" i="33"/>
  <c r="G287" i="33"/>
  <c r="G288" i="33"/>
  <c r="G289" i="33"/>
  <c r="G290" i="33"/>
  <c r="G291" i="33"/>
  <c r="G292" i="33"/>
  <c r="G293" i="33"/>
  <c r="G294" i="33"/>
  <c r="G295" i="33"/>
  <c r="G296" i="33"/>
  <c r="G297" i="33"/>
  <c r="G298" i="33"/>
  <c r="G299" i="33"/>
  <c r="G300" i="33"/>
  <c r="G301" i="33"/>
  <c r="G302" i="33"/>
  <c r="G303" i="33"/>
  <c r="G304" i="33"/>
  <c r="G305" i="33"/>
  <c r="G306" i="33"/>
  <c r="G307" i="33"/>
  <c r="G308" i="33"/>
  <c r="G309" i="33"/>
  <c r="G310" i="33"/>
  <c r="G311" i="33"/>
  <c r="G312" i="33"/>
  <c r="G313" i="33"/>
  <c r="G314" i="33"/>
  <c r="G315" i="33"/>
  <c r="G316" i="33"/>
  <c r="G317" i="33"/>
  <c r="G318" i="33"/>
  <c r="G319" i="33"/>
  <c r="G320" i="33"/>
  <c r="G321" i="33"/>
  <c r="G322" i="33"/>
  <c r="G323" i="33"/>
  <c r="G324" i="33"/>
  <c r="G325" i="33"/>
  <c r="G326" i="33"/>
  <c r="G327" i="33"/>
  <c r="G328" i="33"/>
  <c r="G329" i="33"/>
  <c r="G330" i="33"/>
  <c r="G331" i="33"/>
  <c r="G332" i="33"/>
  <c r="G333" i="33"/>
  <c r="G334" i="33"/>
  <c r="G335" i="33"/>
  <c r="G336" i="33"/>
  <c r="G337" i="33"/>
  <c r="G338" i="33"/>
  <c r="G339" i="33"/>
  <c r="G340" i="33"/>
  <c r="G341" i="33"/>
  <c r="G342" i="33"/>
  <c r="G343" i="33"/>
  <c r="G344" i="33"/>
  <c r="G345" i="33"/>
  <c r="G346" i="33"/>
  <c r="G347" i="33"/>
  <c r="G348" i="33"/>
  <c r="G349" i="33"/>
  <c r="G350" i="33"/>
  <c r="G351" i="33"/>
  <c r="G2" i="33"/>
  <c r="G352" i="33"/>
  <c r="G3" i="33"/>
  <c r="G353" i="33"/>
  <c r="G4" i="33"/>
  <c r="G354" i="33"/>
  <c r="G355" i="33"/>
  <c r="G356" i="33"/>
  <c r="G357" i="33"/>
  <c r="G358" i="33"/>
  <c r="G359" i="33"/>
  <c r="G5" i="33"/>
  <c r="G360" i="33"/>
  <c r="G361" i="33"/>
  <c r="G362" i="33"/>
  <c r="G363" i="33"/>
  <c r="G364" i="33"/>
  <c r="G365" i="33"/>
  <c r="G366" i="33"/>
  <c r="G6" i="33"/>
  <c r="G367" i="33"/>
  <c r="G7" i="33"/>
  <c r="G368" i="33"/>
  <c r="G8" i="33"/>
  <c r="G369" i="33"/>
  <c r="G9" i="33"/>
  <c r="G10" i="33"/>
  <c r="G370" i="33"/>
  <c r="G371" i="33"/>
  <c r="G372" i="33"/>
  <c r="G373" i="33"/>
  <c r="G374" i="33"/>
  <c r="G375" i="33"/>
  <c r="G376" i="33"/>
  <c r="G377" i="33"/>
  <c r="G378" i="33"/>
  <c r="G379" i="33"/>
  <c r="G380" i="33"/>
  <c r="G381" i="33"/>
  <c r="G382" i="33"/>
  <c r="G383" i="33"/>
  <c r="G384" i="33"/>
  <c r="G385" i="33"/>
  <c r="G386" i="33"/>
  <c r="G387" i="33"/>
  <c r="G388" i="33"/>
  <c r="G389" i="33"/>
  <c r="G390" i="33"/>
  <c r="G391" i="33"/>
  <c r="G392" i="33"/>
  <c r="G393" i="33"/>
  <c r="G394" i="33"/>
  <c r="G395" i="33"/>
  <c r="G396" i="33"/>
  <c r="G397" i="33"/>
  <c r="G398" i="33"/>
  <c r="G399" i="33"/>
  <c r="G400" i="33"/>
  <c r="G401" i="33"/>
  <c r="G402" i="33"/>
  <c r="G403" i="33"/>
  <c r="G404" i="33"/>
  <c r="G405" i="33"/>
  <c r="G406" i="33"/>
  <c r="G407" i="33"/>
  <c r="G408" i="33"/>
  <c r="G409" i="33"/>
  <c r="G410" i="33"/>
  <c r="G411" i="33"/>
  <c r="G412" i="33"/>
  <c r="G413" i="33"/>
  <c r="G414" i="33"/>
  <c r="G415" i="33"/>
  <c r="G416" i="33"/>
  <c r="G417" i="33"/>
  <c r="G418" i="33"/>
  <c r="G419" i="33"/>
  <c r="G420" i="33"/>
  <c r="G421" i="33"/>
  <c r="G422" i="33"/>
  <c r="G423" i="33"/>
  <c r="G424" i="33"/>
  <c r="G425" i="33"/>
  <c r="G426" i="33"/>
  <c r="G427" i="33"/>
  <c r="G428" i="33"/>
  <c r="G429" i="33"/>
  <c r="G430" i="33"/>
  <c r="G431" i="33"/>
  <c r="G432" i="33"/>
  <c r="G433" i="33"/>
  <c r="G434" i="33"/>
  <c r="G435"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39" i="33"/>
  <c r="G40" i="33"/>
  <c r="G41" i="33"/>
  <c r="G42" i="33"/>
  <c r="G43" i="33"/>
  <c r="G44" i="33"/>
  <c r="G45" i="33"/>
  <c r="G46" i="33"/>
  <c r="G47" i="33"/>
  <c r="G48" i="33"/>
  <c r="G49" i="33"/>
  <c r="G50" i="33"/>
  <c r="G51" i="33"/>
  <c r="G52" i="33"/>
  <c r="G53" i="33"/>
  <c r="G54" i="33"/>
  <c r="G55" i="33"/>
  <c r="G56" i="33"/>
  <c r="G57" i="33"/>
  <c r="G58" i="33"/>
  <c r="G59" i="33"/>
  <c r="G60" i="33"/>
  <c r="G61" i="33"/>
  <c r="G62" i="33"/>
  <c r="G63" i="33"/>
  <c r="G64" i="33"/>
  <c r="G65" i="33"/>
  <c r="G66" i="33"/>
  <c r="G67" i="33"/>
  <c r="G68" i="33"/>
  <c r="G69" i="33"/>
  <c r="G70" i="33"/>
  <c r="G71" i="33"/>
  <c r="G72" i="33"/>
  <c r="G73" i="33"/>
  <c r="G74" i="33"/>
  <c r="G75" i="33"/>
  <c r="G76" i="33"/>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G126" i="33"/>
  <c r="G127" i="33"/>
  <c r="G128" i="33"/>
  <c r="G129" i="33"/>
  <c r="G130" i="33"/>
  <c r="G131" i="33"/>
  <c r="G132" i="33"/>
  <c r="G133" i="33"/>
  <c r="G134" i="33"/>
  <c r="G135" i="33"/>
  <c r="G136" i="33"/>
  <c r="G137" i="33"/>
  <c r="G138" i="33"/>
  <c r="G139" i="33"/>
  <c r="G140" i="33"/>
  <c r="G141" i="33"/>
  <c r="G142" i="33"/>
  <c r="G143" i="33"/>
  <c r="G144" i="33"/>
  <c r="G145" i="33"/>
  <c r="G146" i="33"/>
  <c r="G147" i="33"/>
  <c r="G148" i="33"/>
  <c r="G149" i="33"/>
  <c r="G150" i="33"/>
  <c r="G151" i="33"/>
  <c r="G152" i="33"/>
  <c r="G153" i="33"/>
  <c r="G154" i="33"/>
  <c r="G155" i="33"/>
  <c r="G156" i="33"/>
  <c r="G157" i="33"/>
  <c r="G158" i="33"/>
  <c r="G159" i="33"/>
  <c r="G160" i="33"/>
  <c r="G161" i="33"/>
  <c r="G162" i="33"/>
  <c r="G163" i="33"/>
  <c r="G164" i="33"/>
  <c r="G165" i="33"/>
  <c r="G11" i="33"/>
  <c r="C19" i="18"/>
  <c r="T7" i="18"/>
  <c r="Q7" i="18"/>
  <c r="N7" i="18"/>
  <c r="K7" i="18"/>
  <c r="H7" i="18"/>
  <c r="E7" i="18"/>
  <c r="C11" i="42" l="1"/>
  <c r="L324" i="33"/>
  <c r="C12" i="42"/>
  <c r="L377" i="33"/>
  <c r="T10" i="18"/>
  <c r="T9" i="18"/>
  <c r="Q9" i="18"/>
  <c r="Q10" i="18"/>
  <c r="Q11" i="18" s="1"/>
  <c r="N10" i="18"/>
  <c r="N9" i="18"/>
  <c r="K9" i="18"/>
  <c r="K10" i="18"/>
  <c r="K11" i="18" s="1"/>
  <c r="H10" i="18"/>
  <c r="H9" i="18"/>
  <c r="E9" i="18"/>
  <c r="E10" i="18"/>
  <c r="H11" i="18" l="1"/>
  <c r="H13" i="18" s="1"/>
  <c r="H14" i="18" s="1"/>
  <c r="N11" i="18"/>
  <c r="N13" i="18" s="1"/>
  <c r="N14" i="18" s="1"/>
  <c r="T11" i="18"/>
  <c r="T13" i="18" s="1"/>
  <c r="T14" i="18" s="1"/>
  <c r="E11" i="18"/>
  <c r="E13" i="18" s="1"/>
  <c r="E14" i="18" s="1"/>
  <c r="Q13" i="18"/>
  <c r="Q14" i="18" s="1"/>
  <c r="K13" i="18"/>
  <c r="K14" i="18"/>
  <c r="T17" i="18" l="1"/>
  <c r="T16" i="18"/>
  <c r="T18" i="18"/>
  <c r="Q17" i="18"/>
  <c r="Q18" i="18"/>
  <c r="Q16" i="18"/>
  <c r="N16" i="18"/>
  <c r="N17" i="18"/>
  <c r="N18" i="18"/>
  <c r="K16" i="18"/>
  <c r="K18" i="18"/>
  <c r="K17" i="18"/>
  <c r="H17" i="18"/>
  <c r="H16" i="18"/>
  <c r="H18" i="18"/>
  <c r="E16" i="18"/>
  <c r="E17" i="18"/>
  <c r="E18" i="18"/>
  <c r="E20" i="18"/>
  <c r="Q20" i="18" l="1"/>
  <c r="Q26" i="18" s="1"/>
  <c r="N20" i="18"/>
  <c r="N26" i="18" s="1"/>
  <c r="T20" i="18"/>
  <c r="T26" i="18" s="1"/>
  <c r="K20" i="18"/>
  <c r="H20" i="18"/>
  <c r="E26" i="18"/>
  <c r="C49" i="18"/>
  <c r="C56" i="18" s="1"/>
  <c r="C63" i="18" s="1"/>
  <c r="B49" i="18"/>
  <c r="B56" i="18" s="1"/>
  <c r="B63" i="18" s="1"/>
  <c r="T37" i="18" l="1"/>
  <c r="Q37" i="18"/>
  <c r="N37" i="18"/>
  <c r="K26" i="18"/>
  <c r="H26" i="18"/>
  <c r="E37" i="18"/>
  <c r="E63" i="18"/>
  <c r="H63" i="18"/>
  <c r="K63" i="18"/>
  <c r="N63" i="18"/>
  <c r="Q63" i="18"/>
  <c r="T63" i="18"/>
  <c r="T39" i="18" l="1"/>
  <c r="Q39" i="18"/>
  <c r="N39" i="18"/>
  <c r="N41" i="18" s="1"/>
  <c r="K37" i="18"/>
  <c r="H37" i="18"/>
  <c r="E39" i="18"/>
  <c r="O37" i="18" l="1"/>
  <c r="D9" i="52"/>
  <c r="F11" i="31"/>
  <c r="F23" i="31"/>
  <c r="O39" i="18"/>
  <c r="T41" i="18"/>
  <c r="Q41" i="18"/>
  <c r="F25" i="31" s="1"/>
  <c r="O26" i="18"/>
  <c r="O20" i="18"/>
  <c r="O14" i="18"/>
  <c r="O11" i="18"/>
  <c r="O41" i="18"/>
  <c r="K39" i="18"/>
  <c r="H39" i="18"/>
  <c r="E41" i="18"/>
  <c r="R322" i="33"/>
  <c r="U322" i="33" l="1"/>
  <c r="E16" i="52"/>
  <c r="E26" i="52" s="1"/>
  <c r="B13" i="52"/>
  <c r="B23" i="52" s="1"/>
  <c r="B14" i="52"/>
  <c r="B24" i="52" s="1"/>
  <c r="B17" i="52"/>
  <c r="B27" i="52" s="1"/>
  <c r="D17" i="52"/>
  <c r="D27" i="52" s="1"/>
  <c r="E17" i="52"/>
  <c r="E27" i="52" s="1"/>
  <c r="F17" i="52"/>
  <c r="F27" i="52" s="1"/>
  <c r="G17" i="52"/>
  <c r="G27" i="52" s="1"/>
  <c r="H17" i="52"/>
  <c r="H27" i="52" s="1"/>
  <c r="C17" i="52"/>
  <c r="C27" i="52" s="1"/>
  <c r="C13" i="52"/>
  <c r="C23" i="52" s="1"/>
  <c r="D13" i="52"/>
  <c r="D23" i="52" s="1"/>
  <c r="E13" i="52"/>
  <c r="E23" i="52" s="1"/>
  <c r="F13" i="52"/>
  <c r="F23" i="52" s="1"/>
  <c r="G13" i="52"/>
  <c r="G23" i="52" s="1"/>
  <c r="H13" i="52"/>
  <c r="H23" i="52" s="1"/>
  <c r="C14" i="52"/>
  <c r="C24" i="52" s="1"/>
  <c r="D14" i="52"/>
  <c r="D24" i="52" s="1"/>
  <c r="E14" i="52"/>
  <c r="E24" i="52" s="1"/>
  <c r="F14" i="52"/>
  <c r="F24" i="52" s="1"/>
  <c r="G14" i="52"/>
  <c r="G24" i="52" s="1"/>
  <c r="H14" i="52"/>
  <c r="H24" i="52" s="1"/>
  <c r="B15" i="52"/>
  <c r="B25" i="52" s="1"/>
  <c r="C15" i="52"/>
  <c r="C25" i="52" s="1"/>
  <c r="D15" i="52"/>
  <c r="D25" i="52" s="1"/>
  <c r="E15" i="52"/>
  <c r="E25" i="52" s="1"/>
  <c r="F15" i="52"/>
  <c r="F25" i="52" s="1"/>
  <c r="G15" i="52"/>
  <c r="G25" i="52" s="1"/>
  <c r="H15" i="52"/>
  <c r="H25" i="52" s="1"/>
  <c r="B16" i="52"/>
  <c r="B26" i="52" s="1"/>
  <c r="C16" i="52"/>
  <c r="C26" i="52" s="1"/>
  <c r="D16" i="52"/>
  <c r="D26" i="52" s="1"/>
  <c r="F16" i="52"/>
  <c r="F26" i="52" s="1"/>
  <c r="G16" i="52"/>
  <c r="G26" i="52" s="1"/>
  <c r="H16" i="52"/>
  <c r="H26" i="52" s="1"/>
  <c r="U39" i="18"/>
  <c r="F27" i="31"/>
  <c r="F39" i="18"/>
  <c r="F5" i="31"/>
  <c r="R39" i="18"/>
  <c r="F13" i="31"/>
  <c r="U41" i="18"/>
  <c r="U11" i="18"/>
  <c r="U14" i="18"/>
  <c r="U20" i="18"/>
  <c r="U26" i="18"/>
  <c r="U37" i="18"/>
  <c r="R41" i="18"/>
  <c r="R11" i="18"/>
  <c r="R14" i="18"/>
  <c r="R20" i="18"/>
  <c r="R26" i="18"/>
  <c r="R37" i="18"/>
  <c r="K41" i="18"/>
  <c r="F21" i="31" s="1"/>
  <c r="H41" i="18"/>
  <c r="F19" i="31" s="1"/>
  <c r="F41" i="18"/>
  <c r="F11" i="18"/>
  <c r="F14" i="18"/>
  <c r="F20" i="18"/>
  <c r="F26" i="18"/>
  <c r="F37" i="18"/>
  <c r="P322" i="33"/>
  <c r="V322" i="33" l="1"/>
  <c r="W322" i="33"/>
  <c r="T322" i="33"/>
  <c r="H31" i="52" a="1"/>
  <c r="H31" i="52" s="1"/>
  <c r="K13" i="24" s="1"/>
  <c r="I39" i="18"/>
  <c r="F7" i="31"/>
  <c r="L39" i="18"/>
  <c r="F9" i="31"/>
  <c r="L41" i="18"/>
  <c r="L11" i="18"/>
  <c r="L14" i="18"/>
  <c r="L20" i="18"/>
  <c r="L26" i="18"/>
  <c r="L37" i="18"/>
  <c r="I41" i="18"/>
  <c r="I11" i="18"/>
  <c r="I14" i="18"/>
  <c r="I20" i="18"/>
  <c r="I26" i="18"/>
  <c r="I37" i="18"/>
  <c r="Q322" i="33" l="1"/>
  <c r="C8" i="42" l="1"/>
  <c r="C7" i="42"/>
  <c r="R136" i="33"/>
  <c r="R140" i="33"/>
  <c r="R142" i="33"/>
  <c r="R146" i="33"/>
  <c r="R196" i="33"/>
  <c r="R111" i="33"/>
  <c r="R161" i="33"/>
  <c r="R108" i="33"/>
  <c r="R112" i="33"/>
  <c r="R148" i="33"/>
  <c r="R163" i="33"/>
  <c r="R165" i="33"/>
  <c r="R167" i="33"/>
  <c r="R169" i="33"/>
  <c r="R175" i="33"/>
  <c r="R177" i="33"/>
  <c r="R189" i="33"/>
  <c r="R143" i="33"/>
  <c r="R179" i="33"/>
  <c r="R128" i="33"/>
  <c r="R132" i="33"/>
  <c r="R181" i="33"/>
  <c r="R183" i="33"/>
  <c r="R185" i="33"/>
  <c r="R187" i="33"/>
  <c r="R191" i="33"/>
  <c r="R139" i="33"/>
  <c r="R171" i="33"/>
  <c r="R173" i="33"/>
  <c r="R141" i="33"/>
  <c r="R147" i="33"/>
  <c r="R193" i="33"/>
  <c r="R114" i="33"/>
  <c r="R116" i="33"/>
  <c r="R120" i="33"/>
  <c r="R124" i="33"/>
  <c r="R95" i="33"/>
  <c r="R106" i="33"/>
  <c r="R145" i="33"/>
  <c r="R138" i="33"/>
  <c r="R135" i="33"/>
  <c r="R123" i="33"/>
  <c r="R115" i="33"/>
  <c r="R107" i="33"/>
  <c r="R104" i="33"/>
  <c r="R100" i="33"/>
  <c r="R119" i="33"/>
  <c r="R127" i="33"/>
  <c r="R130" i="33"/>
  <c r="R144" i="33"/>
  <c r="R99" i="33"/>
  <c r="R103" i="33"/>
  <c r="R131" i="33"/>
  <c r="R134" i="33"/>
  <c r="R94" i="33"/>
  <c r="R156" i="33"/>
  <c r="R182" i="33"/>
  <c r="R102" i="33"/>
  <c r="R110" i="33"/>
  <c r="R170" i="33"/>
  <c r="R126" i="33"/>
  <c r="R97" i="33"/>
  <c r="R178" i="33"/>
  <c r="R96" i="33"/>
  <c r="R122" i="33"/>
  <c r="R166" i="33"/>
  <c r="R186" i="33"/>
  <c r="R118" i="33"/>
  <c r="R174" i="33"/>
  <c r="R98" i="33"/>
  <c r="R154" i="33"/>
  <c r="R149" i="33"/>
  <c r="R157" i="33"/>
  <c r="R160" i="33"/>
  <c r="R194" i="33"/>
  <c r="R152" i="33"/>
  <c r="R168" i="33"/>
  <c r="R172" i="33"/>
  <c r="R176" i="33"/>
  <c r="R180" i="33"/>
  <c r="R184" i="33"/>
  <c r="R188" i="33"/>
  <c r="R155" i="33"/>
  <c r="R162" i="33"/>
  <c r="R164" i="33"/>
  <c r="R150" i="33"/>
  <c r="R158" i="33"/>
  <c r="R192" i="33"/>
  <c r="R153" i="33"/>
  <c r="R101" i="33"/>
  <c r="R105" i="33"/>
  <c r="R109" i="33"/>
  <c r="R113" i="33"/>
  <c r="R117" i="33"/>
  <c r="R121" i="33"/>
  <c r="R125" i="33"/>
  <c r="R129" i="33"/>
  <c r="R133" i="33"/>
  <c r="R137" i="33"/>
  <c r="R151" i="33"/>
  <c r="R159" i="33"/>
  <c r="R190" i="33"/>
  <c r="R197" i="33"/>
  <c r="R198" i="33"/>
  <c r="R199" i="33"/>
  <c r="R195" i="33"/>
  <c r="R230" i="33"/>
  <c r="R221" i="33"/>
  <c r="R222" i="33"/>
  <c r="R231" i="33"/>
  <c r="R227" i="33"/>
  <c r="R229" i="33"/>
  <c r="R223" i="33"/>
  <c r="R220" i="33"/>
  <c r="R233" i="33"/>
  <c r="R225" i="33"/>
  <c r="R228" i="33"/>
  <c r="R232" i="33"/>
  <c r="R224" i="33"/>
  <c r="R234" i="33"/>
  <c r="R226" i="33"/>
  <c r="P136" i="33" l="1"/>
  <c r="V136" i="33"/>
  <c r="U136" i="33"/>
  <c r="W136" i="33"/>
  <c r="T136" i="33"/>
  <c r="P140" i="33"/>
  <c r="V140" i="33"/>
  <c r="T140" i="33"/>
  <c r="W140" i="33"/>
  <c r="U140" i="33"/>
  <c r="P142" i="33"/>
  <c r="U142" i="33"/>
  <c r="T142" i="33"/>
  <c r="W142" i="33"/>
  <c r="V142" i="33"/>
  <c r="P146" i="33"/>
  <c r="W146" i="33"/>
  <c r="T146" i="33"/>
  <c r="U146" i="33"/>
  <c r="V146" i="33"/>
  <c r="U196" i="33"/>
  <c r="P111" i="33"/>
  <c r="U111" i="33"/>
  <c r="V111" i="33"/>
  <c r="T111" i="33"/>
  <c r="W111" i="33"/>
  <c r="P161" i="33"/>
  <c r="U161" i="33"/>
  <c r="W161" i="33"/>
  <c r="V161" i="33"/>
  <c r="T161" i="33"/>
  <c r="U108" i="33"/>
  <c r="U112" i="33"/>
  <c r="W148" i="33"/>
  <c r="V148" i="33"/>
  <c r="U148" i="33"/>
  <c r="T148" i="33"/>
  <c r="W163" i="33"/>
  <c r="T163" i="33"/>
  <c r="V163" i="33"/>
  <c r="U163" i="33"/>
  <c r="P165" i="33"/>
  <c r="W165" i="33"/>
  <c r="V165" i="33"/>
  <c r="U165" i="33"/>
  <c r="T165" i="33"/>
  <c r="P167" i="33"/>
  <c r="T167" i="33" s="1"/>
  <c r="U167" i="33"/>
  <c r="V167" i="33"/>
  <c r="W167" i="33"/>
  <c r="U169" i="33"/>
  <c r="V169" i="33"/>
  <c r="W169" i="33"/>
  <c r="T169" i="33"/>
  <c r="P175" i="33"/>
  <c r="V175" i="33" s="1"/>
  <c r="W175" i="33"/>
  <c r="U175" i="33"/>
  <c r="T175" i="33"/>
  <c r="P177" i="33"/>
  <c r="W177" i="33"/>
  <c r="T177" i="33"/>
  <c r="V177" i="33"/>
  <c r="U177" i="33"/>
  <c r="U189" i="33"/>
  <c r="U143" i="33"/>
  <c r="U179" i="33"/>
  <c r="P128" i="33"/>
  <c r="W128" i="33"/>
  <c r="U128" i="33"/>
  <c r="T128" i="33"/>
  <c r="V128" i="33"/>
  <c r="P132" i="33"/>
  <c r="T132" i="33"/>
  <c r="U132" i="33"/>
  <c r="V132" i="33"/>
  <c r="W132" i="33"/>
  <c r="U181" i="33"/>
  <c r="U183" i="33"/>
  <c r="U185" i="33"/>
  <c r="U187" i="33"/>
  <c r="V191" i="33"/>
  <c r="U191" i="33"/>
  <c r="T191" i="33"/>
  <c r="W191" i="33"/>
  <c r="P139" i="33"/>
  <c r="U139" i="33"/>
  <c r="T139" i="33"/>
  <c r="W139" i="33"/>
  <c r="V139" i="33"/>
  <c r="U171" i="33"/>
  <c r="V171" i="33"/>
  <c r="T171" i="33"/>
  <c r="W171" i="33"/>
  <c r="U173" i="33"/>
  <c r="P141" i="33"/>
  <c r="W141" i="33"/>
  <c r="U141" i="33"/>
  <c r="T141" i="33"/>
  <c r="V141" i="33"/>
  <c r="W147" i="33"/>
  <c r="V147" i="33"/>
  <c r="T147" i="33"/>
  <c r="U147" i="33"/>
  <c r="U193" i="33"/>
  <c r="U114" i="33"/>
  <c r="P116" i="33"/>
  <c r="T116" i="33"/>
  <c r="U116" i="33"/>
  <c r="P120" i="33"/>
  <c r="T120" i="33"/>
  <c r="U120" i="33"/>
  <c r="V120" i="33"/>
  <c r="W120" i="33"/>
  <c r="P124" i="33"/>
  <c r="U124" i="33"/>
  <c r="T124" i="33"/>
  <c r="V124" i="33"/>
  <c r="W124" i="33"/>
  <c r="P95" i="33"/>
  <c r="T95" i="33"/>
  <c r="U95" i="33"/>
  <c r="V95" i="33"/>
  <c r="W95" i="33"/>
  <c r="U106" i="33"/>
  <c r="U145" i="33"/>
  <c r="U138" i="33"/>
  <c r="U135" i="33"/>
  <c r="P123" i="33"/>
  <c r="W123" i="33"/>
  <c r="U123" i="33"/>
  <c r="V123" i="33"/>
  <c r="T123" i="33"/>
  <c r="U115" i="33"/>
  <c r="U107" i="33"/>
  <c r="U104" i="33"/>
  <c r="P100" i="33"/>
  <c r="U100" i="33"/>
  <c r="T100" i="33"/>
  <c r="W100" i="33"/>
  <c r="V100" i="33"/>
  <c r="U119" i="33"/>
  <c r="U127" i="33"/>
  <c r="V130" i="33"/>
  <c r="U130" i="33"/>
  <c r="T130" i="33"/>
  <c r="W130" i="33"/>
  <c r="P144" i="33"/>
  <c r="V144" i="33"/>
  <c r="T144" i="33"/>
  <c r="W144" i="33"/>
  <c r="U144" i="33"/>
  <c r="U99" i="33"/>
  <c r="P103" i="33"/>
  <c r="T103" i="33"/>
  <c r="W103" i="33"/>
  <c r="U103" i="33"/>
  <c r="V103" i="33"/>
  <c r="T131" i="33"/>
  <c r="W131" i="33"/>
  <c r="V131" i="33"/>
  <c r="U131" i="33"/>
  <c r="U134" i="33"/>
  <c r="U94" i="33"/>
  <c r="U156" i="33"/>
  <c r="U182" i="33"/>
  <c r="U102" i="33"/>
  <c r="U110" i="33"/>
  <c r="U170" i="33"/>
  <c r="U126" i="33"/>
  <c r="U97" i="33"/>
  <c r="V178" i="33"/>
  <c r="T178" i="33"/>
  <c r="W178" i="33"/>
  <c r="U178" i="33"/>
  <c r="U96" i="33"/>
  <c r="U122" i="33"/>
  <c r="U166" i="33"/>
  <c r="U186" i="33"/>
  <c r="U118" i="33"/>
  <c r="W174" i="33"/>
  <c r="V174" i="33"/>
  <c r="U174" i="33"/>
  <c r="T174" i="33"/>
  <c r="U98" i="33"/>
  <c r="U154" i="33"/>
  <c r="W154" i="33"/>
  <c r="T154" i="33"/>
  <c r="V154" i="33"/>
  <c r="T149" i="33"/>
  <c r="V149" i="33"/>
  <c r="W149" i="33"/>
  <c r="U149" i="33"/>
  <c r="W157" i="33"/>
  <c r="T157" i="33"/>
  <c r="U157" i="33"/>
  <c r="V157" i="33"/>
  <c r="U160" i="33"/>
  <c r="V194" i="33"/>
  <c r="W194" i="33"/>
  <c r="U194" i="33"/>
  <c r="T194" i="33"/>
  <c r="U152" i="33"/>
  <c r="U168" i="33"/>
  <c r="W168" i="33"/>
  <c r="V168" i="33"/>
  <c r="T168" i="33"/>
  <c r="U172" i="33"/>
  <c r="U176" i="33"/>
  <c r="U180" i="33"/>
  <c r="U184" i="33"/>
  <c r="U188" i="33"/>
  <c r="T155" i="33"/>
  <c r="U155" i="33"/>
  <c r="W155" i="33"/>
  <c r="V155" i="33"/>
  <c r="U162" i="33"/>
  <c r="U164" i="33"/>
  <c r="U150" i="33"/>
  <c r="U158" i="33"/>
  <c r="U192" i="33"/>
  <c r="U153" i="33"/>
  <c r="U101" i="33"/>
  <c r="U105" i="33"/>
  <c r="U109" i="33"/>
  <c r="U113" i="33"/>
  <c r="U117" i="33"/>
  <c r="U121" i="33"/>
  <c r="U125" i="33"/>
  <c r="U129" i="33"/>
  <c r="U133" i="33"/>
  <c r="U137" i="33"/>
  <c r="W151" i="33"/>
  <c r="U151" i="33"/>
  <c r="T151" i="33"/>
  <c r="V151" i="33"/>
  <c r="U159" i="33"/>
  <c r="U190" i="33"/>
  <c r="U197" i="33"/>
  <c r="U198" i="33"/>
  <c r="U199" i="33"/>
  <c r="U195" i="33"/>
  <c r="U230" i="33"/>
  <c r="U221" i="33"/>
  <c r="U222" i="33"/>
  <c r="U231" i="33"/>
  <c r="P227" i="33"/>
  <c r="T227" i="33"/>
  <c r="U227" i="33"/>
  <c r="W227" i="33"/>
  <c r="V227" i="33"/>
  <c r="P229" i="33"/>
  <c r="W229" i="33"/>
  <c r="T229" i="33"/>
  <c r="U229" i="33"/>
  <c r="V229" i="33"/>
  <c r="P223" i="33"/>
  <c r="W223" i="33"/>
  <c r="T223" i="33"/>
  <c r="V223" i="33"/>
  <c r="U223" i="33"/>
  <c r="U220" i="33"/>
  <c r="U233" i="33"/>
  <c r="U225" i="33"/>
  <c r="U228" i="33"/>
  <c r="U232" i="33"/>
  <c r="U224" i="33"/>
  <c r="U234" i="33"/>
  <c r="U226" i="33"/>
  <c r="P196" i="33"/>
  <c r="P112" i="33"/>
  <c r="P108" i="33"/>
  <c r="P191" i="33"/>
  <c r="P138" i="33"/>
  <c r="P130" i="33"/>
  <c r="P143" i="33"/>
  <c r="P179" i="33"/>
  <c r="P189" i="33"/>
  <c r="P147" i="33"/>
  <c r="P181" i="33"/>
  <c r="P183" i="33"/>
  <c r="P107" i="33"/>
  <c r="P106" i="33"/>
  <c r="P231" i="33"/>
  <c r="T231" i="33" s="1"/>
  <c r="P187" i="33"/>
  <c r="P185" i="33"/>
  <c r="P173" i="33"/>
  <c r="P222" i="33"/>
  <c r="P99" i="33"/>
  <c r="P145" i="33"/>
  <c r="P114" i="33"/>
  <c r="P193" i="33"/>
  <c r="P230" i="33"/>
  <c r="P135" i="33"/>
  <c r="P134" i="33"/>
  <c r="P119" i="33"/>
  <c r="P115" i="33"/>
  <c r="P104" i="33"/>
  <c r="P127" i="33"/>
  <c r="P94" i="33"/>
  <c r="P109" i="33"/>
  <c r="P153" i="33"/>
  <c r="P174" i="33"/>
  <c r="P178" i="33"/>
  <c r="P129" i="33"/>
  <c r="P102" i="33"/>
  <c r="P156" i="33"/>
  <c r="P190" i="33"/>
  <c r="P117" i="33"/>
  <c r="P194" i="33"/>
  <c r="P157" i="33"/>
  <c r="P198" i="33"/>
  <c r="P159" i="33"/>
  <c r="P137" i="33"/>
  <c r="P105" i="33"/>
  <c r="P158" i="33"/>
  <c r="P162" i="33"/>
  <c r="P184" i="33"/>
  <c r="P176" i="33"/>
  <c r="P168" i="33"/>
  <c r="P118" i="33"/>
  <c r="P186" i="33"/>
  <c r="P125" i="33"/>
  <c r="P192" i="33"/>
  <c r="P98" i="33"/>
  <c r="P166" i="33"/>
  <c r="P110" i="33"/>
  <c r="P113" i="33"/>
  <c r="P96" i="33"/>
  <c r="P126" i="33"/>
  <c r="P182" i="33"/>
  <c r="P195" i="33"/>
  <c r="P199" i="33"/>
  <c r="P197" i="33"/>
  <c r="P133" i="33"/>
  <c r="P101" i="33"/>
  <c r="P150" i="33"/>
  <c r="P152" i="33"/>
  <c r="P97" i="33"/>
  <c r="P121" i="33"/>
  <c r="P164" i="33"/>
  <c r="P188" i="33"/>
  <c r="P180" i="33"/>
  <c r="P172" i="33"/>
  <c r="P160" i="33"/>
  <c r="P122" i="33"/>
  <c r="P170" i="33"/>
  <c r="P221" i="33"/>
  <c r="P226" i="33"/>
  <c r="P224" i="33"/>
  <c r="P234" i="33"/>
  <c r="P225" i="33"/>
  <c r="P228" i="33"/>
  <c r="P233" i="33"/>
  <c r="P220" i="33"/>
  <c r="P232" i="33"/>
  <c r="W232" i="33" s="1"/>
  <c r="V116" i="33" l="1"/>
  <c r="W116" i="33"/>
  <c r="W143" i="33"/>
  <c r="V143" i="33"/>
  <c r="T143" i="33"/>
  <c r="V189" i="33"/>
  <c r="W189" i="33"/>
  <c r="T189" i="33"/>
  <c r="T173" i="33"/>
  <c r="V173" i="33"/>
  <c r="W173" i="33"/>
  <c r="T134" i="33"/>
  <c r="V134" i="33"/>
  <c r="W134" i="33"/>
  <c r="V94" i="33"/>
  <c r="T94" i="33"/>
  <c r="W94" i="33"/>
  <c r="W152" i="33"/>
  <c r="T152" i="33"/>
  <c r="V152" i="33"/>
  <c r="V97" i="33"/>
  <c r="T97" i="33"/>
  <c r="W97" i="33"/>
  <c r="V121" i="33"/>
  <c r="T121" i="33"/>
  <c r="W121" i="33"/>
  <c r="V164" i="33"/>
  <c r="T164" i="33"/>
  <c r="W164" i="33"/>
  <c r="T160" i="33"/>
  <c r="V160" i="33"/>
  <c r="W160" i="33"/>
  <c r="T122" i="33"/>
  <c r="V122" i="33"/>
  <c r="W122" i="33"/>
  <c r="W170" i="33"/>
  <c r="V170" i="33"/>
  <c r="T170" i="33"/>
  <c r="V221" i="33"/>
  <c r="W221" i="33"/>
  <c r="T221" i="33"/>
  <c r="V225" i="33"/>
  <c r="W225" i="33"/>
  <c r="T225" i="33"/>
  <c r="V228" i="33"/>
  <c r="T228" i="33"/>
  <c r="W228" i="33"/>
  <c r="T233" i="33"/>
  <c r="V233" i="33"/>
  <c r="W233" i="33"/>
  <c r="W220" i="33"/>
  <c r="T220" i="33"/>
  <c r="V220" i="33"/>
  <c r="W196" i="33"/>
  <c r="T196" i="33"/>
  <c r="V196" i="33"/>
  <c r="V112" i="33"/>
  <c r="W112" i="33"/>
  <c r="T112" i="33"/>
  <c r="V108" i="33"/>
  <c r="T108" i="33"/>
  <c r="W108" i="33"/>
  <c r="T138" i="33"/>
  <c r="V138" i="33"/>
  <c r="W138" i="33"/>
  <c r="V179" i="33"/>
  <c r="W179" i="33"/>
  <c r="T179" i="33"/>
  <c r="V181" i="33"/>
  <c r="T181" i="33"/>
  <c r="W181" i="33"/>
  <c r="T183" i="33"/>
  <c r="W183" i="33"/>
  <c r="V183" i="33"/>
  <c r="V107" i="33"/>
  <c r="T107" i="33"/>
  <c r="W107" i="33"/>
  <c r="V106" i="33"/>
  <c r="T106" i="33"/>
  <c r="W106" i="33"/>
  <c r="V231" i="33"/>
  <c r="W231" i="33"/>
  <c r="V187" i="33"/>
  <c r="W187" i="33"/>
  <c r="T187" i="33"/>
  <c r="V185" i="33"/>
  <c r="T185" i="33"/>
  <c r="W185" i="33"/>
  <c r="W222" i="33"/>
  <c r="V222" i="33"/>
  <c r="T222" i="33"/>
  <c r="W99" i="33"/>
  <c r="V99" i="33"/>
  <c r="T99" i="33"/>
  <c r="W145" i="33"/>
  <c r="V145" i="33"/>
  <c r="T145" i="33"/>
  <c r="T114" i="33"/>
  <c r="V114" i="33"/>
  <c r="W114" i="33"/>
  <c r="W193" i="33"/>
  <c r="T193" i="33"/>
  <c r="V193" i="33"/>
  <c r="W230" i="33"/>
  <c r="V230" i="33"/>
  <c r="T230" i="33"/>
  <c r="W135" i="33"/>
  <c r="T135" i="33"/>
  <c r="V135" i="33"/>
  <c r="W119" i="33"/>
  <c r="T119" i="33"/>
  <c r="V119" i="33"/>
  <c r="T115" i="33"/>
  <c r="W115" i="33"/>
  <c r="V115" i="33"/>
  <c r="T104" i="33"/>
  <c r="V104" i="33"/>
  <c r="W104" i="33"/>
  <c r="V127" i="33"/>
  <c r="W127" i="33"/>
  <c r="T127" i="33"/>
  <c r="T109" i="33"/>
  <c r="V109" i="33"/>
  <c r="W109" i="33"/>
  <c r="W153" i="33"/>
  <c r="T153" i="33"/>
  <c r="V153" i="33"/>
  <c r="V129" i="33"/>
  <c r="T129" i="33"/>
  <c r="W129" i="33"/>
  <c r="T102" i="33"/>
  <c r="V102" i="33"/>
  <c r="W102" i="33"/>
  <c r="W156" i="33"/>
  <c r="V156" i="33"/>
  <c r="T156" i="33"/>
  <c r="V190" i="33"/>
  <c r="T190" i="33"/>
  <c r="W190" i="33"/>
  <c r="W117" i="33"/>
  <c r="T117" i="33"/>
  <c r="V117" i="33"/>
  <c r="W198" i="33"/>
  <c r="V198" i="33"/>
  <c r="T198" i="33"/>
  <c r="W159" i="33"/>
  <c r="V159" i="33"/>
  <c r="T159" i="33"/>
  <c r="V137" i="33"/>
  <c r="T137" i="33"/>
  <c r="W137" i="33"/>
  <c r="T105" i="33"/>
  <c r="V105" i="33"/>
  <c r="W105" i="33"/>
  <c r="T158" i="33"/>
  <c r="W158" i="33"/>
  <c r="V158" i="33"/>
  <c r="T162" i="33"/>
  <c r="V162" i="33"/>
  <c r="W162" i="33"/>
  <c r="V184" i="33"/>
  <c r="W184" i="33"/>
  <c r="T184" i="33"/>
  <c r="W176" i="33"/>
  <c r="T176" i="33"/>
  <c r="V176" i="33"/>
  <c r="V118" i="33"/>
  <c r="W118" i="33"/>
  <c r="T118" i="33"/>
  <c r="V186" i="33"/>
  <c r="T186" i="33"/>
  <c r="W186" i="33"/>
  <c r="T125" i="33"/>
  <c r="W125" i="33"/>
  <c r="V125" i="33"/>
  <c r="T192" i="33"/>
  <c r="V192" i="33"/>
  <c r="W192" i="33"/>
  <c r="W98" i="33"/>
  <c r="V98" i="33"/>
  <c r="T98" i="33"/>
  <c r="W166" i="33"/>
  <c r="T166" i="33"/>
  <c r="V166" i="33"/>
  <c r="T110" i="33"/>
  <c r="V110" i="33"/>
  <c r="W110" i="33"/>
  <c r="W113" i="33"/>
  <c r="T113" i="33"/>
  <c r="V113" i="33"/>
  <c r="W96" i="33"/>
  <c r="T96" i="33"/>
  <c r="V96" i="33"/>
  <c r="V126" i="33"/>
  <c r="W126" i="33"/>
  <c r="T126" i="33"/>
  <c r="W182" i="33"/>
  <c r="V182" i="33"/>
  <c r="T182" i="33"/>
  <c r="T195" i="33"/>
  <c r="V195" i="33"/>
  <c r="W195" i="33"/>
  <c r="W199" i="33"/>
  <c r="T199" i="33"/>
  <c r="V199" i="33"/>
  <c r="W197" i="33"/>
  <c r="T197" i="33"/>
  <c r="V197" i="33"/>
  <c r="W133" i="33"/>
  <c r="T133" i="33"/>
  <c r="V133" i="33"/>
  <c r="V101" i="33"/>
  <c r="W101" i="33"/>
  <c r="T101" i="33"/>
  <c r="T150" i="33"/>
  <c r="W150" i="33"/>
  <c r="V150" i="33"/>
  <c r="V188" i="33"/>
  <c r="T188" i="33"/>
  <c r="W188" i="33"/>
  <c r="V180" i="33"/>
  <c r="W180" i="33"/>
  <c r="T180" i="33"/>
  <c r="T172" i="33"/>
  <c r="W172" i="33"/>
  <c r="V172" i="33"/>
  <c r="W226" i="33"/>
  <c r="V226" i="33"/>
  <c r="T226" i="33"/>
  <c r="W224" i="33"/>
  <c r="V224" i="33"/>
  <c r="T224" i="33"/>
  <c r="V234" i="33"/>
  <c r="T234" i="33"/>
  <c r="W234" i="33"/>
  <c r="V232" i="33"/>
  <c r="T232" i="33"/>
  <c r="C6" i="42"/>
  <c r="C3" i="42"/>
  <c r="C10" i="42"/>
  <c r="C9" i="42"/>
  <c r="C5" i="42"/>
  <c r="C4" i="42"/>
  <c r="Q142" i="33"/>
  <c r="Q146" i="33"/>
  <c r="Q148" i="33"/>
  <c r="Q177" i="33"/>
  <c r="Q132" i="33"/>
  <c r="Q175" i="33"/>
  <c r="Q161" i="33"/>
  <c r="Q124" i="33"/>
  <c r="Q167" i="33"/>
  <c r="Q95" i="33"/>
  <c r="Q136" i="33"/>
  <c r="Q140" i="33"/>
  <c r="Q141" i="33"/>
  <c r="Q120" i="33"/>
  <c r="Q144" i="33"/>
  <c r="Q128" i="33"/>
  <c r="Q123" i="33"/>
  <c r="Q163" i="33"/>
  <c r="Q169" i="33"/>
  <c r="Q103" i="33"/>
  <c r="Q139" i="33"/>
  <c r="Q100" i="33"/>
  <c r="Q111" i="33"/>
  <c r="Q165" i="33"/>
  <c r="Q227" i="33"/>
  <c r="Q229" i="33"/>
  <c r="Q223" i="33"/>
  <c r="Q116" i="33" l="1"/>
  <c r="Q154" i="33"/>
  <c r="Q196" i="33"/>
  <c r="Q112" i="33"/>
  <c r="Q108" i="33"/>
  <c r="Q107" i="33"/>
  <c r="Q130" i="33"/>
  <c r="Q231" i="33"/>
  <c r="Q191" i="33"/>
  <c r="Q138" i="33"/>
  <c r="Q122" i="33"/>
  <c r="Q147" i="33"/>
  <c r="Q99" i="33"/>
  <c r="Q168" i="33"/>
  <c r="Q185" i="33"/>
  <c r="Q118" i="33"/>
  <c r="Q189" i="33"/>
  <c r="Q179" i="33"/>
  <c r="Q183" i="33"/>
  <c r="Q109" i="33"/>
  <c r="Q173" i="33"/>
  <c r="Q143" i="33"/>
  <c r="Q134" i="33"/>
  <c r="Q187" i="33"/>
  <c r="Q126" i="33"/>
  <c r="Q181" i="33"/>
  <c r="Q159" i="33"/>
  <c r="Q150" i="33"/>
  <c r="Q135" i="33"/>
  <c r="Q104" i="33"/>
  <c r="Q145" i="33"/>
  <c r="Q106" i="33"/>
  <c r="Q194" i="33"/>
  <c r="Q115" i="33"/>
  <c r="Q151" i="33"/>
  <c r="Q190" i="33"/>
  <c r="Q131" i="33"/>
  <c r="Q222" i="33"/>
  <c r="Q153" i="33"/>
  <c r="Q127" i="33"/>
  <c r="Q166" i="33"/>
  <c r="Q114" i="33"/>
  <c r="Q197" i="33"/>
  <c r="Q133" i="33"/>
  <c r="Q193" i="33"/>
  <c r="Q129" i="33"/>
  <c r="Q160" i="33"/>
  <c r="Q121" i="33"/>
  <c r="Q186" i="33"/>
  <c r="Q225" i="33"/>
  <c r="Q230" i="33"/>
  <c r="Q110" i="33"/>
  <c r="Q171" i="33"/>
  <c r="Q221" i="33"/>
  <c r="Q119" i="33"/>
  <c r="Q125" i="33"/>
  <c r="Q178" i="33"/>
  <c r="Q195" i="33"/>
  <c r="Q176" i="33"/>
  <c r="Q182" i="33"/>
  <c r="Q156" i="33"/>
  <c r="Q184" i="33"/>
  <c r="Q180" i="33"/>
  <c r="Q192" i="33"/>
  <c r="Q94" i="33"/>
  <c r="Q198" i="33"/>
  <c r="Q174" i="33"/>
  <c r="Q170" i="33"/>
  <c r="Q157" i="33"/>
  <c r="Q113" i="33"/>
  <c r="Q105" i="33"/>
  <c r="Q102" i="33"/>
  <c r="Q96" i="33"/>
  <c r="Q158" i="33"/>
  <c r="Q117" i="33"/>
  <c r="Q101" i="33"/>
  <c r="Q199" i="33"/>
  <c r="Q152" i="33"/>
  <c r="Q162" i="33"/>
  <c r="Q97" i="33"/>
  <c r="Q149" i="33"/>
  <c r="Q164" i="33"/>
  <c r="Q188" i="33"/>
  <c r="Q172" i="33"/>
  <c r="Q155" i="33"/>
  <c r="Q98" i="33"/>
  <c r="Q137" i="33"/>
  <c r="Q220" i="33"/>
  <c r="Q234" i="33"/>
  <c r="Q224" i="33"/>
  <c r="Q232" i="33"/>
  <c r="Q228" i="33"/>
  <c r="Q226" i="33"/>
  <c r="Q233" i="33"/>
  <c r="C3" i="24" l="1"/>
  <c r="C4" i="24"/>
  <c r="C5" i="24"/>
  <c r="C7" i="24"/>
  <c r="C8" i="24"/>
  <c r="C9" i="24"/>
  <c r="C11" i="24"/>
  <c r="C12" i="24"/>
  <c r="C2" i="24"/>
  <c r="T68" i="18"/>
  <c r="T67" i="18"/>
  <c r="T66" i="18"/>
  <c r="T65" i="18"/>
  <c r="T64" i="18"/>
  <c r="T62" i="18"/>
  <c r="T61" i="18"/>
  <c r="T60" i="18"/>
  <c r="T59" i="18"/>
  <c r="T58" i="18"/>
  <c r="T57" i="18"/>
  <c r="T56" i="18"/>
  <c r="T55" i="18"/>
  <c r="T54" i="18"/>
  <c r="T53" i="18"/>
  <c r="T52" i="18"/>
  <c r="T51" i="18"/>
  <c r="T50" i="18"/>
  <c r="T49" i="18"/>
  <c r="T48" i="18"/>
  <c r="T47" i="18"/>
  <c r="T46" i="18"/>
  <c r="T45" i="18"/>
  <c r="T44" i="18"/>
  <c r="T43" i="18"/>
  <c r="T42" i="18"/>
  <c r="Q68" i="18"/>
  <c r="Q67" i="18"/>
  <c r="Q66" i="18"/>
  <c r="Q65" i="18"/>
  <c r="Q64" i="18"/>
  <c r="Q62" i="18"/>
  <c r="Q61" i="18"/>
  <c r="Q60" i="18"/>
  <c r="Q59" i="18"/>
  <c r="Q58" i="18"/>
  <c r="Q57" i="18"/>
  <c r="Q56" i="18"/>
  <c r="Q55" i="18"/>
  <c r="Q54" i="18"/>
  <c r="Q53" i="18"/>
  <c r="Q52" i="18"/>
  <c r="Q51" i="18"/>
  <c r="Q50" i="18"/>
  <c r="Q49" i="18"/>
  <c r="Q48" i="18"/>
  <c r="Q47" i="18"/>
  <c r="Q46" i="18"/>
  <c r="Q45" i="18"/>
  <c r="Q44" i="18"/>
  <c r="Q43" i="18"/>
  <c r="Q42" i="18"/>
  <c r="N68" i="18"/>
  <c r="N67" i="18"/>
  <c r="N66" i="18"/>
  <c r="N65" i="18"/>
  <c r="N64" i="18"/>
  <c r="N62" i="18"/>
  <c r="N61" i="18"/>
  <c r="N60" i="18"/>
  <c r="N59" i="18"/>
  <c r="N58" i="18"/>
  <c r="N57" i="18"/>
  <c r="N55" i="18"/>
  <c r="N56" i="18" s="1"/>
  <c r="N54" i="18"/>
  <c r="N53" i="18"/>
  <c r="N52" i="18"/>
  <c r="N51" i="18"/>
  <c r="N50" i="18"/>
  <c r="N49" i="18"/>
  <c r="N48" i="18"/>
  <c r="N47" i="18"/>
  <c r="N46" i="18"/>
  <c r="N45" i="18"/>
  <c r="N44" i="18"/>
  <c r="N43" i="18"/>
  <c r="N42" i="18"/>
  <c r="K68" i="18"/>
  <c r="K67" i="18"/>
  <c r="K66" i="18"/>
  <c r="K65" i="18"/>
  <c r="K64" i="18"/>
  <c r="K62" i="18"/>
  <c r="K61" i="18"/>
  <c r="K60" i="18"/>
  <c r="K59" i="18"/>
  <c r="K58" i="18"/>
  <c r="K57" i="18"/>
  <c r="K56" i="18"/>
  <c r="K55" i="18"/>
  <c r="K54" i="18"/>
  <c r="K53" i="18"/>
  <c r="K52" i="18"/>
  <c r="K51" i="18"/>
  <c r="K50" i="18"/>
  <c r="K49" i="18"/>
  <c r="K48" i="18"/>
  <c r="K47" i="18"/>
  <c r="K46" i="18"/>
  <c r="K45" i="18"/>
  <c r="K44" i="18"/>
  <c r="K43" i="18"/>
  <c r="K42" i="18"/>
  <c r="H68" i="18"/>
  <c r="H67" i="18"/>
  <c r="H66" i="18"/>
  <c r="H65" i="18"/>
  <c r="H64" i="18"/>
  <c r="H62" i="18"/>
  <c r="H61" i="18"/>
  <c r="H60" i="18"/>
  <c r="H59" i="18"/>
  <c r="H58" i="18"/>
  <c r="H57" i="18"/>
  <c r="H56" i="18"/>
  <c r="H55" i="18"/>
  <c r="H54" i="18"/>
  <c r="H53" i="18"/>
  <c r="H52" i="18"/>
  <c r="H51" i="18"/>
  <c r="H50" i="18"/>
  <c r="H49" i="18"/>
  <c r="H48" i="18"/>
  <c r="H47" i="18"/>
  <c r="H46" i="18"/>
  <c r="H45" i="18"/>
  <c r="H44" i="18"/>
  <c r="H43" i="18"/>
  <c r="H42" i="18"/>
  <c r="E68" i="18"/>
  <c r="E67" i="18"/>
  <c r="E66" i="18"/>
  <c r="E65" i="18"/>
  <c r="E64" i="18"/>
  <c r="E62" i="18"/>
  <c r="E61" i="18"/>
  <c r="E60" i="18"/>
  <c r="E59" i="18"/>
  <c r="E58" i="18"/>
  <c r="E57" i="18"/>
  <c r="E56" i="18"/>
  <c r="E55" i="18"/>
  <c r="E54" i="18"/>
  <c r="E53" i="18"/>
  <c r="E52" i="18"/>
  <c r="E51" i="18"/>
  <c r="E50" i="18"/>
  <c r="E48" i="18"/>
  <c r="E49" i="18" s="1"/>
  <c r="E47" i="18"/>
  <c r="E46" i="18"/>
  <c r="E45" i="18"/>
  <c r="E44" i="18"/>
  <c r="E43" i="18"/>
  <c r="E42" i="18"/>
  <c r="U48" i="18" l="1"/>
  <c r="R48" i="18"/>
  <c r="O48" i="18"/>
  <c r="L48" i="18"/>
  <c r="I48" i="18"/>
  <c r="F48" i="18"/>
  <c r="J4" i="34"/>
  <c r="J3" i="34"/>
  <c r="C10" i="24"/>
  <c r="C6" i="24"/>
  <c r="L3" i="1"/>
  <c r="L2" i="1"/>
  <c r="C14" i="31"/>
  <c r="R265" i="33" l="1"/>
  <c r="R39" i="33"/>
  <c r="R309" i="33"/>
  <c r="R329" i="33"/>
  <c r="R263" i="33"/>
  <c r="R344" i="33"/>
  <c r="R335" i="33"/>
  <c r="R395" i="33"/>
  <c r="R381" i="33"/>
  <c r="R360" i="33"/>
  <c r="R22" i="33"/>
  <c r="R376" i="33"/>
  <c r="R401" i="33"/>
  <c r="R419" i="33"/>
  <c r="R418" i="33"/>
  <c r="R411" i="33"/>
  <c r="R410" i="33"/>
  <c r="R408" i="33"/>
  <c r="R413" i="33"/>
  <c r="R420" i="33"/>
  <c r="R423" i="33"/>
  <c r="R409" i="33"/>
  <c r="R416" i="33"/>
  <c r="R414" i="33"/>
  <c r="R421" i="33"/>
  <c r="R412" i="33"/>
  <c r="R417" i="33"/>
  <c r="R422" i="33"/>
  <c r="R415" i="33"/>
  <c r="R308" i="33"/>
  <c r="R312" i="33"/>
  <c r="R306" i="33"/>
  <c r="R315" i="33"/>
  <c r="R313" i="33"/>
  <c r="R307" i="33"/>
  <c r="R316" i="33"/>
  <c r="R311" i="33"/>
  <c r="R305" i="33"/>
  <c r="R314" i="33"/>
  <c r="R310" i="33"/>
  <c r="R261" i="33"/>
  <c r="R324" i="33"/>
  <c r="R6" i="33"/>
  <c r="R50" i="33"/>
  <c r="R62" i="33"/>
  <c r="R54" i="33"/>
  <c r="R63" i="33"/>
  <c r="R384" i="33"/>
  <c r="R354" i="33"/>
  <c r="R341" i="33"/>
  <c r="R333" i="33"/>
  <c r="R257" i="33"/>
  <c r="R301" i="33"/>
  <c r="R300" i="33"/>
  <c r="R244" i="33"/>
  <c r="R275" i="33"/>
  <c r="R91" i="33"/>
  <c r="R295" i="33"/>
  <c r="R435" i="33"/>
  <c r="R427" i="33"/>
  <c r="R53" i="33"/>
  <c r="R45" i="33"/>
  <c r="R347" i="33"/>
  <c r="R323" i="33"/>
  <c r="R404" i="33"/>
  <c r="R235" i="33"/>
  <c r="R294" i="33"/>
  <c r="R286" i="33"/>
  <c r="R426" i="33"/>
  <c r="R214" i="33"/>
  <c r="R206" i="33"/>
  <c r="R16" i="33"/>
  <c r="R386" i="33"/>
  <c r="R10" i="33"/>
  <c r="R272" i="33"/>
  <c r="R82" i="33"/>
  <c r="R42" i="33"/>
  <c r="R30" i="33"/>
  <c r="R393" i="33"/>
  <c r="R407" i="33"/>
  <c r="R298" i="33"/>
  <c r="R355" i="33"/>
  <c r="R351" i="33"/>
  <c r="R400" i="33"/>
  <c r="R430" i="33"/>
  <c r="R72" i="33"/>
  <c r="R56" i="33"/>
  <c r="R20" i="33"/>
  <c r="R85" i="33"/>
  <c r="R217" i="33"/>
  <c r="R79" i="33"/>
  <c r="R325" i="33"/>
  <c r="R368" i="33"/>
  <c r="R216" i="33"/>
  <c r="R4" i="33"/>
  <c r="R256" i="33"/>
  <c r="R23" i="33"/>
  <c r="R211" i="33"/>
  <c r="R348" i="33"/>
  <c r="R46" i="33"/>
  <c r="R3" i="33"/>
  <c r="R279" i="33"/>
  <c r="R424" i="33"/>
  <c r="R78" i="33"/>
  <c r="R366" i="33"/>
  <c r="R70" i="33"/>
  <c r="R340" i="33"/>
  <c r="R60" i="33"/>
  <c r="R330" i="33"/>
  <c r="R74" i="33"/>
  <c r="R66" i="33"/>
  <c r="R356" i="33"/>
  <c r="R29" i="33"/>
  <c r="R241" i="33"/>
  <c r="R269" i="33"/>
  <c r="R392" i="33"/>
  <c r="R396" i="33"/>
  <c r="R353" i="33"/>
  <c r="R268" i="33"/>
  <c r="R55" i="33"/>
  <c r="R47" i="33"/>
  <c r="R337" i="33"/>
  <c r="R331" i="33"/>
  <c r="R239" i="33"/>
  <c r="R13" i="33"/>
  <c r="R68" i="33"/>
  <c r="R52" i="33"/>
  <c r="R369" i="33"/>
  <c r="R90" i="33"/>
  <c r="R377" i="33"/>
  <c r="R15" i="33"/>
  <c r="R88" i="33"/>
  <c r="R87" i="33"/>
  <c r="R320" i="33"/>
  <c r="R296" i="33"/>
  <c r="R367" i="33"/>
  <c r="R346" i="33"/>
  <c r="R362" i="33"/>
  <c r="R12" i="33"/>
  <c r="R378" i="33"/>
  <c r="R255" i="33"/>
  <c r="R36" i="33"/>
  <c r="R24" i="33"/>
  <c r="R387" i="33"/>
  <c r="R388" i="33"/>
  <c r="R359" i="33"/>
  <c r="R363" i="33"/>
  <c r="R361" i="33"/>
  <c r="R274" i="33"/>
  <c r="R242" i="33"/>
  <c r="R215" i="33"/>
  <c r="R371" i="33"/>
  <c r="R9" i="33"/>
  <c r="R303" i="33"/>
  <c r="R248" i="33"/>
  <c r="R83" i="33"/>
  <c r="R374" i="33"/>
  <c r="R212" i="33"/>
  <c r="R204" i="33"/>
  <c r="R8" i="33"/>
  <c r="R277" i="33"/>
  <c r="R93" i="33"/>
  <c r="R209" i="33"/>
  <c r="R237" i="33"/>
  <c r="R77" i="33"/>
  <c r="R69" i="33"/>
  <c r="R61" i="33"/>
  <c r="R84" i="33"/>
  <c r="R267" i="33"/>
  <c r="R252" i="33"/>
  <c r="R254" i="33"/>
  <c r="R276" i="33"/>
  <c r="R92" i="33"/>
  <c r="R428" i="33"/>
  <c r="R287" i="33"/>
  <c r="R207" i="33"/>
  <c r="R288" i="33"/>
  <c r="R429" i="33"/>
  <c r="R238" i="33"/>
  <c r="R299" i="33"/>
  <c r="R317" i="33"/>
  <c r="R253" i="33"/>
  <c r="R200" i="33"/>
  <c r="R7" i="33"/>
  <c r="R246" i="33"/>
  <c r="R236" i="33"/>
  <c r="R245" i="33"/>
  <c r="R283" i="33"/>
  <c r="R208" i="33"/>
  <c r="R201" i="33"/>
  <c r="R5" i="33"/>
  <c r="R281" i="33"/>
  <c r="R304" i="33"/>
  <c r="R25" i="33"/>
  <c r="U265" i="33" l="1"/>
  <c r="P39" i="33"/>
  <c r="W39" i="33"/>
  <c r="V39" i="33"/>
  <c r="T39" i="33"/>
  <c r="U39" i="33"/>
  <c r="U309" i="33"/>
  <c r="U329" i="33"/>
  <c r="P263" i="33"/>
  <c r="W263" i="33"/>
  <c r="U263" i="33"/>
  <c r="V263" i="33"/>
  <c r="T263" i="33"/>
  <c r="U344" i="33"/>
  <c r="U335" i="33"/>
  <c r="U395" i="33"/>
  <c r="U381" i="33"/>
  <c r="U360" i="33"/>
  <c r="U22" i="33"/>
  <c r="U376" i="33"/>
  <c r="U401" i="33"/>
  <c r="P419" i="33"/>
  <c r="W419" i="33"/>
  <c r="T419" i="33"/>
  <c r="U419" i="33"/>
  <c r="V419" i="33"/>
  <c r="P418" i="33"/>
  <c r="U418" i="33"/>
  <c r="W418" i="33"/>
  <c r="V418" i="33"/>
  <c r="T418" i="33"/>
  <c r="P411" i="33"/>
  <c r="W411" i="33"/>
  <c r="V411" i="33"/>
  <c r="T411" i="33"/>
  <c r="U411" i="33"/>
  <c r="P410" i="33"/>
  <c r="W410" i="33"/>
  <c r="V410" i="33"/>
  <c r="U410" i="33"/>
  <c r="T410" i="33"/>
  <c r="U408" i="33"/>
  <c r="U413" i="33"/>
  <c r="U420" i="33"/>
  <c r="U423" i="33"/>
  <c r="U409" i="33"/>
  <c r="U416" i="33"/>
  <c r="U414" i="33"/>
  <c r="U421" i="33"/>
  <c r="U412" i="33"/>
  <c r="U417" i="33"/>
  <c r="U422" i="33"/>
  <c r="U415" i="33"/>
  <c r="U308" i="33"/>
  <c r="U312" i="33"/>
  <c r="U306" i="33"/>
  <c r="U315" i="33"/>
  <c r="U313" i="33"/>
  <c r="U307" i="33"/>
  <c r="U316" i="33"/>
  <c r="U311" i="33"/>
  <c r="U305" i="33"/>
  <c r="U314" i="33"/>
  <c r="U310" i="33"/>
  <c r="P261" i="33"/>
  <c r="U261" i="33"/>
  <c r="T261" i="33"/>
  <c r="W261" i="33"/>
  <c r="V261" i="33"/>
  <c r="P324" i="33"/>
  <c r="U324" i="33"/>
  <c r="W324" i="33"/>
  <c r="T324" i="33"/>
  <c r="V324" i="33"/>
  <c r="U6" i="33"/>
  <c r="U50" i="33"/>
  <c r="W62" i="33"/>
  <c r="V62" i="33"/>
  <c r="T62" i="33"/>
  <c r="U62" i="33"/>
  <c r="U54" i="33"/>
  <c r="U63" i="33"/>
  <c r="U384" i="33"/>
  <c r="U354" i="33"/>
  <c r="U341" i="33"/>
  <c r="P333" i="33"/>
  <c r="T333" i="33"/>
  <c r="W333" i="33"/>
  <c r="U333" i="33"/>
  <c r="V333" i="33"/>
  <c r="U257" i="33"/>
  <c r="U301" i="33"/>
  <c r="U300" i="33"/>
  <c r="U244" i="33"/>
  <c r="U275" i="33"/>
  <c r="U91" i="33"/>
  <c r="U295" i="33"/>
  <c r="P435" i="33"/>
  <c r="T435" i="33"/>
  <c r="U435" i="33"/>
  <c r="W435" i="33"/>
  <c r="V435" i="33"/>
  <c r="W427" i="33"/>
  <c r="U427" i="33"/>
  <c r="T427" i="33"/>
  <c r="V427" i="33"/>
  <c r="U53" i="33"/>
  <c r="U45" i="33"/>
  <c r="P347" i="33"/>
  <c r="V347" i="33"/>
  <c r="W347" i="33"/>
  <c r="T347" i="33"/>
  <c r="U347" i="33"/>
  <c r="U323" i="33"/>
  <c r="U404" i="33"/>
  <c r="P235" i="33"/>
  <c r="V235" i="33"/>
  <c r="T235" i="33"/>
  <c r="W235" i="33"/>
  <c r="U235" i="33"/>
  <c r="U294" i="33"/>
  <c r="U286" i="33"/>
  <c r="U426" i="33"/>
  <c r="U214" i="33"/>
  <c r="U206" i="33"/>
  <c r="U16" i="33"/>
  <c r="V16" i="33"/>
  <c r="W16" i="33"/>
  <c r="T16" i="33"/>
  <c r="U386" i="33"/>
  <c r="U10" i="33"/>
  <c r="U272" i="33"/>
  <c r="U82" i="33"/>
  <c r="U42" i="33"/>
  <c r="P30" i="33"/>
  <c r="V30" i="33"/>
  <c r="W30" i="33"/>
  <c r="U30" i="33"/>
  <c r="T30" i="33"/>
  <c r="U393" i="33"/>
  <c r="U407" i="33"/>
  <c r="U298" i="33"/>
  <c r="U355" i="33"/>
  <c r="U351" i="33"/>
  <c r="U400" i="33"/>
  <c r="V430" i="33"/>
  <c r="T430" i="33"/>
  <c r="U430" i="33"/>
  <c r="U72" i="33"/>
  <c r="U56" i="33"/>
  <c r="P20" i="33"/>
  <c r="V20" i="33"/>
  <c r="T20" i="33"/>
  <c r="W20" i="33"/>
  <c r="U20" i="33"/>
  <c r="V85" i="33"/>
  <c r="W85" i="33"/>
  <c r="U85" i="33"/>
  <c r="T85" i="33"/>
  <c r="U217" i="33"/>
  <c r="U79" i="33"/>
  <c r="U325" i="33"/>
  <c r="U368" i="33"/>
  <c r="U216" i="33"/>
  <c r="U4" i="33"/>
  <c r="U256" i="33"/>
  <c r="V23" i="33"/>
  <c r="T23" i="33"/>
  <c r="W23" i="33"/>
  <c r="U23" i="33"/>
  <c r="U211" i="33"/>
  <c r="U348" i="33"/>
  <c r="U46" i="33"/>
  <c r="U3" i="33"/>
  <c r="W279" i="33"/>
  <c r="T279" i="33"/>
  <c r="V279" i="33"/>
  <c r="U279" i="33"/>
  <c r="P424" i="33"/>
  <c r="U424" i="33"/>
  <c r="V424" i="33"/>
  <c r="T424" i="33"/>
  <c r="W424" i="33"/>
  <c r="P78" i="33"/>
  <c r="W78" i="33"/>
  <c r="U78" i="33"/>
  <c r="V78" i="33"/>
  <c r="T78" i="33"/>
  <c r="U366" i="33"/>
  <c r="P70" i="33"/>
  <c r="U70" i="33"/>
  <c r="T70" i="33"/>
  <c r="V70" i="33"/>
  <c r="W70" i="33"/>
  <c r="U340" i="33"/>
  <c r="U60" i="33"/>
  <c r="P330" i="33"/>
  <c r="V330" i="33"/>
  <c r="U330" i="33"/>
  <c r="W330" i="33"/>
  <c r="T330" i="33"/>
  <c r="P74" i="33"/>
  <c r="V74" i="33"/>
  <c r="U74" i="33"/>
  <c r="W74" i="33"/>
  <c r="T74" i="33"/>
  <c r="U66" i="33"/>
  <c r="P356" i="33"/>
  <c r="T356" i="33"/>
  <c r="V356" i="33"/>
  <c r="W356" i="33"/>
  <c r="U356" i="33"/>
  <c r="P29" i="33"/>
  <c r="T29" i="33"/>
  <c r="V29" i="33"/>
  <c r="U29" i="33"/>
  <c r="W29" i="33"/>
  <c r="U241" i="33"/>
  <c r="U269" i="33"/>
  <c r="U392" i="33"/>
  <c r="P396" i="33"/>
  <c r="U396" i="33"/>
  <c r="T396" i="33"/>
  <c r="W396" i="33"/>
  <c r="V396" i="33"/>
  <c r="U353" i="33"/>
  <c r="U268" i="33"/>
  <c r="U55" i="33"/>
  <c r="U47" i="33"/>
  <c r="U337" i="33"/>
  <c r="U331" i="33"/>
  <c r="U239" i="33"/>
  <c r="U13" i="33"/>
  <c r="T13" i="33"/>
  <c r="W13" i="33"/>
  <c r="V13" i="33"/>
  <c r="T68" i="33"/>
  <c r="W68" i="33"/>
  <c r="V68" i="33"/>
  <c r="U68" i="33"/>
  <c r="U52" i="33"/>
  <c r="P369" i="33"/>
  <c r="U369" i="33"/>
  <c r="V369" i="33"/>
  <c r="T369" i="33"/>
  <c r="W369" i="33"/>
  <c r="W90" i="33"/>
  <c r="U90" i="33"/>
  <c r="V90" i="33"/>
  <c r="T90" i="33"/>
  <c r="P377" i="33"/>
  <c r="V377" i="33"/>
  <c r="T377" i="33"/>
  <c r="U377" i="33"/>
  <c r="W377" i="33"/>
  <c r="U15" i="33"/>
  <c r="W15" i="33"/>
  <c r="V15" i="33"/>
  <c r="T15" i="33"/>
  <c r="U88" i="33"/>
  <c r="U87" i="33"/>
  <c r="U320" i="33"/>
  <c r="U296" i="33"/>
  <c r="U367" i="33"/>
  <c r="T346" i="33"/>
  <c r="U346" i="33"/>
  <c r="U362" i="33"/>
  <c r="T12" i="33"/>
  <c r="V12" i="33"/>
  <c r="W12" i="33"/>
  <c r="U12" i="33"/>
  <c r="U378" i="33"/>
  <c r="U255" i="33"/>
  <c r="U36" i="33"/>
  <c r="P24" i="33"/>
  <c r="T24" i="33"/>
  <c r="V24" i="33"/>
  <c r="W24" i="33"/>
  <c r="U24" i="33"/>
  <c r="U387" i="33"/>
  <c r="U388" i="33"/>
  <c r="P359" i="33"/>
  <c r="W359" i="33"/>
  <c r="V359" i="33"/>
  <c r="U359" i="33"/>
  <c r="T359" i="33"/>
  <c r="U363" i="33"/>
  <c r="U361" i="33"/>
  <c r="P274" i="33"/>
  <c r="U274" i="33"/>
  <c r="U242" i="33"/>
  <c r="U215" i="33"/>
  <c r="U371" i="33"/>
  <c r="U9" i="33"/>
  <c r="U303" i="33"/>
  <c r="P248" i="33"/>
  <c r="V248" i="33" s="1"/>
  <c r="U248" i="33"/>
  <c r="W248" i="33"/>
  <c r="T248" i="33"/>
  <c r="U83" i="33"/>
  <c r="P374" i="33"/>
  <c r="W374" i="33"/>
  <c r="T374" i="33"/>
  <c r="V374" i="33"/>
  <c r="U374" i="33"/>
  <c r="U212" i="33"/>
  <c r="P204" i="33"/>
  <c r="U204" i="33"/>
  <c r="V204" i="33"/>
  <c r="T204" i="33"/>
  <c r="W204" i="33"/>
  <c r="U8" i="33"/>
  <c r="U277" i="33"/>
  <c r="U93" i="33"/>
  <c r="P209" i="33"/>
  <c r="V209" i="33"/>
  <c r="W209" i="33"/>
  <c r="T209" i="33"/>
  <c r="U209" i="33"/>
  <c r="U237" i="33"/>
  <c r="P77" i="33"/>
  <c r="U77" i="33"/>
  <c r="T77" i="33"/>
  <c r="V77" i="33"/>
  <c r="W77" i="33"/>
  <c r="U69" i="33"/>
  <c r="U61" i="33"/>
  <c r="P84" i="33"/>
  <c r="T84" i="33"/>
  <c r="W84" i="33"/>
  <c r="U84" i="33"/>
  <c r="V84" i="33"/>
  <c r="U267" i="33"/>
  <c r="P252" i="33"/>
  <c r="T252" i="33"/>
  <c r="V252" i="33"/>
  <c r="W252" i="33"/>
  <c r="U252" i="33"/>
  <c r="U254" i="33"/>
  <c r="U276" i="33"/>
  <c r="P92" i="33"/>
  <c r="V92" i="33"/>
  <c r="U92" i="33"/>
  <c r="W92" i="33"/>
  <c r="T92" i="33"/>
  <c r="P428" i="33"/>
  <c r="U428" i="33"/>
  <c r="W428" i="33"/>
  <c r="V428" i="33"/>
  <c r="T428" i="33"/>
  <c r="P287" i="33"/>
  <c r="W287" i="33"/>
  <c r="U287" i="33"/>
  <c r="V287" i="33"/>
  <c r="T287" i="33"/>
  <c r="U207" i="33"/>
  <c r="P288" i="33"/>
  <c r="U288" i="33"/>
  <c r="W288" i="33"/>
  <c r="V288" i="33"/>
  <c r="T288" i="33"/>
  <c r="W429" i="33"/>
  <c r="U429" i="33"/>
  <c r="T429" i="33"/>
  <c r="V429" i="33"/>
  <c r="U238" i="33"/>
  <c r="P299" i="33"/>
  <c r="U299" i="33"/>
  <c r="T299" i="33"/>
  <c r="W299" i="33"/>
  <c r="V299" i="33"/>
  <c r="U317" i="33"/>
  <c r="U253" i="33"/>
  <c r="U200" i="33"/>
  <c r="U7" i="33"/>
  <c r="U246" i="33"/>
  <c r="U236" i="33"/>
  <c r="U245" i="33"/>
  <c r="P283" i="33"/>
  <c r="U283" i="33"/>
  <c r="U208" i="33"/>
  <c r="U201" i="33"/>
  <c r="P5" i="33"/>
  <c r="U5" i="33"/>
  <c r="T5" i="33"/>
  <c r="W5" i="33"/>
  <c r="V5" i="33"/>
  <c r="U281" i="33"/>
  <c r="P304" i="33"/>
  <c r="U304" i="33"/>
  <c r="U25" i="33"/>
  <c r="L23" i="1"/>
  <c r="R402" i="33"/>
  <c r="P329" i="33"/>
  <c r="R240" i="33"/>
  <c r="R260" i="33"/>
  <c r="R433" i="33"/>
  <c r="R302" i="33"/>
  <c r="R425" i="33"/>
  <c r="R321" i="33"/>
  <c r="P265" i="33"/>
  <c r="R11" i="33"/>
  <c r="R44" i="33"/>
  <c r="R48" i="33"/>
  <c r="R34" i="33"/>
  <c r="R403" i="33"/>
  <c r="R73" i="33"/>
  <c r="R67" i="33"/>
  <c r="R35" i="33"/>
  <c r="R57" i="33"/>
  <c r="R394" i="33"/>
  <c r="R33" i="33"/>
  <c r="R51" i="33"/>
  <c r="R58" i="33"/>
  <c r="R327" i="33"/>
  <c r="R373" i="33"/>
  <c r="R264" i="33"/>
  <c r="R332" i="33"/>
  <c r="R398" i="33"/>
  <c r="R319" i="33"/>
  <c r="R258" i="33"/>
  <c r="R358" i="33"/>
  <c r="R339" i="33"/>
  <c r="R293" i="33"/>
  <c r="R65" i="33"/>
  <c r="R266" i="33"/>
  <c r="R278" i="33"/>
  <c r="R297" i="33"/>
  <c r="R318" i="33"/>
  <c r="R243" i="33"/>
  <c r="R80" i="33"/>
  <c r="R270" i="33"/>
  <c r="R213" i="33"/>
  <c r="R399" i="33"/>
  <c r="R59" i="33"/>
  <c r="R21" i="33"/>
  <c r="R271" i="33"/>
  <c r="R219" i="33"/>
  <c r="R259" i="33"/>
  <c r="R370" i="33"/>
  <c r="R375" i="33"/>
  <c r="R247" i="33"/>
  <c r="R27" i="33"/>
  <c r="R434" i="33"/>
  <c r="R210" i="33"/>
  <c r="R75" i="33"/>
  <c r="R292" i="33"/>
  <c r="R76" i="33"/>
  <c r="R86" i="33"/>
  <c r="R432" i="33"/>
  <c r="R379" i="33"/>
  <c r="R31" i="33"/>
  <c r="R349" i="33"/>
  <c r="R352" i="33"/>
  <c r="R250" i="33"/>
  <c r="R285" i="33"/>
  <c r="R338" i="33"/>
  <c r="R290" i="33"/>
  <c r="R49" i="33"/>
  <c r="R40" i="33"/>
  <c r="R406" i="33"/>
  <c r="R19" i="33"/>
  <c r="R251" i="33"/>
  <c r="R43" i="33"/>
  <c r="R289" i="33"/>
  <c r="R282" i="33"/>
  <c r="R205" i="33"/>
  <c r="R328" i="33"/>
  <c r="R202" i="33"/>
  <c r="R345" i="33"/>
  <c r="R41" i="33"/>
  <c r="R383" i="33"/>
  <c r="R81" i="33"/>
  <c r="R273" i="33"/>
  <c r="R385" i="33"/>
  <c r="R64" i="33"/>
  <c r="R32" i="33"/>
  <c r="R249" i="33"/>
  <c r="R390" i="33"/>
  <c r="R38" i="33"/>
  <c r="P395" i="33"/>
  <c r="R71" i="33"/>
  <c r="C14" i="24"/>
  <c r="C2" i="42"/>
  <c r="P360" i="33"/>
  <c r="P401" i="33"/>
  <c r="P381" i="33"/>
  <c r="P22" i="33"/>
  <c r="P376" i="33"/>
  <c r="R284" i="33"/>
  <c r="P414" i="33"/>
  <c r="P416" i="33"/>
  <c r="P423" i="33"/>
  <c r="P413" i="33"/>
  <c r="P422" i="33"/>
  <c r="P408" i="33"/>
  <c r="P421" i="33"/>
  <c r="P409" i="33"/>
  <c r="P420" i="33"/>
  <c r="P412" i="33"/>
  <c r="P415" i="33"/>
  <c r="P417" i="33"/>
  <c r="P256" i="33"/>
  <c r="P66" i="33"/>
  <c r="P53" i="33"/>
  <c r="P91" i="33"/>
  <c r="P87" i="33"/>
  <c r="P340" i="33"/>
  <c r="P384" i="33"/>
  <c r="P82" i="33"/>
  <c r="P323" i="33"/>
  <c r="P341" i="33"/>
  <c r="P268" i="33"/>
  <c r="P206" i="33"/>
  <c r="P355" i="33"/>
  <c r="P325" i="33"/>
  <c r="P294" i="33"/>
  <c r="P366" i="33"/>
  <c r="P257" i="33"/>
  <c r="P320" i="33"/>
  <c r="P63" i="33"/>
  <c r="P426" i="33"/>
  <c r="P56" i="33"/>
  <c r="P430" i="33"/>
  <c r="W430" i="33" s="1"/>
  <c r="P295" i="33"/>
  <c r="P54" i="33"/>
  <c r="P244" i="33"/>
  <c r="P392" i="33"/>
  <c r="P315" i="33"/>
  <c r="P311" i="33"/>
  <c r="P316" i="33"/>
  <c r="P312" i="33"/>
  <c r="P309" i="33"/>
  <c r="P305" i="33"/>
  <c r="P308" i="33"/>
  <c r="P310" i="33"/>
  <c r="P313" i="33"/>
  <c r="P306" i="33"/>
  <c r="P314" i="33"/>
  <c r="P307" i="33"/>
  <c r="P46" i="33"/>
  <c r="P331" i="33"/>
  <c r="P10" i="33"/>
  <c r="P354" i="33"/>
  <c r="P348" i="33"/>
  <c r="P400" i="33"/>
  <c r="P72" i="33"/>
  <c r="P387" i="33"/>
  <c r="P47" i="33"/>
  <c r="P393" i="33"/>
  <c r="P215" i="33"/>
  <c r="P353" i="33"/>
  <c r="P275" i="33"/>
  <c r="P50" i="33"/>
  <c r="P6" i="33"/>
  <c r="P79" i="33"/>
  <c r="P286" i="33"/>
  <c r="P211" i="33"/>
  <c r="P60" i="33"/>
  <c r="P300" i="33"/>
  <c r="P3" i="33"/>
  <c r="P42" i="33"/>
  <c r="P363" i="33"/>
  <c r="P361" i="33"/>
  <c r="P4" i="33"/>
  <c r="P404" i="33"/>
  <c r="P388" i="33"/>
  <c r="P36" i="33"/>
  <c r="P386" i="33"/>
  <c r="P378" i="33"/>
  <c r="P362" i="33"/>
  <c r="P52" i="33"/>
  <c r="P55" i="33"/>
  <c r="P214" i="33"/>
  <c r="P335" i="33"/>
  <c r="P216" i="33"/>
  <c r="P368" i="33"/>
  <c r="P298" i="33"/>
  <c r="P346" i="33"/>
  <c r="P23" i="33"/>
  <c r="P279" i="33"/>
  <c r="P296" i="33"/>
  <c r="P351" i="33"/>
  <c r="P45" i="33"/>
  <c r="P88" i="33"/>
  <c r="P272" i="33"/>
  <c r="P367" i="33"/>
  <c r="P407" i="33"/>
  <c r="P255" i="33"/>
  <c r="P344" i="33"/>
  <c r="P241" i="33"/>
  <c r="P371" i="33"/>
  <c r="P337" i="33"/>
  <c r="P217" i="33"/>
  <c r="P239" i="33"/>
  <c r="P9" i="33"/>
  <c r="P301" i="33"/>
  <c r="P83" i="33"/>
  <c r="P269" i="33"/>
  <c r="P242" i="33"/>
  <c r="P277" i="33"/>
  <c r="P212" i="33"/>
  <c r="P253" i="33"/>
  <c r="P8" i="33"/>
  <c r="P267" i="33"/>
  <c r="P69" i="33"/>
  <c r="P208" i="33"/>
  <c r="P93" i="33"/>
  <c r="P317" i="33"/>
  <c r="P200" i="33"/>
  <c r="P303" i="33"/>
  <c r="P246" i="33"/>
  <c r="P61" i="33"/>
  <c r="P201" i="33"/>
  <c r="P276" i="33"/>
  <c r="P254" i="33"/>
  <c r="R280" i="33"/>
  <c r="R405" i="33"/>
  <c r="R389" i="33"/>
  <c r="R364" i="33"/>
  <c r="R262" i="33"/>
  <c r="R37" i="33"/>
  <c r="R334" i="33"/>
  <c r="R18" i="33"/>
  <c r="R203" i="33"/>
  <c r="R291" i="33"/>
  <c r="R326" i="33"/>
  <c r="R17" i="33"/>
  <c r="R391" i="33"/>
  <c r="R382" i="33"/>
  <c r="R342" i="33"/>
  <c r="R218" i="33"/>
  <c r="R343" i="33"/>
  <c r="R397" i="33"/>
  <c r="R431" i="33"/>
  <c r="R2" i="33"/>
  <c r="R28" i="33"/>
  <c r="R89" i="33"/>
  <c r="R26" i="33"/>
  <c r="R350" i="33"/>
  <c r="R14" i="33"/>
  <c r="R380" i="33"/>
  <c r="R336" i="33"/>
  <c r="R365" i="33"/>
  <c r="R357" i="33"/>
  <c r="R372" i="33"/>
  <c r="P236" i="33"/>
  <c r="P238" i="33"/>
  <c r="P207" i="33"/>
  <c r="P237" i="33"/>
  <c r="P245" i="33"/>
  <c r="P7" i="33"/>
  <c r="P281" i="33"/>
  <c r="P25" i="33"/>
  <c r="T274" i="33" l="1"/>
  <c r="V274" i="33"/>
  <c r="W274" i="33"/>
  <c r="V283" i="33"/>
  <c r="W283" i="33"/>
  <c r="T283" i="33"/>
  <c r="Q283" i="33" s="1"/>
  <c r="V304" i="33"/>
  <c r="T304" i="33"/>
  <c r="W304" i="33"/>
  <c r="V56" i="33"/>
  <c r="W56" i="33"/>
  <c r="T56" i="33"/>
  <c r="T295" i="33"/>
  <c r="V295" i="33"/>
  <c r="W295" i="33"/>
  <c r="V54" i="33"/>
  <c r="T54" i="33"/>
  <c r="W54" i="33"/>
  <c r="W244" i="33"/>
  <c r="T244" i="33"/>
  <c r="V244" i="33"/>
  <c r="T392" i="33"/>
  <c r="W392" i="33"/>
  <c r="V392" i="33"/>
  <c r="W315" i="33"/>
  <c r="V315" i="33"/>
  <c r="T315" i="33"/>
  <c r="T312" i="33"/>
  <c r="V312" i="33"/>
  <c r="W312" i="33"/>
  <c r="V308" i="33"/>
  <c r="T308" i="33"/>
  <c r="W308" i="33"/>
  <c r="T313" i="33"/>
  <c r="W313" i="33"/>
  <c r="V313" i="33"/>
  <c r="V306" i="33"/>
  <c r="W306" i="33"/>
  <c r="T306" i="33"/>
  <c r="T46" i="33"/>
  <c r="W46" i="33"/>
  <c r="V46" i="33"/>
  <c r="V331" i="33"/>
  <c r="W331" i="33"/>
  <c r="T331" i="33"/>
  <c r="W354" i="33"/>
  <c r="T354" i="33"/>
  <c r="V354" i="33"/>
  <c r="V348" i="33"/>
  <c r="W348" i="33"/>
  <c r="T348" i="33"/>
  <c r="W72" i="33"/>
  <c r="V72" i="33"/>
  <c r="T72" i="33"/>
  <c r="T47" i="33"/>
  <c r="V47" i="33"/>
  <c r="W47" i="33"/>
  <c r="T275" i="33"/>
  <c r="V275" i="33"/>
  <c r="W275" i="33"/>
  <c r="T79" i="33"/>
  <c r="W79" i="33"/>
  <c r="V79" i="33"/>
  <c r="T286" i="33"/>
  <c r="W286" i="33"/>
  <c r="V286" i="33"/>
  <c r="W211" i="33"/>
  <c r="V211" i="33"/>
  <c r="T211" i="33"/>
  <c r="T3" i="33"/>
  <c r="V3" i="33"/>
  <c r="W3" i="33"/>
  <c r="V4" i="33"/>
  <c r="W4" i="33"/>
  <c r="T4" i="33"/>
  <c r="V404" i="33"/>
  <c r="T404" i="33"/>
  <c r="W404" i="33"/>
  <c r="U402" i="33"/>
  <c r="W329" i="33"/>
  <c r="V329" i="33"/>
  <c r="T329" i="33"/>
  <c r="U240" i="33"/>
  <c r="U260" i="33"/>
  <c r="V260" i="33"/>
  <c r="T260" i="33"/>
  <c r="P433" i="33"/>
  <c r="T433" i="33"/>
  <c r="U433" i="33"/>
  <c r="V433" i="33"/>
  <c r="W433" i="33"/>
  <c r="P302" i="33"/>
  <c r="V302" i="33"/>
  <c r="U302" i="33"/>
  <c r="T302" i="33"/>
  <c r="W302" i="33"/>
  <c r="T425" i="33"/>
  <c r="V425" i="33"/>
  <c r="U425" i="33"/>
  <c r="W425" i="33"/>
  <c r="P321" i="33"/>
  <c r="U321" i="33"/>
  <c r="V321" i="33"/>
  <c r="W321" i="33"/>
  <c r="T321" i="33"/>
  <c r="V265" i="33"/>
  <c r="W265" i="33"/>
  <c r="T265" i="33"/>
  <c r="W11" i="33"/>
  <c r="T11" i="33"/>
  <c r="V11" i="33"/>
  <c r="U11" i="33"/>
  <c r="U44" i="33"/>
  <c r="V44" i="33"/>
  <c r="W44" i="33"/>
  <c r="T44" i="33"/>
  <c r="P48" i="33"/>
  <c r="T48" i="33"/>
  <c r="U48" i="33"/>
  <c r="P34" i="33"/>
  <c r="U34" i="33"/>
  <c r="V34" i="33"/>
  <c r="T34" i="33"/>
  <c r="W34" i="33"/>
  <c r="P403" i="33"/>
  <c r="V403" i="33"/>
  <c r="T403" i="33"/>
  <c r="W403" i="33"/>
  <c r="U403" i="33"/>
  <c r="U73" i="33"/>
  <c r="W73" i="33"/>
  <c r="T73" i="33"/>
  <c r="V73" i="33"/>
  <c r="V67" i="33"/>
  <c r="U67" i="33"/>
  <c r="T67" i="33"/>
  <c r="W67" i="33"/>
  <c r="U35" i="33"/>
  <c r="U57" i="33"/>
  <c r="U394" i="33"/>
  <c r="P33" i="33"/>
  <c r="U33" i="33"/>
  <c r="V33" i="33"/>
  <c r="T33" i="33"/>
  <c r="W33" i="33"/>
  <c r="P51" i="33"/>
  <c r="U51" i="33"/>
  <c r="V51" i="33"/>
  <c r="W51" i="33"/>
  <c r="T51" i="33"/>
  <c r="T58" i="33"/>
  <c r="W58" i="33"/>
  <c r="V58" i="33"/>
  <c r="U58" i="33"/>
  <c r="P327" i="33"/>
  <c r="W327" i="33"/>
  <c r="V327" i="33"/>
  <c r="U327" i="33"/>
  <c r="T327" i="33"/>
  <c r="P373" i="33"/>
  <c r="T373" i="33"/>
  <c r="V373" i="33"/>
  <c r="U373" i="33"/>
  <c r="W373" i="33"/>
  <c r="V264" i="33"/>
  <c r="T264" i="33"/>
  <c r="W264" i="33"/>
  <c r="U264" i="33"/>
  <c r="U332" i="33"/>
  <c r="T398" i="33"/>
  <c r="W398" i="33"/>
  <c r="V398" i="33"/>
  <c r="U398" i="33"/>
  <c r="P319" i="33"/>
  <c r="W319" i="33"/>
  <c r="V319" i="33"/>
  <c r="U319" i="33"/>
  <c r="T319" i="33"/>
  <c r="P258" i="33"/>
  <c r="W258" i="33"/>
  <c r="V258" i="33"/>
  <c r="U258" i="33"/>
  <c r="T258" i="33"/>
  <c r="P358" i="33"/>
  <c r="W358" i="33"/>
  <c r="U358" i="33"/>
  <c r="T358" i="33"/>
  <c r="V358" i="33"/>
  <c r="P339" i="33"/>
  <c r="U339" i="33"/>
  <c r="T339" i="33"/>
  <c r="W339" i="33"/>
  <c r="V339" i="33"/>
  <c r="P293" i="33"/>
  <c r="T293" i="33"/>
  <c r="U293" i="33"/>
  <c r="V293" i="33"/>
  <c r="W293" i="33"/>
  <c r="P65" i="33"/>
  <c r="V65" i="33"/>
  <c r="T65" i="33"/>
  <c r="W65" i="33"/>
  <c r="U65" i="33"/>
  <c r="P266" i="33"/>
  <c r="T266" i="33"/>
  <c r="U266" i="33"/>
  <c r="V266" i="33"/>
  <c r="W266" i="33"/>
  <c r="U278" i="33"/>
  <c r="P297" i="33"/>
  <c r="U297" i="33"/>
  <c r="W297" i="33"/>
  <c r="V297" i="33"/>
  <c r="T297" i="33"/>
  <c r="U318" i="33"/>
  <c r="T318" i="33"/>
  <c r="U243" i="33"/>
  <c r="W243" i="33"/>
  <c r="T243" i="33"/>
  <c r="V243" i="33"/>
  <c r="U80" i="33"/>
  <c r="T80" i="33"/>
  <c r="W80" i="33"/>
  <c r="V80" i="33"/>
  <c r="P270" i="33"/>
  <c r="V270" i="33"/>
  <c r="W270" i="33"/>
  <c r="T270" i="33"/>
  <c r="U270" i="33"/>
  <c r="P213" i="33"/>
  <c r="U213" i="33"/>
  <c r="W213" i="33"/>
  <c r="T213" i="33"/>
  <c r="V213" i="33"/>
  <c r="U399" i="33"/>
  <c r="P59" i="33"/>
  <c r="U59" i="33"/>
  <c r="T59" i="33"/>
  <c r="W59" i="33"/>
  <c r="V59" i="33"/>
  <c r="T21" i="33"/>
  <c r="U21" i="33"/>
  <c r="V21" i="33"/>
  <c r="W21" i="33"/>
  <c r="P271" i="33"/>
  <c r="T271" i="33"/>
  <c r="U271" i="33"/>
  <c r="V271" i="33"/>
  <c r="W271" i="33"/>
  <c r="V219" i="33"/>
  <c r="T219" i="33"/>
  <c r="W219" i="33"/>
  <c r="U219" i="33"/>
  <c r="P259" i="33"/>
  <c r="T259" i="33"/>
  <c r="U259" i="33"/>
  <c r="V259" i="33"/>
  <c r="W259" i="33"/>
  <c r="U370" i="33"/>
  <c r="W375" i="33"/>
  <c r="V375" i="33"/>
  <c r="T375" i="33"/>
  <c r="U375" i="33"/>
  <c r="V247" i="33"/>
  <c r="W247" i="33"/>
  <c r="T247" i="33"/>
  <c r="U247" i="33"/>
  <c r="P27" i="33"/>
  <c r="V27" i="33"/>
  <c r="T27" i="33"/>
  <c r="U27" i="33"/>
  <c r="W27" i="33"/>
  <c r="P434" i="33"/>
  <c r="U434" i="33"/>
  <c r="W434" i="33"/>
  <c r="V434" i="33"/>
  <c r="T434" i="33"/>
  <c r="V210" i="33"/>
  <c r="U210" i="33"/>
  <c r="T210" i="33"/>
  <c r="W210" i="33"/>
  <c r="P75" i="33"/>
  <c r="U75" i="33"/>
  <c r="T75" i="33"/>
  <c r="V75" i="33"/>
  <c r="W75" i="33"/>
  <c r="V292" i="33"/>
  <c r="W292" i="33"/>
  <c r="T292" i="33"/>
  <c r="U292" i="33"/>
  <c r="T76" i="33"/>
  <c r="W76" i="33"/>
  <c r="U76" i="33"/>
  <c r="V76" i="33"/>
  <c r="P86" i="33"/>
  <c r="V86" i="33"/>
  <c r="T86" i="33"/>
  <c r="U86" i="33"/>
  <c r="W86" i="33"/>
  <c r="P432" i="33"/>
  <c r="V432" i="33"/>
  <c r="T432" i="33"/>
  <c r="W432" i="33"/>
  <c r="U432" i="33"/>
  <c r="U379" i="33"/>
  <c r="U31" i="33"/>
  <c r="U349" i="33"/>
  <c r="U352" i="33"/>
  <c r="P250" i="33"/>
  <c r="T250" i="33"/>
  <c r="V250" i="33"/>
  <c r="W250" i="33"/>
  <c r="U250" i="33"/>
  <c r="P285" i="33"/>
  <c r="V285" i="33"/>
  <c r="U285" i="33"/>
  <c r="T285" i="33"/>
  <c r="W285" i="33"/>
  <c r="U338" i="33"/>
  <c r="P290" i="33"/>
  <c r="T290" i="33"/>
  <c r="V290" i="33"/>
  <c r="W290" i="33"/>
  <c r="U290" i="33"/>
  <c r="P49" i="33"/>
  <c r="T49" i="33"/>
  <c r="W49" i="33"/>
  <c r="V49" i="33"/>
  <c r="U49" i="33"/>
  <c r="U40" i="33"/>
  <c r="U406" i="33"/>
  <c r="V406" i="33"/>
  <c r="V19" i="33"/>
  <c r="W19" i="33"/>
  <c r="T19" i="33"/>
  <c r="U19" i="33"/>
  <c r="P251" i="33"/>
  <c r="W251" i="33"/>
  <c r="T251" i="33"/>
  <c r="V251" i="33"/>
  <c r="U251" i="33"/>
  <c r="U43" i="33"/>
  <c r="U289" i="33"/>
  <c r="P282" i="33"/>
  <c r="U282" i="33"/>
  <c r="V282" i="33"/>
  <c r="W282" i="33"/>
  <c r="T282" i="33"/>
  <c r="P205" i="33"/>
  <c r="T205" i="33"/>
  <c r="U205" i="33"/>
  <c r="W205" i="33"/>
  <c r="V205" i="33"/>
  <c r="U328" i="33"/>
  <c r="P202" i="33"/>
  <c r="V202" i="33"/>
  <c r="T202" i="33"/>
  <c r="W202" i="33"/>
  <c r="U202" i="33"/>
  <c r="P345" i="33"/>
  <c r="W345" i="33"/>
  <c r="V345" i="33"/>
  <c r="U345" i="33"/>
  <c r="T345" i="33"/>
  <c r="P41" i="33"/>
  <c r="U41" i="33"/>
  <c r="W41" i="33"/>
  <c r="T41" i="33"/>
  <c r="V41" i="33"/>
  <c r="P383" i="33"/>
  <c r="V383" i="33"/>
  <c r="U383" i="33"/>
  <c r="W383" i="33"/>
  <c r="T383" i="33"/>
  <c r="P81" i="33"/>
  <c r="V81" i="33"/>
  <c r="U81" i="33"/>
  <c r="T81" i="33"/>
  <c r="W81" i="33"/>
  <c r="U273" i="33"/>
  <c r="W385" i="33"/>
  <c r="V385" i="33"/>
  <c r="T385" i="33"/>
  <c r="U385" i="33"/>
  <c r="T64" i="33"/>
  <c r="U64" i="33"/>
  <c r="V64" i="33"/>
  <c r="U32" i="33"/>
  <c r="P249" i="33"/>
  <c r="V249" i="33"/>
  <c r="W249" i="33"/>
  <c r="T249" i="33"/>
  <c r="U249" i="33"/>
  <c r="U390" i="33"/>
  <c r="P38" i="33"/>
  <c r="T38" i="33"/>
  <c r="V38" i="33"/>
  <c r="U38" i="33"/>
  <c r="W38" i="33"/>
  <c r="T395" i="33"/>
  <c r="V395" i="33"/>
  <c r="W395" i="33"/>
  <c r="P71" i="33"/>
  <c r="T71" i="33"/>
  <c r="V71" i="33"/>
  <c r="W71" i="33"/>
  <c r="U71" i="33"/>
  <c r="T360" i="33"/>
  <c r="W360" i="33"/>
  <c r="V360" i="33"/>
  <c r="V401" i="33"/>
  <c r="W401" i="33"/>
  <c r="T401" i="33"/>
  <c r="W381" i="33"/>
  <c r="V381" i="33"/>
  <c r="T381" i="33"/>
  <c r="T22" i="33"/>
  <c r="W22" i="33"/>
  <c r="V22" i="33"/>
  <c r="T376" i="33"/>
  <c r="V376" i="33"/>
  <c r="W376" i="33"/>
  <c r="P284" i="33"/>
  <c r="V284" i="33"/>
  <c r="U284" i="33"/>
  <c r="W284" i="33"/>
  <c r="T284" i="33"/>
  <c r="T414" i="33"/>
  <c r="V414" i="33"/>
  <c r="W414" i="33"/>
  <c r="W416" i="33"/>
  <c r="V416" i="33"/>
  <c r="T416" i="33"/>
  <c r="W423" i="33"/>
  <c r="V423" i="33"/>
  <c r="T423" i="33"/>
  <c r="V413" i="33"/>
  <c r="W413" i="33"/>
  <c r="T413" i="33"/>
  <c r="T422" i="33"/>
  <c r="W422" i="33"/>
  <c r="V422" i="33"/>
  <c r="T408" i="33"/>
  <c r="W408" i="33"/>
  <c r="V408" i="33"/>
  <c r="V421" i="33"/>
  <c r="T421" i="33"/>
  <c r="W421" i="33"/>
  <c r="W409" i="33"/>
  <c r="V409" i="33"/>
  <c r="T409" i="33"/>
  <c r="W420" i="33"/>
  <c r="V420" i="33"/>
  <c r="T420" i="33"/>
  <c r="V412" i="33"/>
  <c r="T412" i="33"/>
  <c r="W412" i="33"/>
  <c r="T415" i="33"/>
  <c r="V415" i="33"/>
  <c r="W415" i="33"/>
  <c r="V417" i="33"/>
  <c r="T417" i="33"/>
  <c r="W417" i="33"/>
  <c r="W256" i="33"/>
  <c r="T256" i="33"/>
  <c r="V256" i="33"/>
  <c r="W66" i="33"/>
  <c r="T66" i="33"/>
  <c r="V66" i="33"/>
  <c r="V53" i="33"/>
  <c r="T53" i="33"/>
  <c r="W53" i="33"/>
  <c r="W91" i="33"/>
  <c r="T91" i="33"/>
  <c r="V91" i="33"/>
  <c r="W87" i="33"/>
  <c r="T87" i="33"/>
  <c r="V87" i="33"/>
  <c r="T340" i="33"/>
  <c r="W340" i="33"/>
  <c r="V340" i="33"/>
  <c r="V384" i="33"/>
  <c r="T384" i="33"/>
  <c r="W384" i="33"/>
  <c r="V82" i="33"/>
  <c r="W82" i="33"/>
  <c r="T82" i="33"/>
  <c r="T323" i="33"/>
  <c r="V323" i="33"/>
  <c r="W323" i="33"/>
  <c r="V341" i="33"/>
  <c r="T341" i="33"/>
  <c r="W341" i="33"/>
  <c r="T268" i="33"/>
  <c r="W268" i="33"/>
  <c r="V268" i="33"/>
  <c r="V206" i="33"/>
  <c r="W206" i="33"/>
  <c r="T206" i="33"/>
  <c r="T355" i="33"/>
  <c r="W355" i="33"/>
  <c r="V355" i="33"/>
  <c r="W325" i="33"/>
  <c r="T325" i="33"/>
  <c r="V325" i="33"/>
  <c r="W294" i="33"/>
  <c r="V294" i="33"/>
  <c r="T294" i="33"/>
  <c r="V366" i="33"/>
  <c r="W366" i="33"/>
  <c r="T366" i="33"/>
  <c r="T257" i="33"/>
  <c r="V257" i="33"/>
  <c r="W257" i="33"/>
  <c r="V320" i="33"/>
  <c r="W320" i="33"/>
  <c r="T320" i="33"/>
  <c r="V63" i="33"/>
  <c r="W63" i="33"/>
  <c r="T63" i="33"/>
  <c r="W426" i="33"/>
  <c r="V426" i="33"/>
  <c r="T426" i="33"/>
  <c r="W311" i="33"/>
  <c r="T311" i="33"/>
  <c r="V311" i="33"/>
  <c r="V316" i="33"/>
  <c r="T316" i="33"/>
  <c r="W316" i="33"/>
  <c r="T309" i="33"/>
  <c r="W309" i="33"/>
  <c r="V309" i="33"/>
  <c r="V305" i="33"/>
  <c r="W305" i="33"/>
  <c r="T305" i="33"/>
  <c r="W310" i="33"/>
  <c r="T310" i="33"/>
  <c r="V310" i="33"/>
  <c r="W314" i="33"/>
  <c r="T314" i="33"/>
  <c r="V314" i="33"/>
  <c r="W307" i="33"/>
  <c r="T307" i="33"/>
  <c r="V307" i="33"/>
  <c r="V10" i="33"/>
  <c r="T10" i="33"/>
  <c r="W10" i="33"/>
  <c r="V400" i="33"/>
  <c r="W400" i="33"/>
  <c r="T400" i="33"/>
  <c r="W387" i="33"/>
  <c r="T387" i="33"/>
  <c r="V387" i="33"/>
  <c r="T393" i="33"/>
  <c r="V393" i="33"/>
  <c r="W393" i="33"/>
  <c r="W215" i="33"/>
  <c r="V215" i="33"/>
  <c r="T215" i="33"/>
  <c r="T353" i="33"/>
  <c r="W353" i="33"/>
  <c r="V353" i="33"/>
  <c r="T50" i="33"/>
  <c r="V50" i="33"/>
  <c r="W50" i="33"/>
  <c r="W6" i="33"/>
  <c r="V6" i="33"/>
  <c r="T6" i="33"/>
  <c r="V60" i="33"/>
  <c r="W60" i="33"/>
  <c r="T60" i="33"/>
  <c r="V300" i="33"/>
  <c r="T300" i="33"/>
  <c r="W300" i="33"/>
  <c r="W42" i="33"/>
  <c r="V42" i="33"/>
  <c r="T42" i="33"/>
  <c r="W363" i="33"/>
  <c r="V363" i="33"/>
  <c r="T363" i="33"/>
  <c r="V361" i="33"/>
  <c r="W361" i="33"/>
  <c r="T361" i="33"/>
  <c r="V388" i="33"/>
  <c r="W388" i="33"/>
  <c r="T388" i="33"/>
  <c r="T36" i="33"/>
  <c r="W36" i="33"/>
  <c r="V36" i="33"/>
  <c r="V386" i="33"/>
  <c r="T386" i="33"/>
  <c r="W386" i="33"/>
  <c r="V378" i="33"/>
  <c r="W378" i="33"/>
  <c r="T378" i="33"/>
  <c r="V362" i="33"/>
  <c r="W362" i="33"/>
  <c r="T362" i="33"/>
  <c r="V52" i="33"/>
  <c r="W52" i="33"/>
  <c r="T52" i="33"/>
  <c r="T55" i="33"/>
  <c r="W55" i="33"/>
  <c r="V55" i="33"/>
  <c r="V214" i="33"/>
  <c r="T214" i="33"/>
  <c r="W214" i="33"/>
  <c r="T335" i="33"/>
  <c r="V335" i="33"/>
  <c r="W335" i="33"/>
  <c r="W216" i="33"/>
  <c r="T216" i="33"/>
  <c r="V216" i="33"/>
  <c r="W368" i="33"/>
  <c r="V368" i="33"/>
  <c r="T368" i="33"/>
  <c r="T298" i="33"/>
  <c r="V298" i="33"/>
  <c r="W298" i="33"/>
  <c r="V346" i="33"/>
  <c r="W346" i="33"/>
  <c r="W296" i="33"/>
  <c r="V296" i="33"/>
  <c r="T296" i="33"/>
  <c r="W351" i="33"/>
  <c r="T351" i="33"/>
  <c r="V351" i="33"/>
  <c r="V45" i="33"/>
  <c r="W45" i="33"/>
  <c r="T45" i="33"/>
  <c r="T88" i="33"/>
  <c r="W88" i="33"/>
  <c r="V88" i="33"/>
  <c r="V272" i="33"/>
  <c r="W272" i="33"/>
  <c r="T272" i="33"/>
  <c r="T367" i="33"/>
  <c r="W367" i="33"/>
  <c r="V367" i="33"/>
  <c r="V407" i="33"/>
  <c r="W407" i="33"/>
  <c r="T407" i="33"/>
  <c r="W255" i="33"/>
  <c r="V255" i="33"/>
  <c r="T255" i="33"/>
  <c r="W344" i="33"/>
  <c r="T344" i="33"/>
  <c r="V344" i="33"/>
  <c r="V241" i="33"/>
  <c r="T241" i="33"/>
  <c r="W241" i="33"/>
  <c r="W371" i="33"/>
  <c r="T371" i="33"/>
  <c r="V371" i="33"/>
  <c r="V337" i="33"/>
  <c r="W337" i="33"/>
  <c r="T337" i="33"/>
  <c r="T217" i="33"/>
  <c r="V217" i="33"/>
  <c r="W217" i="33"/>
  <c r="V239" i="33"/>
  <c r="W239" i="33"/>
  <c r="T239" i="33"/>
  <c r="V9" i="33"/>
  <c r="W9" i="33"/>
  <c r="T9" i="33"/>
  <c r="W301" i="33"/>
  <c r="T301" i="33"/>
  <c r="V301" i="33"/>
  <c r="T83" i="33"/>
  <c r="V83" i="33"/>
  <c r="W83" i="33"/>
  <c r="W269" i="33"/>
  <c r="V269" i="33"/>
  <c r="T269" i="33"/>
  <c r="W242" i="33"/>
  <c r="V242" i="33"/>
  <c r="T242" i="33"/>
  <c r="W277" i="33"/>
  <c r="T277" i="33"/>
  <c r="V277" i="33"/>
  <c r="W212" i="33"/>
  <c r="T212" i="33"/>
  <c r="V212" i="33"/>
  <c r="W253" i="33"/>
  <c r="V253" i="33"/>
  <c r="T253" i="33"/>
  <c r="V8" i="33"/>
  <c r="T8" i="33"/>
  <c r="W8" i="33"/>
  <c r="T267" i="33"/>
  <c r="W267" i="33"/>
  <c r="V267" i="33"/>
  <c r="W69" i="33"/>
  <c r="V69" i="33"/>
  <c r="T69" i="33"/>
  <c r="V208" i="33"/>
  <c r="W208" i="33"/>
  <c r="T208" i="33"/>
  <c r="V93" i="33"/>
  <c r="T93" i="33"/>
  <c r="W93" i="33"/>
  <c r="W317" i="33"/>
  <c r="T317" i="33"/>
  <c r="V317" i="33"/>
  <c r="T200" i="33"/>
  <c r="W200" i="33"/>
  <c r="V200" i="33"/>
  <c r="V303" i="33"/>
  <c r="T303" i="33"/>
  <c r="W303" i="33"/>
  <c r="W246" i="33"/>
  <c r="V246" i="33"/>
  <c r="T246" i="33"/>
  <c r="W61" i="33"/>
  <c r="V61" i="33"/>
  <c r="T61" i="33"/>
  <c r="T201" i="33"/>
  <c r="V201" i="33"/>
  <c r="W201" i="33"/>
  <c r="V276" i="33"/>
  <c r="W276" i="33"/>
  <c r="T276" i="33"/>
  <c r="T254" i="33"/>
  <c r="W254" i="33"/>
  <c r="V254" i="33"/>
  <c r="U280" i="33"/>
  <c r="U405" i="33"/>
  <c r="U389" i="33"/>
  <c r="U364" i="33"/>
  <c r="U262" i="33"/>
  <c r="U37" i="33"/>
  <c r="U334" i="33"/>
  <c r="U18" i="33"/>
  <c r="U203" i="33"/>
  <c r="U291" i="33"/>
  <c r="U326" i="33"/>
  <c r="V17" i="33"/>
  <c r="T17" i="33"/>
  <c r="U17" i="33"/>
  <c r="W17" i="33"/>
  <c r="U391" i="33"/>
  <c r="U382" i="33"/>
  <c r="U342" i="33"/>
  <c r="U218" i="33"/>
  <c r="U343" i="33"/>
  <c r="U397" i="33"/>
  <c r="U431" i="33"/>
  <c r="U2" i="33"/>
  <c r="U28" i="33"/>
  <c r="U89" i="33"/>
  <c r="U26" i="33"/>
  <c r="U350" i="33"/>
  <c r="W14" i="33"/>
  <c r="T14" i="33"/>
  <c r="U14" i="33"/>
  <c r="V14" i="33"/>
  <c r="U380" i="33"/>
  <c r="U336" i="33"/>
  <c r="U365" i="33"/>
  <c r="U357" i="33"/>
  <c r="U372" i="33"/>
  <c r="V236" i="33"/>
  <c r="W236" i="33"/>
  <c r="T236" i="33"/>
  <c r="W238" i="33"/>
  <c r="V238" i="33"/>
  <c r="T238" i="33"/>
  <c r="T207" i="33"/>
  <c r="W207" i="33"/>
  <c r="V207" i="33"/>
  <c r="W237" i="33"/>
  <c r="T237" i="33"/>
  <c r="V237" i="33"/>
  <c r="W245" i="33"/>
  <c r="T245" i="33"/>
  <c r="V245" i="33"/>
  <c r="W7" i="33"/>
  <c r="T7" i="33"/>
  <c r="V7" i="33"/>
  <c r="W281" i="33"/>
  <c r="V281" i="33"/>
  <c r="T281" i="33"/>
  <c r="W25" i="33"/>
  <c r="V25" i="33"/>
  <c r="T25" i="33"/>
  <c r="D11" i="42"/>
  <c r="D6" i="42"/>
  <c r="E6" i="42" s="1"/>
  <c r="P57" i="33"/>
  <c r="P35" i="33"/>
  <c r="P278" i="33"/>
  <c r="P425" i="33"/>
  <c r="P240" i="33"/>
  <c r="V240" i="33" s="1"/>
  <c r="P332" i="33"/>
  <c r="P394" i="33"/>
  <c r="P398" i="33"/>
  <c r="P67" i="33"/>
  <c r="P260" i="33"/>
  <c r="W260" i="33" s="1"/>
  <c r="P402" i="33"/>
  <c r="P21" i="33"/>
  <c r="P247" i="33"/>
  <c r="P76" i="33"/>
  <c r="P58" i="33"/>
  <c r="P44" i="33"/>
  <c r="P43" i="33"/>
  <c r="P243" i="33"/>
  <c r="P210" i="33"/>
  <c r="P219" i="33"/>
  <c r="P264" i="33"/>
  <c r="P64" i="33"/>
  <c r="W64" i="33" s="1"/>
  <c r="P318" i="33"/>
  <c r="P292" i="33"/>
  <c r="P19" i="33"/>
  <c r="P328" i="33"/>
  <c r="P406" i="33"/>
  <c r="P349" i="33"/>
  <c r="P352" i="33"/>
  <c r="P32" i="33"/>
  <c r="P385" i="33"/>
  <c r="P399" i="33"/>
  <c r="P375" i="33"/>
  <c r="P31" i="33"/>
  <c r="P289" i="33"/>
  <c r="P390" i="33"/>
  <c r="P338" i="33"/>
  <c r="P40" i="33"/>
  <c r="P370" i="33"/>
  <c r="P379" i="33"/>
  <c r="P273" i="33"/>
  <c r="D2" i="24"/>
  <c r="D11" i="24"/>
  <c r="D6" i="24"/>
  <c r="D2" i="42"/>
  <c r="E2" i="42" s="1"/>
  <c r="Q78" i="33"/>
  <c r="Q20" i="33"/>
  <c r="Q324" i="33"/>
  <c r="Q29" i="33"/>
  <c r="Q410" i="33"/>
  <c r="Q411" i="33"/>
  <c r="Q419" i="33"/>
  <c r="Q418" i="33"/>
  <c r="Q330" i="33"/>
  <c r="Q252" i="33"/>
  <c r="Q30" i="33"/>
  <c r="Q204" i="33"/>
  <c r="Q359" i="33"/>
  <c r="Q84" i="33"/>
  <c r="Q299" i="33"/>
  <c r="Q248" i="33"/>
  <c r="Q374" i="33"/>
  <c r="Q77" i="33"/>
  <c r="Q435" i="33"/>
  <c r="Q347" i="33"/>
  <c r="Q92" i="33"/>
  <c r="Q70" i="33"/>
  <c r="Q16" i="33"/>
  <c r="P280" i="33"/>
  <c r="P405" i="33"/>
  <c r="P2" i="33"/>
  <c r="P397" i="33"/>
  <c r="P391" i="33"/>
  <c r="P357" i="33"/>
  <c r="P28" i="33"/>
  <c r="P342" i="33"/>
  <c r="P382" i="33"/>
  <c r="P326" i="33"/>
  <c r="P334" i="33"/>
  <c r="P372" i="33"/>
  <c r="P26" i="33"/>
  <c r="P431" i="33"/>
  <c r="Q39" i="33"/>
  <c r="P365" i="33"/>
  <c r="P380" i="33"/>
  <c r="P336" i="33"/>
  <c r="P350" i="33"/>
  <c r="P291" i="33"/>
  <c r="P18" i="33"/>
  <c r="P37" i="33"/>
  <c r="P364" i="33"/>
  <c r="P203" i="33"/>
  <c r="P89" i="33"/>
  <c r="P343" i="33"/>
  <c r="P218" i="33"/>
  <c r="P262" i="33"/>
  <c r="P389" i="33"/>
  <c r="Q261" i="33"/>
  <c r="Q68" i="33"/>
  <c r="Q209" i="33"/>
  <c r="Q288" i="33"/>
  <c r="Q263" i="33"/>
  <c r="Q74" i="33"/>
  <c r="Q235" i="33"/>
  <c r="Q24" i="33"/>
  <c r="Q428" i="33"/>
  <c r="Q356" i="33"/>
  <c r="Q377" i="33"/>
  <c r="Q396" i="33"/>
  <c r="Q429" i="33"/>
  <c r="Q287" i="33"/>
  <c r="Q369" i="33"/>
  <c r="Q5" i="33"/>
  <c r="Q424" i="33"/>
  <c r="Q333" i="33"/>
  <c r="Q274" i="33" l="1"/>
  <c r="Q304" i="33"/>
  <c r="W48" i="33"/>
  <c r="V48" i="33"/>
  <c r="W57" i="33"/>
  <c r="V57" i="33"/>
  <c r="T57" i="33"/>
  <c r="W35" i="33"/>
  <c r="V35" i="33"/>
  <c r="T35" i="33"/>
  <c r="W278" i="33"/>
  <c r="V278" i="33"/>
  <c r="T278" i="33"/>
  <c r="W332" i="33"/>
  <c r="V332" i="33"/>
  <c r="T332" i="33"/>
  <c r="W394" i="33"/>
  <c r="T394" i="33"/>
  <c r="V394" i="33"/>
  <c r="T43" i="33"/>
  <c r="W43" i="33"/>
  <c r="V43" i="33"/>
  <c r="V328" i="33"/>
  <c r="T328" i="33"/>
  <c r="W328" i="33"/>
  <c r="T399" i="33"/>
  <c r="W399" i="33"/>
  <c r="V399" i="33"/>
  <c r="V289" i="33"/>
  <c r="W289" i="33"/>
  <c r="T289" i="33"/>
  <c r="V370" i="33"/>
  <c r="T370" i="33"/>
  <c r="W370" i="33"/>
  <c r="W273" i="33"/>
  <c r="T273" i="33"/>
  <c r="V273" i="33"/>
  <c r="W240" i="33"/>
  <c r="T240" i="33"/>
  <c r="V402" i="33"/>
  <c r="T402" i="33"/>
  <c r="W402" i="33"/>
  <c r="V318" i="33"/>
  <c r="W318" i="33"/>
  <c r="W406" i="33"/>
  <c r="T406" i="33"/>
  <c r="V349" i="33"/>
  <c r="W349" i="33"/>
  <c r="T349" i="33"/>
  <c r="W352" i="33"/>
  <c r="V352" i="33"/>
  <c r="T352" i="33"/>
  <c r="T32" i="33"/>
  <c r="W32" i="33"/>
  <c r="V32" i="33"/>
  <c r="T31" i="33"/>
  <c r="W31" i="33"/>
  <c r="V31" i="33"/>
  <c r="W390" i="33"/>
  <c r="V390" i="33"/>
  <c r="T390" i="33"/>
  <c r="W338" i="33"/>
  <c r="T338" i="33"/>
  <c r="V338" i="33"/>
  <c r="W40" i="33"/>
  <c r="T40" i="33"/>
  <c r="V40" i="33"/>
  <c r="W379" i="33"/>
  <c r="V379" i="33"/>
  <c r="T379" i="33"/>
  <c r="T280" i="33"/>
  <c r="W280" i="33"/>
  <c r="V280" i="33"/>
  <c r="T405" i="33"/>
  <c r="V405" i="33"/>
  <c r="W405" i="33"/>
  <c r="W2" i="33"/>
  <c r="V2" i="33"/>
  <c r="T2" i="33"/>
  <c r="W397" i="33"/>
  <c r="T397" i="33"/>
  <c r="V397" i="33"/>
  <c r="T391" i="33"/>
  <c r="V391" i="33"/>
  <c r="W391" i="33"/>
  <c r="V357" i="33"/>
  <c r="T357" i="33"/>
  <c r="W357" i="33"/>
  <c r="T28" i="33"/>
  <c r="V28" i="33"/>
  <c r="W28" i="33"/>
  <c r="T342" i="33"/>
  <c r="V342" i="33"/>
  <c r="W342" i="33"/>
  <c r="T382" i="33"/>
  <c r="W382" i="33"/>
  <c r="V382" i="33"/>
  <c r="T326" i="33"/>
  <c r="V326" i="33"/>
  <c r="W326" i="33"/>
  <c r="W334" i="33"/>
  <c r="T334" i="33"/>
  <c r="V334" i="33"/>
  <c r="V372" i="33"/>
  <c r="T372" i="33"/>
  <c r="W372" i="33"/>
  <c r="W26" i="33"/>
  <c r="V26" i="33"/>
  <c r="T26" i="33"/>
  <c r="T431" i="33"/>
  <c r="W431" i="33"/>
  <c r="V431" i="33"/>
  <c r="W365" i="33"/>
  <c r="T365" i="33"/>
  <c r="V365" i="33"/>
  <c r="T380" i="33"/>
  <c r="W380" i="33"/>
  <c r="V380" i="33"/>
  <c r="W336" i="33"/>
  <c r="V336" i="33"/>
  <c r="T336" i="33"/>
  <c r="W350" i="33"/>
  <c r="T350" i="33"/>
  <c r="V350" i="33"/>
  <c r="W291" i="33"/>
  <c r="T291" i="33"/>
  <c r="V291" i="33"/>
  <c r="W18" i="33"/>
  <c r="V18" i="33"/>
  <c r="T18" i="33"/>
  <c r="V37" i="33"/>
  <c r="T37" i="33"/>
  <c r="W37" i="33"/>
  <c r="W364" i="33"/>
  <c r="V364" i="33"/>
  <c r="T364" i="33"/>
  <c r="T203" i="33"/>
  <c r="W203" i="33"/>
  <c r="V203" i="33"/>
  <c r="W89" i="33"/>
  <c r="V89" i="33"/>
  <c r="T89" i="33"/>
  <c r="T343" i="33"/>
  <c r="V343" i="33"/>
  <c r="W343" i="33"/>
  <c r="V218" i="33"/>
  <c r="W218" i="33"/>
  <c r="T218" i="33"/>
  <c r="V262" i="33"/>
  <c r="W262" i="33"/>
  <c r="T262" i="33"/>
  <c r="W389" i="33"/>
  <c r="T389" i="33"/>
  <c r="V389" i="33"/>
  <c r="Q329" i="33"/>
  <c r="Q373" i="33"/>
  <c r="Q270" i="33"/>
  <c r="Q358" i="33"/>
  <c r="Q51" i="33"/>
  <c r="Q302" i="33"/>
  <c r="Q433" i="33"/>
  <c r="Q33" i="33"/>
  <c r="Q321" i="33"/>
  <c r="Q265" i="33"/>
  <c r="Q59" i="33"/>
  <c r="Q202" i="33"/>
  <c r="Q34" i="33"/>
  <c r="Q293" i="33"/>
  <c r="Q259" i="33"/>
  <c r="Q434" i="33"/>
  <c r="Q327" i="33"/>
  <c r="Q339" i="33"/>
  <c r="Q65" i="33"/>
  <c r="Q75" i="33"/>
  <c r="Q41" i="33"/>
  <c r="Q290" i="33"/>
  <c r="Q282" i="33"/>
  <c r="Q395" i="33"/>
  <c r="Q27" i="33"/>
  <c r="Q285" i="33"/>
  <c r="Q38" i="33"/>
  <c r="Q81" i="33"/>
  <c r="Q383" i="33"/>
  <c r="Q257" i="33"/>
  <c r="Q360" i="33"/>
  <c r="Q22" i="33"/>
  <c r="Q325" i="33"/>
  <c r="Q384" i="33"/>
  <c r="Q63" i="33"/>
  <c r="Q56" i="33"/>
  <c r="Q87" i="33"/>
  <c r="Q341" i="33"/>
  <c r="Q340" i="33"/>
  <c r="Q205" i="33"/>
  <c r="Q401" i="33"/>
  <c r="Q82" i="33"/>
  <c r="Q381" i="33"/>
  <c r="Q62" i="33"/>
  <c r="Q268" i="33"/>
  <c r="Q256" i="33"/>
  <c r="Q297" i="33"/>
  <c r="Q294" i="33"/>
  <c r="Q13" i="33"/>
  <c r="Q376" i="33"/>
  <c r="Q320" i="33"/>
  <c r="Q36" i="33"/>
  <c r="Q91" i="33"/>
  <c r="Q213" i="33"/>
  <c r="Q345" i="33"/>
  <c r="Q284" i="33"/>
  <c r="Q66" i="33"/>
  <c r="Q366" i="33"/>
  <c r="Q432" i="33"/>
  <c r="Q50" i="33"/>
  <c r="Q72" i="33"/>
  <c r="Q90" i="33"/>
  <c r="Q323" i="33"/>
  <c r="Q12" i="33"/>
  <c r="Q400" i="33"/>
  <c r="Q344" i="33"/>
  <c r="Q71" i="33"/>
  <c r="Q241" i="33"/>
  <c r="Q73" i="33"/>
  <c r="Q368" i="33"/>
  <c r="Q79" i="33"/>
  <c r="Q271" i="33"/>
  <c r="Q362" i="33"/>
  <c r="Q46" i="33"/>
  <c r="Q331" i="33"/>
  <c r="Q387" i="33"/>
  <c r="Q300" i="33"/>
  <c r="Q430" i="33"/>
  <c r="Q49" i="33"/>
  <c r="Q403" i="33"/>
  <c r="Q275" i="33"/>
  <c r="Q251" i="33"/>
  <c r="Q378" i="33"/>
  <c r="Q348" i="33"/>
  <c r="Q60" i="33"/>
  <c r="Q388" i="33"/>
  <c r="Q4" i="33"/>
  <c r="Q298" i="33"/>
  <c r="Q211" i="33"/>
  <c r="Q393" i="33"/>
  <c r="Q249" i="33"/>
  <c r="Q52" i="33"/>
  <c r="Q6" i="33"/>
  <c r="Q367" i="33"/>
  <c r="E6" i="24"/>
  <c r="Q47" i="33"/>
  <c r="Q55" i="33"/>
  <c r="Q392" i="33"/>
  <c r="E2" i="24"/>
  <c r="E11" i="24"/>
  <c r="Q42" i="33"/>
  <c r="Q206" i="33"/>
  <c r="Q250" i="33"/>
  <c r="Q215" i="33"/>
  <c r="Q53" i="33"/>
  <c r="Q386" i="33"/>
  <c r="Q255" i="33"/>
  <c r="Q363" i="33"/>
  <c r="Q279" i="33"/>
  <c r="Q337" i="33"/>
  <c r="Q371" i="33"/>
  <c r="Q80" i="33"/>
  <c r="Q315" i="33"/>
  <c r="Q354" i="33"/>
  <c r="Q212" i="33"/>
  <c r="Q239" i="33"/>
  <c r="Q214" i="33"/>
  <c r="Q217" i="33"/>
  <c r="Q319" i="33"/>
  <c r="Q417" i="33"/>
  <c r="Q69" i="33"/>
  <c r="Q423" i="33"/>
  <c r="Q335" i="33"/>
  <c r="Q416" i="33"/>
  <c r="Q242" i="33"/>
  <c r="Q409" i="33"/>
  <c r="Q412" i="33"/>
  <c r="Q420" i="33"/>
  <c r="Q422" i="33"/>
  <c r="Q408" i="33"/>
  <c r="Q413" i="33"/>
  <c r="Q414" i="33"/>
  <c r="Q421" i="33"/>
  <c r="Q415" i="33"/>
  <c r="Q253" i="33"/>
  <c r="Q85" i="33"/>
  <c r="Q208" i="33"/>
  <c r="Q93" i="33"/>
  <c r="Q317" i="33"/>
  <c r="Q277" i="33"/>
  <c r="Q355" i="33"/>
  <c r="Q295" i="33"/>
  <c r="Q313" i="33"/>
  <c r="Q269" i="33"/>
  <c r="Q54" i="33"/>
  <c r="Q8" i="33"/>
  <c r="Q426" i="33"/>
  <c r="Q244" i="33"/>
  <c r="Q201" i="33"/>
  <c r="Q200" i="33"/>
  <c r="Q9" i="33"/>
  <c r="Q246" i="33"/>
  <c r="Q88" i="33"/>
  <c r="Q10" i="33"/>
  <c r="Q307" i="33"/>
  <c r="Q306" i="33"/>
  <c r="Q314" i="33"/>
  <c r="Q316" i="33"/>
  <c r="Q311" i="33"/>
  <c r="Q310" i="33"/>
  <c r="Q305" i="33"/>
  <c r="Q308" i="33"/>
  <c r="Q309" i="33"/>
  <c r="Q312" i="33"/>
  <c r="Q296" i="33"/>
  <c r="Q346" i="33"/>
  <c r="Q361" i="33"/>
  <c r="Q86" i="33"/>
  <c r="Q286" i="33"/>
  <c r="Q353" i="33"/>
  <c r="Q258" i="33"/>
  <c r="Q3" i="33"/>
  <c r="Q404" i="33"/>
  <c r="Q23" i="33"/>
  <c r="Q216" i="33"/>
  <c r="Q351" i="33"/>
  <c r="Q45" i="33"/>
  <c r="Q272" i="33"/>
  <c r="Q407" i="33"/>
  <c r="Q15" i="33"/>
  <c r="Q303" i="33"/>
  <c r="Q276" i="33"/>
  <c r="Q427" i="33"/>
  <c r="Q83" i="33"/>
  <c r="Q301" i="33"/>
  <c r="Q238" i="33"/>
  <c r="Q267" i="33"/>
  <c r="Q237" i="33"/>
  <c r="Q61" i="33"/>
  <c r="Q254" i="33"/>
  <c r="Q7" i="33"/>
  <c r="Q207" i="33"/>
  <c r="Q236" i="33"/>
  <c r="Q245" i="33"/>
  <c r="Q266" i="33"/>
  <c r="Q281" i="33"/>
  <c r="Q25" i="33"/>
  <c r="Q48" i="33" l="1"/>
  <c r="Q240" i="33"/>
  <c r="Q425" i="33"/>
  <c r="Q278" i="33"/>
  <c r="Q57" i="33"/>
  <c r="Q273" i="33"/>
  <c r="Q35" i="33"/>
  <c r="Q394" i="33"/>
  <c r="Q76" i="33"/>
  <c r="Q247" i="33"/>
  <c r="Q332" i="33"/>
  <c r="Q385" i="33"/>
  <c r="Q44" i="33"/>
  <c r="Q260" i="33"/>
  <c r="Q21" i="33"/>
  <c r="Q398" i="33"/>
  <c r="Q318" i="33"/>
  <c r="Q11" i="33"/>
  <c r="Q58" i="33"/>
  <c r="Q43" i="33"/>
  <c r="Q67" i="33"/>
  <c r="Q402" i="33"/>
  <c r="Q349" i="33"/>
  <c r="Q32" i="33"/>
  <c r="Q399" i="33"/>
  <c r="Q64" i="33"/>
  <c r="Q289" i="33"/>
  <c r="Q379" i="33"/>
  <c r="Q406" i="33"/>
  <c r="Q19" i="33"/>
  <c r="Q243" i="33"/>
  <c r="Q264" i="33"/>
  <c r="Q210" i="33"/>
  <c r="Q375" i="33"/>
  <c r="Q352" i="33"/>
  <c r="Q328" i="33"/>
  <c r="Q219" i="33"/>
  <c r="Q292" i="33"/>
  <c r="Q31" i="33"/>
  <c r="Q370" i="33"/>
  <c r="Q338" i="33"/>
  <c r="Q390" i="33"/>
  <c r="Q40" i="33"/>
  <c r="Q357" i="33"/>
  <c r="Q389" i="33"/>
  <c r="Q89" i="33"/>
  <c r="F6" i="24" s="1"/>
  <c r="Q405" i="33"/>
  <c r="Q326" i="33"/>
  <c r="Q280" i="33"/>
  <c r="Q431" i="33"/>
  <c r="Q342" i="33"/>
  <c r="Q203" i="33"/>
  <c r="Q336" i="33"/>
  <c r="Q18" i="33"/>
  <c r="Q364" i="33"/>
  <c r="Q37" i="33"/>
  <c r="Q218" i="33"/>
  <c r="Q380" i="33"/>
  <c r="Q262" i="33"/>
  <c r="Q343" i="33"/>
  <c r="Q334" i="33"/>
  <c r="Q14" i="33"/>
  <c r="Q291" i="33"/>
  <c r="Q372" i="33"/>
  <c r="Q397" i="33"/>
  <c r="Q391" i="33"/>
  <c r="Q26" i="33"/>
  <c r="Q350" i="33"/>
  <c r="Q382" i="33"/>
  <c r="Q28" i="33"/>
  <c r="Q365" i="33"/>
  <c r="Q2" i="33"/>
  <c r="Q17" i="33"/>
  <c r="F2" i="24" l="1"/>
  <c r="F10" i="24"/>
  <c r="F5" i="24"/>
  <c r="F11" i="24"/>
  <c r="F7" i="24"/>
  <c r="F3" i="24"/>
  <c r="F9" i="24"/>
  <c r="F12" i="24"/>
  <c r="F8" i="24"/>
  <c r="F4" i="24"/>
  <c r="H6" i="24"/>
  <c r="F14" i="24" l="1"/>
  <c r="H11" i="24"/>
  <c r="H2" i="24"/>
  <c r="W2" i="41" l="1"/>
  <c r="D10" i="42" l="1"/>
  <c r="E10" i="24" s="1"/>
  <c r="D10" i="24"/>
  <c r="D7" i="42"/>
  <c r="E7" i="42" s="1"/>
  <c r="E7" i="24" s="1"/>
  <c r="D7" i="24"/>
  <c r="D12" i="24"/>
  <c r="D12" i="42"/>
  <c r="E12" i="24" s="1"/>
  <c r="D3" i="24"/>
  <c r="D3" i="42"/>
  <c r="E3" i="24" s="1"/>
  <c r="D9" i="42"/>
  <c r="E9" i="42" s="1"/>
  <c r="E9" i="24" s="1"/>
  <c r="D9" i="24"/>
  <c r="D4" i="42"/>
  <c r="E4" i="24" s="1"/>
  <c r="D4" i="24"/>
  <c r="D5" i="42"/>
  <c r="E5" i="24" s="1"/>
  <c r="D5" i="24"/>
  <c r="D8" i="42"/>
  <c r="E8" i="24" s="1"/>
  <c r="D8" i="24"/>
  <c r="H9" i="24" l="1"/>
  <c r="H5" i="24"/>
  <c r="H3" i="24"/>
  <c r="D14" i="24"/>
  <c r="H10" i="24"/>
  <c r="H7" i="24"/>
  <c r="H12" i="24"/>
  <c r="E14" i="24"/>
  <c r="H4" i="24"/>
  <c r="H8" i="24"/>
  <c r="H14" i="24" l="1"/>
  <c r="E13" i="31" s="1"/>
  <c r="E9" i="31" l="1"/>
  <c r="G9" i="31" s="1"/>
  <c r="G13" i="31"/>
  <c r="E7" i="31"/>
  <c r="G7" i="31" s="1"/>
  <c r="E11" i="31"/>
  <c r="G11" i="31" s="1"/>
  <c r="E5" i="31"/>
  <c r="G5" i="31" l="1"/>
  <c r="G14" i="31" s="1"/>
  <c r="E14" i="31"/>
  <c r="I14" i="31" l="1"/>
  <c r="E25" i="31"/>
  <c r="E27" i="31"/>
  <c r="G27" i="31" s="1"/>
  <c r="E21" i="31"/>
  <c r="G21" i="31" s="1"/>
  <c r="E19" i="31"/>
  <c r="E23" i="31"/>
  <c r="I11" i="24" l="1"/>
  <c r="I6" i="24"/>
  <c r="I4" i="24"/>
  <c r="I7" i="24"/>
  <c r="I3" i="24"/>
  <c r="I8" i="24"/>
  <c r="I2" i="24"/>
  <c r="I10" i="24"/>
  <c r="I12" i="24"/>
  <c r="I5" i="24"/>
  <c r="I9" i="24"/>
  <c r="C25" i="31"/>
  <c r="G25" i="31"/>
  <c r="E28" i="31"/>
  <c r="B28" i="31" s="1"/>
  <c r="G19" i="31"/>
  <c r="G23" i="31"/>
  <c r="C23" i="31"/>
  <c r="S355" i="33" l="1"/>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39" i="33"/>
  <c r="S40" i="33"/>
  <c r="S42" i="33"/>
  <c r="S43" i="33"/>
  <c r="S44" i="33"/>
  <c r="S45" i="33"/>
  <c r="S46" i="33"/>
  <c r="S47" i="33"/>
  <c r="S48" i="33"/>
  <c r="S49" i="33"/>
  <c r="S50" i="33"/>
  <c r="S51" i="33"/>
  <c r="S52" i="33"/>
  <c r="S55" i="33"/>
  <c r="S61" i="33"/>
  <c r="S63" i="33"/>
  <c r="S65" i="33"/>
  <c r="S67" i="33"/>
  <c r="S70" i="33"/>
  <c r="S74" i="33"/>
  <c r="S78" i="33"/>
  <c r="S81" i="33"/>
  <c r="S83" i="33"/>
  <c r="S87" i="33"/>
  <c r="S91" i="33"/>
  <c r="S94" i="33"/>
  <c r="S97" i="33"/>
  <c r="S105" i="33"/>
  <c r="S108" i="33"/>
  <c r="S110" i="33"/>
  <c r="S116" i="33"/>
  <c r="S120" i="33"/>
  <c r="S126" i="33"/>
  <c r="S134" i="33"/>
  <c r="S136" i="33"/>
  <c r="S139" i="33"/>
  <c r="S143" i="33"/>
  <c r="S145" i="33"/>
  <c r="S148" i="33"/>
  <c r="S151" i="33"/>
  <c r="S153" i="33"/>
  <c r="S155" i="33"/>
  <c r="S157" i="33"/>
  <c r="S159" i="33"/>
  <c r="S162" i="33"/>
  <c r="S165" i="33"/>
  <c r="S167" i="33"/>
  <c r="S173" i="33"/>
  <c r="S175" i="33"/>
  <c r="S177" i="33"/>
  <c r="S179" i="33"/>
  <c r="S182" i="33"/>
  <c r="S188" i="33"/>
  <c r="S190" i="33"/>
  <c r="S196" i="33"/>
  <c r="S198" i="33"/>
  <c r="S201" i="33"/>
  <c r="S224" i="33"/>
  <c r="S226" i="33"/>
  <c r="S230" i="33"/>
  <c r="S232" i="33"/>
  <c r="S234" i="33"/>
  <c r="S247" i="33"/>
  <c r="S249" i="33"/>
  <c r="S251" i="33"/>
  <c r="S258" i="33"/>
  <c r="S260" i="33"/>
  <c r="S262" i="33"/>
  <c r="S265" i="33"/>
  <c r="S277" i="33"/>
  <c r="S279" i="33"/>
  <c r="S281" i="33"/>
  <c r="S283" i="33"/>
  <c r="S288" i="33"/>
  <c r="S290" i="33"/>
  <c r="S292" i="33"/>
  <c r="S316" i="33"/>
  <c r="S324" i="33"/>
  <c r="S326" i="33"/>
  <c r="S335" i="33"/>
  <c r="S337" i="33"/>
  <c r="S339" i="33"/>
  <c r="S343" i="33"/>
  <c r="S345" i="33"/>
  <c r="S347" i="33"/>
  <c r="S349" i="33"/>
  <c r="S351" i="33"/>
  <c r="S353" i="33"/>
  <c r="S356" i="33"/>
  <c r="S358" i="33"/>
  <c r="S360" i="33"/>
  <c r="S364" i="33"/>
  <c r="S366" i="33"/>
  <c r="S369" i="33"/>
  <c r="S373" i="33"/>
  <c r="S376" i="33"/>
  <c r="S379" i="33"/>
  <c r="S381" i="33"/>
  <c r="S392" i="33"/>
  <c r="S395" i="33"/>
  <c r="S397" i="33"/>
  <c r="S401" i="33"/>
  <c r="S404" i="33"/>
  <c r="S407" i="33"/>
  <c r="S411" i="33"/>
  <c r="S419" i="33"/>
  <c r="S422" i="33"/>
  <c r="S427" i="33"/>
  <c r="S429" i="33"/>
  <c r="S431" i="33"/>
  <c r="S434" i="33"/>
  <c r="S5" i="33"/>
  <c r="S53" i="33"/>
  <c r="S57" i="33"/>
  <c r="S58" i="33"/>
  <c r="S60" i="33"/>
  <c r="S64" i="33"/>
  <c r="S66" i="33"/>
  <c r="S69" i="33"/>
  <c r="S73" i="33"/>
  <c r="S76" i="33"/>
  <c r="S79" i="33"/>
  <c r="S85" i="33"/>
  <c r="S89" i="33"/>
  <c r="S93" i="33"/>
  <c r="S96" i="33"/>
  <c r="S102" i="33"/>
  <c r="S104" i="33"/>
  <c r="S106" i="33"/>
  <c r="S111" i="33"/>
  <c r="S115" i="33"/>
  <c r="S119" i="33"/>
  <c r="S124" i="33"/>
  <c r="S127" i="33"/>
  <c r="S132" i="33"/>
  <c r="S137" i="33"/>
  <c r="S140" i="33"/>
  <c r="S144" i="33"/>
  <c r="S147" i="33"/>
  <c r="S156" i="33"/>
  <c r="S158" i="33"/>
  <c r="S161" i="33"/>
  <c r="S169" i="33"/>
  <c r="S171" i="33"/>
  <c r="S176" i="33"/>
  <c r="S180" i="33"/>
  <c r="S184" i="33"/>
  <c r="S186" i="33"/>
  <c r="S189" i="33"/>
  <c r="S191" i="33"/>
  <c r="S193" i="33"/>
  <c r="S195" i="33"/>
  <c r="S200" i="33"/>
  <c r="S204" i="33"/>
  <c r="S207" i="33"/>
  <c r="S225" i="33"/>
  <c r="S227" i="33"/>
  <c r="S236" i="33"/>
  <c r="S238" i="33"/>
  <c r="S240" i="33"/>
  <c r="S242" i="33"/>
  <c r="S245" i="33"/>
  <c r="S248" i="33"/>
  <c r="S250" i="33"/>
  <c r="S253" i="33"/>
  <c r="S255" i="33"/>
  <c r="S257" i="33"/>
  <c r="S263" i="33"/>
  <c r="S268" i="33"/>
  <c r="S270" i="33"/>
  <c r="S275" i="33"/>
  <c r="S284" i="33"/>
  <c r="S293" i="33"/>
  <c r="S295" i="33"/>
  <c r="S297" i="33"/>
  <c r="S299" i="33"/>
  <c r="S302" i="33"/>
  <c r="S311" i="33"/>
  <c r="S317" i="33"/>
  <c r="S319" i="33"/>
  <c r="S321" i="33"/>
  <c r="S323" i="33"/>
  <c r="S334" i="33"/>
  <c r="S336" i="33"/>
  <c r="S338" i="33"/>
  <c r="S344" i="33"/>
  <c r="S346" i="33"/>
  <c r="S352" i="33"/>
  <c r="S3" i="33"/>
  <c r="S357" i="33"/>
  <c r="S359" i="33"/>
  <c r="S368" i="33"/>
  <c r="S371" i="33"/>
  <c r="S375" i="33"/>
  <c r="S378" i="33"/>
  <c r="S386" i="33"/>
  <c r="S389" i="33"/>
  <c r="S412" i="33"/>
  <c r="S423" i="33"/>
  <c r="S432" i="33"/>
  <c r="S435" i="33"/>
  <c r="S6" i="33"/>
  <c r="S59" i="33"/>
  <c r="S72" i="33"/>
  <c r="S77" i="33"/>
  <c r="S82" i="33"/>
  <c r="S88" i="33"/>
  <c r="S90" i="33"/>
  <c r="S98" i="33"/>
  <c r="S100" i="33"/>
  <c r="S107" i="33"/>
  <c r="S112" i="33"/>
  <c r="S114" i="33"/>
  <c r="S118" i="33"/>
  <c r="S122" i="33"/>
  <c r="S128" i="33"/>
  <c r="S130" i="33"/>
  <c r="S133" i="33"/>
  <c r="S135" i="33"/>
  <c r="S138" i="33"/>
  <c r="S142" i="33"/>
  <c r="S146" i="33"/>
  <c r="S150" i="33"/>
  <c r="S152" i="33"/>
  <c r="S154" i="33"/>
  <c r="S160" i="33"/>
  <c r="S164" i="33"/>
  <c r="S168" i="33"/>
  <c r="S170" i="33"/>
  <c r="S178" i="33"/>
  <c r="S192" i="33"/>
  <c r="S194" i="33"/>
  <c r="S202" i="33"/>
  <c r="S205" i="33"/>
  <c r="S208" i="33"/>
  <c r="S210" i="33"/>
  <c r="S212" i="33"/>
  <c r="S214" i="33"/>
  <c r="S216" i="33"/>
  <c r="S218" i="33"/>
  <c r="S219" i="33"/>
  <c r="S222" i="33"/>
  <c r="S228" i="33"/>
  <c r="S237" i="33"/>
  <c r="S239" i="33"/>
  <c r="S241" i="33"/>
  <c r="S244" i="33"/>
  <c r="S246" i="33"/>
  <c r="S254" i="33"/>
  <c r="S256" i="33"/>
  <c r="S259" i="33"/>
  <c r="S261" i="33"/>
  <c r="S264" i="33"/>
  <c r="S266" i="33"/>
  <c r="S272" i="33"/>
  <c r="S274" i="33"/>
  <c r="S280" i="33"/>
  <c r="S282" i="33"/>
  <c r="S285" i="33"/>
  <c r="S287" i="33"/>
  <c r="S289" i="33"/>
  <c r="S291" i="33"/>
  <c r="S294" i="33"/>
  <c r="S296" i="33"/>
  <c r="S298" i="33"/>
  <c r="S301" i="33"/>
  <c r="S303" i="33"/>
  <c r="S305" i="33"/>
  <c r="S307" i="33"/>
  <c r="S309" i="33"/>
  <c r="S312" i="33"/>
  <c r="S314" i="33"/>
  <c r="S318" i="33"/>
  <c r="S320" i="33"/>
  <c r="S322" i="33"/>
  <c r="S325" i="33"/>
  <c r="S327" i="33"/>
  <c r="S328" i="33"/>
  <c r="S330" i="33"/>
  <c r="S333" i="33"/>
  <c r="S340" i="33"/>
  <c r="S342" i="33"/>
  <c r="S348" i="33"/>
  <c r="S350" i="33"/>
  <c r="S354" i="33"/>
  <c r="S362" i="33"/>
  <c r="S367" i="33"/>
  <c r="S384" i="33"/>
  <c r="S393" i="33"/>
  <c r="S400" i="33"/>
  <c r="S403" i="33"/>
  <c r="S408" i="33"/>
  <c r="S414" i="33"/>
  <c r="S417" i="33"/>
  <c r="S430" i="33"/>
  <c r="S433" i="33"/>
  <c r="S2" i="33"/>
  <c r="S7" i="33"/>
  <c r="S329" i="33"/>
  <c r="S374" i="33"/>
  <c r="S382" i="33"/>
  <c r="S387" i="33"/>
  <c r="S390" i="33"/>
  <c r="S394" i="33"/>
  <c r="S398" i="33"/>
  <c r="S402" i="33"/>
  <c r="S406" i="33"/>
  <c r="S409" i="33"/>
  <c r="S413" i="33"/>
  <c r="S415" i="33"/>
  <c r="S418" i="33"/>
  <c r="S421" i="33"/>
  <c r="S424" i="33"/>
  <c r="S426" i="33"/>
  <c r="S9" i="33"/>
  <c r="S8" i="33"/>
  <c r="S416" i="33"/>
  <c r="S425" i="33"/>
  <c r="S10" i="33"/>
  <c r="S4" i="33"/>
  <c r="S41" i="33"/>
  <c r="S54" i="33"/>
  <c r="S56" i="33"/>
  <c r="S62" i="33"/>
  <c r="S68" i="33"/>
  <c r="S71" i="33"/>
  <c r="S75" i="33"/>
  <c r="S80" i="33"/>
  <c r="S84" i="33"/>
  <c r="S86" i="33"/>
  <c r="S92" i="33"/>
  <c r="S95" i="33"/>
  <c r="S99" i="33"/>
  <c r="S101" i="33"/>
  <c r="S103" i="33"/>
  <c r="S109" i="33"/>
  <c r="S113" i="33"/>
  <c r="S117" i="33"/>
  <c r="S121" i="33"/>
  <c r="S123" i="33"/>
  <c r="S125" i="33"/>
  <c r="S129" i="33"/>
  <c r="S131" i="33"/>
  <c r="S141" i="33"/>
  <c r="S149" i="33"/>
  <c r="S163" i="33"/>
  <c r="S166" i="33"/>
  <c r="S172" i="33"/>
  <c r="S174" i="33"/>
  <c r="S181" i="33"/>
  <c r="S183" i="33"/>
  <c r="S185" i="33"/>
  <c r="S187" i="33"/>
  <c r="S197" i="33"/>
  <c r="S199" i="33"/>
  <c r="S203" i="33"/>
  <c r="S206" i="33"/>
  <c r="S209" i="33"/>
  <c r="S211" i="33"/>
  <c r="S213" i="33"/>
  <c r="S215" i="33"/>
  <c r="S217" i="33"/>
  <c r="S220" i="33"/>
  <c r="S221" i="33"/>
  <c r="S223" i="33"/>
  <c r="S229" i="33"/>
  <c r="S231" i="33"/>
  <c r="S233" i="33"/>
  <c r="S235" i="33"/>
  <c r="S243" i="33"/>
  <c r="S252" i="33"/>
  <c r="S267" i="33"/>
  <c r="S269" i="33"/>
  <c r="S271" i="33"/>
  <c r="S273" i="33"/>
  <c r="S276" i="33"/>
  <c r="S278" i="33"/>
  <c r="S286" i="33"/>
  <c r="S300" i="33"/>
  <c r="S304" i="33"/>
  <c r="S306" i="33"/>
  <c r="S308" i="33"/>
  <c r="S310" i="33"/>
  <c r="S313" i="33"/>
  <c r="S315" i="33"/>
  <c r="S331" i="33"/>
  <c r="S332" i="33"/>
  <c r="S341" i="33"/>
  <c r="S361" i="33"/>
  <c r="S363" i="33"/>
  <c r="S365" i="33"/>
  <c r="S370" i="33"/>
  <c r="S372" i="33"/>
  <c r="S377" i="33"/>
  <c r="S380" i="33"/>
  <c r="S383" i="33"/>
  <c r="S385" i="33"/>
  <c r="S388" i="33"/>
  <c r="S391" i="33"/>
  <c r="S396" i="33"/>
  <c r="S399" i="33"/>
  <c r="S405" i="33"/>
  <c r="S410" i="33"/>
  <c r="S420" i="33"/>
  <c r="S428" i="33"/>
  <c r="I14" i="24"/>
  <c r="C28" i="31"/>
  <c r="G6" i="24"/>
  <c r="G11" i="24"/>
  <c r="G2" i="24"/>
  <c r="G9" i="24"/>
  <c r="G5" i="24"/>
  <c r="G7" i="24"/>
  <c r="G4" i="24"/>
  <c r="G8" i="24"/>
  <c r="G3" i="24"/>
  <c r="G10" i="24"/>
  <c r="G12" i="24"/>
  <c r="G28" i="31"/>
  <c r="I28" i="31" s="1"/>
  <c r="G14" i="24" l="1"/>
  <c r="J2" i="24"/>
  <c r="J6" i="24"/>
  <c r="K6" i="24" s="1"/>
  <c r="J11" i="24"/>
  <c r="K11" i="24" s="1"/>
  <c r="J9" i="24"/>
  <c r="K9" i="24" s="1"/>
  <c r="J5" i="24"/>
  <c r="K5" i="24" s="1"/>
  <c r="J7" i="24"/>
  <c r="K7" i="24" s="1"/>
  <c r="J4" i="24"/>
  <c r="K4" i="24" s="1"/>
  <c r="J8" i="24"/>
  <c r="K8" i="24" s="1"/>
  <c r="J3" i="24"/>
  <c r="K3" i="24" s="1"/>
  <c r="J10" i="24"/>
  <c r="K10" i="24" s="1"/>
  <c r="J12" i="24"/>
  <c r="K12" i="24" s="1"/>
  <c r="K2" i="24" l="1"/>
  <c r="K14" i="24" s="1"/>
  <c r="C2" i="46" s="1"/>
  <c r="C3" i="46" s="1"/>
  <c r="J14"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<sst xmlns="http://schemas.openxmlformats.org/spreadsheetml/2006/main" count="3792" uniqueCount="800">
  <si>
    <t>0.11</t>
  </si>
  <si>
    <t>Kleedruimte</t>
  </si>
  <si>
    <t>0.19</t>
  </si>
  <si>
    <t>0.20</t>
  </si>
  <si>
    <t>Douche</t>
  </si>
  <si>
    <t>Kantoor</t>
  </si>
  <si>
    <t>Gang</t>
  </si>
  <si>
    <t>1.08</t>
  </si>
  <si>
    <t>2.08</t>
  </si>
  <si>
    <t>2.09</t>
  </si>
  <si>
    <t>2.10</t>
  </si>
  <si>
    <t>2.11</t>
  </si>
  <si>
    <t>2.12</t>
  </si>
  <si>
    <t>1.20</t>
  </si>
  <si>
    <t>2.19</t>
  </si>
  <si>
    <t>3.18</t>
  </si>
  <si>
    <t>2.18</t>
  </si>
  <si>
    <t>2.23</t>
  </si>
  <si>
    <t>3.30</t>
  </si>
  <si>
    <t>Freq</t>
  </si>
  <si>
    <t>Plafonds stofvrij maken (afwasbaar)</t>
  </si>
  <si>
    <t>Plafonds stof- en vlekverwijderen (afwasbaar)</t>
  </si>
  <si>
    <t>Vitrage reingen, exclusief afhalen en ophangen</t>
  </si>
  <si>
    <t>Vitrage reingen en impregneren, exclusief afhalen en ophangen</t>
  </si>
  <si>
    <t>Wanden reinigen afwasbaar</t>
  </si>
  <si>
    <t>Opleiding</t>
  </si>
  <si>
    <t>Bruto uurloon</t>
  </si>
  <si>
    <t>Specialistentoeslag</t>
  </si>
  <si>
    <t>Vakantiedagen</t>
  </si>
  <si>
    <t>P.Z. kosten</t>
  </si>
  <si>
    <t>Tariefopbouw per loongroep</t>
  </si>
  <si>
    <t>Huisvestingskosten</t>
  </si>
  <si>
    <t>Administratiekosten</t>
  </si>
  <si>
    <t>Gevarentoeslag  (indien van toepassing)</t>
  </si>
  <si>
    <t>Managementkosten</t>
  </si>
  <si>
    <t>Opslag niet werkbare dagen</t>
  </si>
  <si>
    <t>Basisuurloon</t>
  </si>
  <si>
    <t>Overgangsregeling</t>
  </si>
  <si>
    <t>Totaal eindtarief normale werktijden [06.00-21.30 uur]</t>
  </si>
  <si>
    <t>Totaal eindtarief weekenden [incl. 50% toeslag]</t>
  </si>
  <si>
    <t>Bruto uurloon inclusief toeslagen</t>
  </si>
  <si>
    <t>Totaal directe kosten</t>
  </si>
  <si>
    <t xml:space="preserve">Vakantietoeslag </t>
  </si>
  <si>
    <t>Materiaal/- en middelen</t>
  </si>
  <si>
    <t>Kosten ziektedagen</t>
  </si>
  <si>
    <t xml:space="preserve"> </t>
  </si>
  <si>
    <t>Werkkleding en uitrusting</t>
  </si>
  <si>
    <t>Machinekosten</t>
  </si>
  <si>
    <t>Subtotaal loonkosten per uur inclusief sociale verzekeringen</t>
  </si>
  <si>
    <t>Nat. feestdagen, kort verzuim, bijz CAO</t>
  </si>
  <si>
    <t>Premies Sociale Verzekeringen</t>
  </si>
  <si>
    <t>Reiskosten/autokosten</t>
  </si>
  <si>
    <t>Niet van toepassing</t>
  </si>
  <si>
    <t>Totaal indirecte kosten</t>
  </si>
  <si>
    <t>Risico en winst</t>
  </si>
  <si>
    <t>Totaal loonkosten per uur</t>
  </si>
  <si>
    <t>Indirect toezicht</t>
  </si>
  <si>
    <t>Totaal eindtarief feestdagen [incl. 150% toeslag]</t>
  </si>
  <si>
    <t>Omschrijving</t>
  </si>
  <si>
    <t>Kosten verzuimbegeleiding</t>
  </si>
  <si>
    <t xml:space="preserve">Structurele eindejaarsuitkering </t>
  </si>
  <si>
    <t>Toelichting calculatiemodel</t>
  </si>
  <si>
    <t>Gebouw</t>
  </si>
  <si>
    <t>Ruimtenummer</t>
  </si>
  <si>
    <t>Linoleum</t>
  </si>
  <si>
    <t>Tapijt</t>
  </si>
  <si>
    <t>Gietvloer</t>
  </si>
  <si>
    <t>Natuursteen</t>
  </si>
  <si>
    <t>Rubber</t>
  </si>
  <si>
    <t>Beton</t>
  </si>
  <si>
    <t>M2 vloer</t>
  </si>
  <si>
    <t>Vloersoort</t>
  </si>
  <si>
    <t>Freq.</t>
  </si>
  <si>
    <t>Ruimtenr.</t>
  </si>
  <si>
    <t>Verd.</t>
  </si>
  <si>
    <t>VSR code</t>
  </si>
  <si>
    <t>Omschrijving/benaming van de ruimte</t>
  </si>
  <si>
    <t>Omschrijving van de vloersoort</t>
  </si>
  <si>
    <t>Uitvoeringsfrequentie per jaar</t>
  </si>
  <si>
    <t>Ruimtecode t.b.v. kwaliteitsmeting NEN 2075</t>
  </si>
  <si>
    <t>Ruimtesoort</t>
  </si>
  <si>
    <t>Schrobben</t>
  </si>
  <si>
    <t>Handeling</t>
  </si>
  <si>
    <t>Computervloer</t>
  </si>
  <si>
    <t>Sportvloer</t>
  </si>
  <si>
    <t>Epoxy</t>
  </si>
  <si>
    <t>Ruimte nr.</t>
  </si>
  <si>
    <t>Hout/parket</t>
  </si>
  <si>
    <t>N.v.t.</t>
  </si>
  <si>
    <t>Prijsvorming Extra Vloerenonderhoud  (inclusief uit-/inruimen van het meubilair)</t>
  </si>
  <si>
    <t>Prijs p/eenheid excl. btw</t>
  </si>
  <si>
    <t>Activiteit</t>
  </si>
  <si>
    <t>Eenheid</t>
  </si>
  <si>
    <t>Toelichting</t>
  </si>
  <si>
    <t>Beton/steen handmatig vegen</t>
  </si>
  <si>
    <t>Beton/steen machinaal vegen</t>
  </si>
  <si>
    <t xml:space="preserve">Lino-/marmoleum topstrippen </t>
  </si>
  <si>
    <t>Lino-/marmoleum deepstrippen</t>
  </si>
  <si>
    <t>Sprayen (linoleum &amp; parket)</t>
  </si>
  <si>
    <t>Marmer kristalliseren</t>
  </si>
  <si>
    <t>Natuursteen voorzien van coating</t>
  </si>
  <si>
    <t>Hout (o.a. parket) opschuren en 2x lakken</t>
  </si>
  <si>
    <t>Hout conserveren</t>
  </si>
  <si>
    <t>Steen/PVC schrobben handmatig</t>
  </si>
  <si>
    <t>Steen/PVC schrobben middels eenschijfsmachine</t>
  </si>
  <si>
    <t>Steen/PVC schrobben middels schrobzuigautomaat</t>
  </si>
  <si>
    <t>Tapijt reinigen Bonnet-methode</t>
  </si>
  <si>
    <t>Tapijt reinigen middels koolzuureinging</t>
  </si>
  <si>
    <t>Tapijt reinigen middels poederreiniging</t>
  </si>
  <si>
    <t>Tapijt reinigen middels shamponeren</t>
  </si>
  <si>
    <t>Tapijt reinigen middels sproeiextraheren</t>
  </si>
  <si>
    <t>Kauwgom verwijderen (glad oppervlak)</t>
  </si>
  <si>
    <t>Kauwgom verwijderen (ruw oppervlak)</t>
  </si>
  <si>
    <t>Prijsvorming Stoelen/banken/fauteuils reiniging (uitvoering op afroep)</t>
  </si>
  <si>
    <t>(inclusief materialen en middelen)</t>
  </si>
  <si>
    <t>Aantal stuks 0-10</t>
  </si>
  <si>
    <t>Aantal stuks 11-50</t>
  </si>
  <si>
    <t>Aantal stuks 50-100</t>
  </si>
  <si>
    <t>Aantal stuks &gt; 100</t>
  </si>
  <si>
    <t xml:space="preserve">Stoelen kunststof reinigen </t>
  </si>
  <si>
    <t>stuk</t>
  </si>
  <si>
    <t xml:space="preserve">Stoelen stoffering koolzuurreiniging </t>
  </si>
  <si>
    <t>Stoelen stoffering poederreinging</t>
  </si>
  <si>
    <t xml:space="preserve">Stoelen stoffering shamponeren </t>
  </si>
  <si>
    <t>Reiniging overige elementen</t>
  </si>
  <si>
    <t>Aantal eenheden 0-10</t>
  </si>
  <si>
    <t>Aantal eenheden 11-50</t>
  </si>
  <si>
    <t>Aantal eenheden 50-100</t>
  </si>
  <si>
    <t>Aantal eenheden &gt; 100</t>
  </si>
  <si>
    <t>Bouwschoonmaak bezem schoon</t>
  </si>
  <si>
    <t>Handdoeken wassen (exclusief aanschaf)</t>
  </si>
  <si>
    <t>Stuk</t>
  </si>
  <si>
    <t>Handdoeken wassen (inclusief aanschaf)</t>
  </si>
  <si>
    <t>Kasten binnenzjde geheel reinigen</t>
  </si>
  <si>
    <t>Keukenblok geheel in- en uitwendig reinigen</t>
  </si>
  <si>
    <t>Koelkast geheel in- en uitwendig reinigen</t>
  </si>
  <si>
    <t>Lichtarmaturen reinigen exclusief vervangen lampen</t>
  </si>
  <si>
    <t>Lichtarmaturen reinigen inclusief vervangen lampen</t>
  </si>
  <si>
    <t>Lichtreklame nat reinigen</t>
  </si>
  <si>
    <t>Theedoeken wassen (exclusief aanschaf)</t>
  </si>
  <si>
    <t>Theedoeken wassen (inclusief aanschaf)</t>
  </si>
  <si>
    <t>Vaatdoeken wassen (exclusief aanschaf)</t>
  </si>
  <si>
    <t>Vaatdoeken wassen (inclusief aanschaf)</t>
  </si>
  <si>
    <t>Vaatwasser in- en uitruimen</t>
  </si>
  <si>
    <t>Zonweringen nat reinigen</t>
  </si>
  <si>
    <t>Reiniging wanden en plafonds</t>
  </si>
  <si>
    <t>Soort</t>
  </si>
  <si>
    <t xml:space="preserve">        1 - 250 m²</t>
  </si>
  <si>
    <t xml:space="preserve">   251 - 750 m²</t>
  </si>
  <si>
    <t xml:space="preserve">          &gt; 751 m²</t>
  </si>
  <si>
    <t>Wanden stofvrij maken afwasbaar</t>
  </si>
  <si>
    <t>Plafondplaten klamvochtig reinigen</t>
  </si>
  <si>
    <t>Plafondplaten reinigen middels enzymen</t>
  </si>
  <si>
    <t>Horizontale lammellen droog reinigen (inclusief afhalen en ophangen)</t>
  </si>
  <si>
    <t>Horizontale lammellen droog reinigen (exclusief afhalen en ophangen)</t>
  </si>
  <si>
    <t>Horizontale lammellen nat reinigen (inclusief afhalen en ophangen)</t>
  </si>
  <si>
    <t>Horizontale lammellen nat reinigen (exclusief afhalen en ophangen)</t>
  </si>
  <si>
    <t>Horizontale lammellen ultrasonoor (inclusief afhalen en ophangen)</t>
  </si>
  <si>
    <t>Horizontale lammellen ultrasonoor  (exclusief afhalen en ophangen)</t>
  </si>
  <si>
    <t>Overgordijnen wassen</t>
  </si>
  <si>
    <t>Buitenterrein onkruid verwijderen</t>
  </si>
  <si>
    <t>Dakgoten legen</t>
  </si>
  <si>
    <t>Gevel aanbrengen anti graffiti-coating</t>
  </si>
  <si>
    <t>Gevel reinigen middels water onder hoge druk</t>
  </si>
  <si>
    <t>Gevelbeplating nat reinigen</t>
  </si>
  <si>
    <t>Percentage</t>
  </si>
  <si>
    <t>Aantal dagen per jaar</t>
  </si>
  <si>
    <t>Aantal uren per jaar</t>
  </si>
  <si>
    <t>Tarief</t>
  </si>
  <si>
    <t>Prijs per jaar</t>
  </si>
  <si>
    <t>PRODUCTIE-UREN MAANDAG-VRIJDAG</t>
  </si>
  <si>
    <t xml:space="preserve">06:00-21:30 uur maan-/vrijdag </t>
  </si>
  <si>
    <t>Gem. Tarief</t>
  </si>
  <si>
    <t>Uren per dag</t>
  </si>
  <si>
    <t>Steen/Dhgt</t>
  </si>
  <si>
    <t>Kunststof/PVC</t>
  </si>
  <si>
    <t>Ijzer</t>
  </si>
  <si>
    <t>Glas</t>
  </si>
  <si>
    <t>Beton gecoat</t>
  </si>
  <si>
    <t>Rooster</t>
  </si>
  <si>
    <t>Strizo</t>
  </si>
  <si>
    <t>Dojo</t>
  </si>
  <si>
    <t>Linoleum/steen/Dhgt</t>
  </si>
  <si>
    <t>Steen/Dhgt/ijzer</t>
  </si>
  <si>
    <t>Laminaat</t>
  </si>
  <si>
    <t>Metaal</t>
  </si>
  <si>
    <t>Linoleum/tapijt</t>
  </si>
  <si>
    <t>Rubber/noppen</t>
  </si>
  <si>
    <t>Kunststof/PVC/tapijt</t>
  </si>
  <si>
    <t>Tapijt/kunststof/PVC</t>
  </si>
  <si>
    <t>Kunststof/PVC/noppen</t>
  </si>
  <si>
    <t>Kurk</t>
  </si>
  <si>
    <t>Aanvullingen werkzaamheden en materialen</t>
  </si>
  <si>
    <t>Conserveren</t>
  </si>
  <si>
    <t>Aanbrengen van I-WAX</t>
  </si>
  <si>
    <t>Hard behandeld</t>
  </si>
  <si>
    <t>Hard onbehandeld</t>
  </si>
  <si>
    <t>Zacht onbehandeld</t>
  </si>
  <si>
    <t>Categorie</t>
  </si>
  <si>
    <t>Asfalt</t>
  </si>
  <si>
    <t>Beton/PVC/noppen</t>
  </si>
  <si>
    <t>Bitumen</t>
  </si>
  <si>
    <t>Bolidt</t>
  </si>
  <si>
    <t>Flotex</t>
  </si>
  <si>
    <t>Hout/parket/kunststof</t>
  </si>
  <si>
    <t>Hout/parket/linoleum</t>
  </si>
  <si>
    <t>Hout/parket/rubber</t>
  </si>
  <si>
    <t>Hout/parket/steen/Dhgt</t>
  </si>
  <si>
    <t>IJzer/noppen</t>
  </si>
  <si>
    <t>Linoleum/beton</t>
  </si>
  <si>
    <t>Linoleum/gietvloer</t>
  </si>
  <si>
    <t>Linoleum/hout/parket</t>
  </si>
  <si>
    <t>Linoleum/Kunststof/PVC</t>
  </si>
  <si>
    <t>Linoleum/parket</t>
  </si>
  <si>
    <t>Linoleum/staal</t>
  </si>
  <si>
    <t>Rubber/kunststof/PVC</t>
  </si>
  <si>
    <t>Steen/Dhgt/hout</t>
  </si>
  <si>
    <t>Steen/Dhgt/kunststof/PVC</t>
  </si>
  <si>
    <t>Steen/Dhgt/linoleum</t>
  </si>
  <si>
    <t>Steen/Dhgt/tapijt</t>
  </si>
  <si>
    <t>Surestep</t>
  </si>
  <si>
    <t>Tapijt/hout</t>
  </si>
  <si>
    <t>Tapijt/linoleum</t>
  </si>
  <si>
    <t>Tapijt/steen/Dhgt</t>
  </si>
  <si>
    <t>Tarket</t>
  </si>
  <si>
    <t>Ruimtesoort / Frequenties</t>
  </si>
  <si>
    <t>Afr</t>
  </si>
  <si>
    <t>somm2</t>
  </si>
  <si>
    <t>ma-vr</t>
  </si>
  <si>
    <t>za-zo</t>
  </si>
  <si>
    <t>fe</t>
  </si>
  <si>
    <t>Toezicht</t>
  </si>
  <si>
    <t>Prestatie</t>
  </si>
  <si>
    <t>VLOER  OPPERVLAKTE</t>
  </si>
  <si>
    <t>ZOEK ONDERSTEUNING</t>
  </si>
  <si>
    <t>Frequenties</t>
  </si>
  <si>
    <t>Prestaties</t>
  </si>
  <si>
    <t>VSR CODE</t>
  </si>
  <si>
    <t>B</t>
  </si>
  <si>
    <t>V</t>
  </si>
  <si>
    <t>S</t>
  </si>
  <si>
    <t>Codering van het gebouw</t>
  </si>
  <si>
    <t>VSR Code</t>
  </si>
  <si>
    <t>Handelingen</t>
  </si>
  <si>
    <t>Vegen en schrobben</t>
  </si>
  <si>
    <t xml:space="preserve">Definitie </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</si>
  <si>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</si>
  <si>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</si>
  <si>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</si>
  <si>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</si>
  <si>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</si>
  <si>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</si>
  <si>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</si>
  <si>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</si>
  <si>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</si>
  <si>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De vloer vertoont een egaal schone uitstraling en vertoont geen vuilverstoringen. Het verblijfcomfort is goed. Ruimtegebruikers zullen tevreden zijn met de staat van de vloer.</t>
  </si>
  <si>
    <t>De vloer vertoont een overwegend egaal schone uitstraling, er is beperkte vuilverstoring aanwezig.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</si>
  <si>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</si>
  <si>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Vloeren hard behandeld</t>
  </si>
  <si>
    <t>Vloeren hard onbehandeld</t>
  </si>
  <si>
    <t>Vloeren zacht</t>
  </si>
  <si>
    <t>schrobben, sprayen en teminste 1x per jaar conserveren</t>
  </si>
  <si>
    <t xml:space="preserve">schrobben </t>
  </si>
  <si>
    <t>reiningen met behulp van spray extratctie methode</t>
  </si>
  <si>
    <t>Schrobben conform voorschriften</t>
  </si>
  <si>
    <t>Na uitvoering van de periodieke beurt bevindt de vloer zicht tenminste tussen niveau A en B</t>
  </si>
  <si>
    <t>Hout</t>
  </si>
  <si>
    <t>Beton/stoeptegel</t>
  </si>
  <si>
    <t>Inhuizingsschoonmaak</t>
  </si>
  <si>
    <t>Opleveringsschoonmaak</t>
  </si>
  <si>
    <t>Dieptereiniging sanitair</t>
  </si>
  <si>
    <t>Dieptereiniging keuken</t>
  </si>
  <si>
    <t>0-100 m2</t>
  </si>
  <si>
    <t>101-500 m2</t>
  </si>
  <si>
    <t>&gt; 1.000 m2</t>
  </si>
  <si>
    <t>501-1.000 m2</t>
  </si>
  <si>
    <t>Vertikale lammellen droog reinigen (inclusief afhalen en ophangen)</t>
  </si>
  <si>
    <t>Vertikale lammellen droog reinigen (exclusief afhalen en ophangen)</t>
  </si>
  <si>
    <t>Vertikale lammellen nat reinigen (inclusief afhalen en ophangen)</t>
  </si>
  <si>
    <t>Vertikale lammellen nat reinigen (exclusief afhalen en ophangen)</t>
  </si>
  <si>
    <t>Vertikale lammellen ultrasonoor (inclusief afhalen en ophangen)</t>
  </si>
  <si>
    <t>Vertikale lammellen ultrasonoor  (exclusief afhalen en ophangen)</t>
  </si>
  <si>
    <t>Wanden reinigen niet afwasbaar</t>
  </si>
  <si>
    <t>Opslag</t>
  </si>
  <si>
    <t>Magazijn</t>
  </si>
  <si>
    <t>Trappenhuis</t>
  </si>
  <si>
    <t>Hal</t>
  </si>
  <si>
    <t>Technische ruimte</t>
  </si>
  <si>
    <t>0.01</t>
  </si>
  <si>
    <t>0.02</t>
  </si>
  <si>
    <t>0.03</t>
  </si>
  <si>
    <t>0.04</t>
  </si>
  <si>
    <t>0.05</t>
  </si>
  <si>
    <t>0.06</t>
  </si>
  <si>
    <t>0.07</t>
  </si>
  <si>
    <t>0.08</t>
  </si>
  <si>
    <t>0.09</t>
  </si>
  <si>
    <t>0.10</t>
  </si>
  <si>
    <t>0.12</t>
  </si>
  <si>
    <t>0.13</t>
  </si>
  <si>
    <t>0.14</t>
  </si>
  <si>
    <t>0.15</t>
  </si>
  <si>
    <t>Werkkast</t>
  </si>
  <si>
    <t>0.16</t>
  </si>
  <si>
    <t>0.17</t>
  </si>
  <si>
    <t>0.18</t>
  </si>
  <si>
    <t>Kantine</t>
  </si>
  <si>
    <t>Keuken</t>
  </si>
  <si>
    <t>0.21</t>
  </si>
  <si>
    <t>0.22</t>
  </si>
  <si>
    <t>0.23</t>
  </si>
  <si>
    <t>0.24</t>
  </si>
  <si>
    <t>0.25</t>
  </si>
  <si>
    <t>0.26</t>
  </si>
  <si>
    <t>0.27</t>
  </si>
  <si>
    <t>0.28</t>
  </si>
  <si>
    <t>0.29</t>
  </si>
  <si>
    <t>0.30</t>
  </si>
  <si>
    <t>0.31</t>
  </si>
  <si>
    <t>0.32</t>
  </si>
  <si>
    <t>0.33</t>
  </si>
  <si>
    <t>0.34</t>
  </si>
  <si>
    <t>0.35</t>
  </si>
  <si>
    <t>0.36</t>
  </si>
  <si>
    <t>0.37</t>
  </si>
  <si>
    <t>0.38</t>
  </si>
  <si>
    <t>0.39</t>
  </si>
  <si>
    <t>0.40</t>
  </si>
  <si>
    <t>0.41</t>
  </si>
  <si>
    <t>0.44</t>
  </si>
  <si>
    <t>Toilet</t>
  </si>
  <si>
    <t>0.49</t>
  </si>
  <si>
    <t>0.50</t>
  </si>
  <si>
    <t>0.51</t>
  </si>
  <si>
    <t>Entree</t>
  </si>
  <si>
    <t>Lift</t>
  </si>
  <si>
    <t>1.01</t>
  </si>
  <si>
    <t>1.02</t>
  </si>
  <si>
    <t>1.03</t>
  </si>
  <si>
    <t>1.04</t>
  </si>
  <si>
    <t>1.05</t>
  </si>
  <si>
    <t>Vergaderruimte</t>
  </si>
  <si>
    <t>1.06</t>
  </si>
  <si>
    <t>1.07</t>
  </si>
  <si>
    <t>1.09</t>
  </si>
  <si>
    <t>1.10</t>
  </si>
  <si>
    <t>1.11</t>
  </si>
  <si>
    <t>1.12</t>
  </si>
  <si>
    <t>1.13</t>
  </si>
  <si>
    <t>1.14</t>
  </si>
  <si>
    <t>1.15</t>
  </si>
  <si>
    <t>1.16</t>
  </si>
  <si>
    <t>1.17</t>
  </si>
  <si>
    <t>1.18</t>
  </si>
  <si>
    <t>1.19</t>
  </si>
  <si>
    <t>1.21</t>
  </si>
  <si>
    <t>1.22</t>
  </si>
  <si>
    <t>1.23</t>
  </si>
  <si>
    <t>1.24</t>
  </si>
  <si>
    <t>1.25</t>
  </si>
  <si>
    <t>1.27</t>
  </si>
  <si>
    <t>1.28</t>
  </si>
  <si>
    <t>1.29</t>
  </si>
  <si>
    <t>1.31</t>
  </si>
  <si>
    <t>1.32</t>
  </si>
  <si>
    <t>1.33</t>
  </si>
  <si>
    <t>1.34</t>
  </si>
  <si>
    <t>1.35</t>
  </si>
  <si>
    <t>1.37</t>
  </si>
  <si>
    <t>1.38</t>
  </si>
  <si>
    <t>1.39</t>
  </si>
  <si>
    <t>1.40</t>
  </si>
  <si>
    <t>Pantry</t>
  </si>
  <si>
    <t>2.01</t>
  </si>
  <si>
    <t>2.02</t>
  </si>
  <si>
    <t>2.03</t>
  </si>
  <si>
    <t>2.04</t>
  </si>
  <si>
    <t>2.05</t>
  </si>
  <si>
    <t>2.06</t>
  </si>
  <si>
    <t>2.07</t>
  </si>
  <si>
    <t>2.13</t>
  </si>
  <si>
    <t>2.14</t>
  </si>
  <si>
    <t>2.15</t>
  </si>
  <si>
    <t>2.16</t>
  </si>
  <si>
    <t>2.17</t>
  </si>
  <si>
    <t>2.20</t>
  </si>
  <si>
    <t>2.21</t>
  </si>
  <si>
    <t>2.22</t>
  </si>
  <si>
    <t>2.24</t>
  </si>
  <si>
    <t>2.25</t>
  </si>
  <si>
    <t>2.26</t>
  </si>
  <si>
    <t>2.27</t>
  </si>
  <si>
    <t>2.28</t>
  </si>
  <si>
    <t>2.29</t>
  </si>
  <si>
    <t>2.30</t>
  </si>
  <si>
    <t>3.01</t>
  </si>
  <si>
    <t>3.02</t>
  </si>
  <si>
    <t>3.03</t>
  </si>
  <si>
    <t>3.04</t>
  </si>
  <si>
    <t>3.05</t>
  </si>
  <si>
    <t>3.06</t>
  </si>
  <si>
    <t>3.07</t>
  </si>
  <si>
    <t>3.08</t>
  </si>
  <si>
    <t>3.09</t>
  </si>
  <si>
    <t>3.10</t>
  </si>
  <si>
    <t>3.11</t>
  </si>
  <si>
    <t>3.13</t>
  </si>
  <si>
    <t>3.15</t>
  </si>
  <si>
    <t>3.16</t>
  </si>
  <si>
    <t>3.17</t>
  </si>
  <si>
    <t>3.31</t>
  </si>
  <si>
    <t>Betoncoating</t>
  </si>
  <si>
    <t>Coral</t>
  </si>
  <si>
    <t>Inloopmat</t>
  </si>
  <si>
    <t>Rubber nop</t>
  </si>
  <si>
    <t>Grind</t>
  </si>
  <si>
    <t>Pvc</t>
  </si>
  <si>
    <t>Pulastic</t>
  </si>
  <si>
    <t>Schuimrubber/Zeildoek</t>
  </si>
  <si>
    <t>Schoonmaakuren per jaar</t>
  </si>
  <si>
    <t>Frequentie van het uit te voeren vloeronderhoud</t>
  </si>
  <si>
    <t>Handeling m.b.t. het periodiek vloeronderhoud t.b.v. de ruimte en vloersoort</t>
  </si>
  <si>
    <t>Tijd per beurt voor het uitvoeren van de handeling m.b.t. de ruimte en vloersoort</t>
  </si>
  <si>
    <t>Prestatienorm voor het uitvoeren van dagelijkse werkzaamheden m.b.t. de ruimte</t>
  </si>
  <si>
    <t>Opp/m²</t>
  </si>
  <si>
    <t>Sprayen</t>
  </si>
  <si>
    <t>Sprayen
Uren/jaar</t>
  </si>
  <si>
    <t>Conserveren
Uren/jaar</t>
  </si>
  <si>
    <t>Schrobben
Uren/jaar</t>
  </si>
  <si>
    <t>Tap.reinig.
Uren/jaar</t>
  </si>
  <si>
    <t>Mut. #</t>
  </si>
  <si>
    <t>Verwerkt door</t>
  </si>
  <si>
    <t>Verwerkings</t>
  </si>
  <si>
    <t>Ingangsdatum</t>
  </si>
  <si>
    <t>reden</t>
  </si>
  <si>
    <t>Voor</t>
  </si>
  <si>
    <t>Na</t>
  </si>
  <si>
    <t>Mutatie</t>
  </si>
  <si>
    <t>Facturatie aanpassen per</t>
  </si>
  <si>
    <t>Dgn / jr</t>
  </si>
  <si>
    <t>te facureren / crediteren</t>
  </si>
  <si>
    <t>datum</t>
  </si>
  <si>
    <t>wijziging</t>
  </si>
  <si>
    <t>afdeling</t>
  </si>
  <si>
    <t>schoonmaak</t>
  </si>
  <si>
    <t>Omzet</t>
  </si>
  <si>
    <t>Uren</t>
  </si>
  <si>
    <t>m2</t>
  </si>
  <si>
    <t># dagen</t>
  </si>
  <si>
    <t>Freq (max)</t>
  </si>
  <si>
    <t>Totaal uren SMO</t>
  </si>
  <si>
    <t>KST</t>
  </si>
  <si>
    <t xml:space="preserve">Vloer
Uren/jaar
</t>
  </si>
  <si>
    <t>Periode</t>
  </si>
  <si>
    <t>Te verrekenen dagen</t>
  </si>
  <si>
    <t>Q</t>
  </si>
  <si>
    <t>1.36</t>
  </si>
  <si>
    <t>x per</t>
  </si>
  <si>
    <t>dag (5 dagen per week)</t>
  </si>
  <si>
    <t>week</t>
  </si>
  <si>
    <t>jaar</t>
  </si>
  <si>
    <t>keer</t>
  </si>
  <si>
    <t>per</t>
  </si>
  <si>
    <t>aantal</t>
  </si>
  <si>
    <t>Kolom</t>
  </si>
  <si>
    <t>Organisatie</t>
  </si>
  <si>
    <t>Naam</t>
  </si>
  <si>
    <t>Werkplaats</t>
  </si>
  <si>
    <t>Bestrating</t>
  </si>
  <si>
    <t>Beton geverfd/gelakt</t>
  </si>
  <si>
    <t>Fietsenstalling</t>
  </si>
  <si>
    <t>Marmer</t>
  </si>
  <si>
    <t>1.26</t>
  </si>
  <si>
    <t>1.30</t>
  </si>
  <si>
    <t>Wachtruimte</t>
  </si>
  <si>
    <t>3.12</t>
  </si>
  <si>
    <t>3.14</t>
  </si>
  <si>
    <t>3.19</t>
  </si>
  <si>
    <t>3.20</t>
  </si>
  <si>
    <t>3.21</t>
  </si>
  <si>
    <t>3.22</t>
  </si>
  <si>
    <t>3.23</t>
  </si>
  <si>
    <t>3.24</t>
  </si>
  <si>
    <t>3.25</t>
  </si>
  <si>
    <t>3.26</t>
  </si>
  <si>
    <t>3.27</t>
  </si>
  <si>
    <t>3.28</t>
  </si>
  <si>
    <t>3.29</t>
  </si>
  <si>
    <t>3.32</t>
  </si>
  <si>
    <t>0.42</t>
  </si>
  <si>
    <t>0.45</t>
  </si>
  <si>
    <t>0.46</t>
  </si>
  <si>
    <t>0.47</t>
  </si>
  <si>
    <t>0.43</t>
  </si>
  <si>
    <t>0.48</t>
  </si>
  <si>
    <t>Staal</t>
  </si>
  <si>
    <t>0.02A</t>
  </si>
  <si>
    <t>Zandcement</t>
  </si>
  <si>
    <t>0.11A</t>
  </si>
  <si>
    <t>0.03A</t>
  </si>
  <si>
    <t>Marmoleum</t>
  </si>
  <si>
    <t>Kunststof/PVC/Steen/Dhgt</t>
  </si>
  <si>
    <t>Stoeptegel</t>
  </si>
  <si>
    <t>KST (Kleinschaligheidstoeslag)</t>
  </si>
  <si>
    <t>Nr</t>
  </si>
  <si>
    <t>Prijsverhoging 2025</t>
  </si>
  <si>
    <t>Prijsverhoging 2026</t>
  </si>
  <si>
    <t>Prijsverhoging 2027</t>
  </si>
  <si>
    <t>Prijsverhoging 2028</t>
  </si>
  <si>
    <t>Prijsverhoging 2029</t>
  </si>
  <si>
    <t>Prijsverhoging 2030</t>
  </si>
  <si>
    <t>4</t>
  </si>
  <si>
    <t>Locatie adres</t>
  </si>
  <si>
    <r>
      <t>Netto vloer oppervlakte in m</t>
    </r>
    <r>
      <rPr>
        <vertAlign val="superscript"/>
        <sz val="10.5"/>
        <rFont val="Corbel"/>
        <family val="2"/>
      </rPr>
      <t>2</t>
    </r>
  </si>
  <si>
    <r>
      <t>m</t>
    </r>
    <r>
      <rPr>
        <b/>
        <vertAlign val="superscript"/>
        <sz val="10.5"/>
        <rFont val="Corbel"/>
        <family val="2"/>
      </rPr>
      <t>2</t>
    </r>
  </si>
  <si>
    <r>
      <t>0-100 m</t>
    </r>
    <r>
      <rPr>
        <vertAlign val="superscript"/>
        <sz val="10.5"/>
        <color indexed="18"/>
        <rFont val="Corbel"/>
        <family val="2"/>
      </rPr>
      <t>2</t>
    </r>
  </si>
  <si>
    <r>
      <t>101-500 m</t>
    </r>
    <r>
      <rPr>
        <vertAlign val="superscript"/>
        <sz val="10.5"/>
        <color indexed="18"/>
        <rFont val="Corbel"/>
        <family val="2"/>
      </rPr>
      <t>2</t>
    </r>
  </si>
  <si>
    <r>
      <t>501-1.000 m</t>
    </r>
    <r>
      <rPr>
        <vertAlign val="superscript"/>
        <sz val="10.5"/>
        <color indexed="18"/>
        <rFont val="Corbel"/>
        <family val="2"/>
      </rPr>
      <t>2</t>
    </r>
  </si>
  <si>
    <r>
      <t>&gt; 1.000 m</t>
    </r>
    <r>
      <rPr>
        <vertAlign val="superscript"/>
        <sz val="10.5"/>
        <color indexed="18"/>
        <rFont val="Corbel"/>
        <family val="2"/>
      </rPr>
      <t>2</t>
    </r>
  </si>
  <si>
    <r>
      <t>m</t>
    </r>
    <r>
      <rPr>
        <vertAlign val="superscript"/>
        <sz val="10.5"/>
        <rFont val="Corbel"/>
        <family val="2"/>
      </rPr>
      <t>2</t>
    </r>
  </si>
  <si>
    <r>
      <t>m</t>
    </r>
    <r>
      <rPr>
        <vertAlign val="superscript"/>
        <sz val="10.5"/>
        <rFont val="Corbel"/>
        <family val="2"/>
      </rPr>
      <t>1</t>
    </r>
  </si>
  <si>
    <t>Locatie</t>
  </si>
  <si>
    <t>Locatiecode</t>
  </si>
  <si>
    <t>Steen</t>
  </si>
  <si>
    <t>Inschrijfprijs</t>
  </si>
  <si>
    <t>Puntenscore</t>
  </si>
  <si>
    <t>Inschrijfprijs Schoonmaakdienstverlening</t>
  </si>
  <si>
    <t>Totale Inschrijfprijs</t>
  </si>
  <si>
    <t>(2e ondertekenaar indien van toepassing)</t>
  </si>
  <si>
    <t>d.d.</t>
  </si>
  <si>
    <t>Handtekening</t>
  </si>
  <si>
    <t>Functie</t>
  </si>
  <si>
    <t>Inschrijfprijs schoonmaak diverse locaties</t>
  </si>
  <si>
    <t xml:space="preserve">Gang </t>
  </si>
  <si>
    <t>Beton/stoeptegels</t>
  </si>
  <si>
    <t>Dhgt</t>
  </si>
  <si>
    <t>Schoonloopmat</t>
  </si>
  <si>
    <t>Tegels</t>
  </si>
  <si>
    <t>Pandcode</t>
  </si>
  <si>
    <t>Totaal eindtarief normale werktijden [21.30-06.00 uur]</t>
  </si>
  <si>
    <t>Autokosten</t>
  </si>
  <si>
    <t>Kosten totaal per jaar</t>
  </si>
  <si>
    <t>Maatgevend voor het onderhoud van de vloer</t>
  </si>
  <si>
    <t>Hout/lino</t>
  </si>
  <si>
    <t>De Inschrijver dient voor de calculatie uit te gaan van de in het calculatiemodel opgenomen ruimtegegevens. Indien nodig worden eventuele wijzigingen in de ruimtestaat na gunning in de calculatie doorgevoerd en verrekend met behulp van de door de Inschrijver opgegeven kengetallen.</t>
  </si>
  <si>
    <t xml:space="preserve">Tabblad </t>
  </si>
  <si>
    <t>Cel</t>
  </si>
  <si>
    <t>Iedere gele cel dient te worden ingevuld door inschrijver. 
Op deze wijze komt de calculatie tot stand.</t>
  </si>
  <si>
    <t>Hier dienen door Inschrijver gegevens te worden ingevuld</t>
  </si>
  <si>
    <t>Medewerker Loongroep 1</t>
  </si>
  <si>
    <t>Medewerker lngrp. 2</t>
  </si>
  <si>
    <t>Medewerker lngrp. 3</t>
  </si>
  <si>
    <t>Uren/jaar
Schoonmaak
max uren</t>
  </si>
  <si>
    <t>Uren/jaar
Toezicht
geen toeslag</t>
  </si>
  <si>
    <t>Uren per jaar vloerenonderhoud</t>
  </si>
  <si>
    <t>Kosten/jaar
Toezicht</t>
  </si>
  <si>
    <t>TOEZICHT-UREN MAANDAG-VRIJDAG geen toeslag</t>
  </si>
  <si>
    <t>Categorie/medewerker geen toeslag</t>
  </si>
  <si>
    <t>G.P. Koffeman</t>
  </si>
  <si>
    <t>Businessunit directeur</t>
  </si>
  <si>
    <t>Nieuwe locatie</t>
  </si>
  <si>
    <t>Alle locaties</t>
  </si>
  <si>
    <t>Uren per jaar SMO</t>
  </si>
  <si>
    <t>Uren/jaar
Klein
schaligheid</t>
  </si>
  <si>
    <t>M2</t>
  </si>
  <si>
    <t>Locatie stopt</t>
  </si>
  <si>
    <t>Rubbermat</t>
  </si>
  <si>
    <t>Lino</t>
  </si>
  <si>
    <t>Puntelastiche sportvloer</t>
  </si>
  <si>
    <t>Tegel</t>
  </si>
  <si>
    <t>Gietvloer/tapijt</t>
  </si>
  <si>
    <t>Lino+mat</t>
  </si>
  <si>
    <t>Beton/mat</t>
  </si>
  <si>
    <t>Hout/lino/beton/mat</t>
  </si>
  <si>
    <t>Beton/gietvloer</t>
  </si>
  <si>
    <t>Graniet</t>
  </si>
  <si>
    <t>Loonkosten</t>
  </si>
  <si>
    <t>Overige kosten</t>
  </si>
  <si>
    <t xml:space="preserve">Prijsverhoging </t>
  </si>
  <si>
    <t>Locatienaam aangepast</t>
  </si>
  <si>
    <t>Uitbreiding ruimtestaat</t>
  </si>
  <si>
    <t>Pandcode aangepast</t>
  </si>
  <si>
    <t>Soort mutaties</t>
  </si>
  <si>
    <t>Actie(s)</t>
  </si>
  <si>
    <t>Te allen tijde beginnen met het omschrijven van de mutatie</t>
  </si>
  <si>
    <t>Mutaties</t>
  </si>
  <si>
    <t>Kolom A nr invullen</t>
  </si>
  <si>
    <t>Kolom B Invullen wie de locatie verwerkt</t>
  </si>
  <si>
    <t>Kolom C de aanleverdatum</t>
  </si>
  <si>
    <t>Kolom D de ingangsdatum</t>
  </si>
  <si>
    <t>Kolom F de juiste locatie</t>
  </si>
  <si>
    <t>Kolom G-I de huidige waarde (voor mutatie) invullen</t>
  </si>
  <si>
    <t>Kolom Q de eerstvolgende mutatieperiode invullen</t>
  </si>
  <si>
    <t>Kolom R de datum van het nieuwe kwartaal</t>
  </si>
  <si>
    <t>Alle mutaties</t>
  </si>
  <si>
    <t>Het toevoegen van een nieuwe locatie</t>
  </si>
  <si>
    <t>Zie alle mutaties</t>
  </si>
  <si>
    <t>1-Totaaloverzicht</t>
  </si>
  <si>
    <t>Kolom E korte omschrijving van de mutatie</t>
  </si>
  <si>
    <t>4a KST</t>
  </si>
  <si>
    <t>Kopier de eerste regel weer door naar beneden zodat de nieuwe locatie er tussen komt te staan</t>
  </si>
  <si>
    <t>4-Basisruimtestaat</t>
  </si>
  <si>
    <t>Voeg de nieuwe ruimtestaat toe ( let op juiste nummer en naam)</t>
  </si>
  <si>
    <t>4b Additioneel werk</t>
  </si>
  <si>
    <t>Als type locatie is 99 dan worden er geen uren gecalculeerd maar vastgesteld. De vastgestelde uren per beurt en de frequentie van uitvoering worden hier dan ingevuld.</t>
  </si>
  <si>
    <t>Regel invoegen (let op alfabetische volgorde) kan door kopieren van naastgelegen regel.  Invullen Kolom A-F. Kolom A let op het juiste nummer en kolom B de naam staat al in tabblad Mutatie bij kolom F.</t>
  </si>
  <si>
    <t>Geen schoonmaakwerkzaamheden meer op locatie</t>
  </si>
  <si>
    <t xml:space="preserve">Additioneel werk verwijderen </t>
  </si>
  <si>
    <t>4-Basis ruimtestaat</t>
  </si>
  <si>
    <t>een jaar na de mutatie de locatieregels verwijderen</t>
  </si>
  <si>
    <t>1- Totaaloverzicht</t>
  </si>
  <si>
    <t>een jaar na de mutatie de locatieregel verwijderen</t>
  </si>
  <si>
    <t>4a-Kst</t>
  </si>
  <si>
    <t>Kolom E en F beide leegmaken (op 0 zetten), controleren of er additioneel werk is en dit verwijderen</t>
  </si>
  <si>
    <t>Aanpassing ruimtestaat</t>
  </si>
  <si>
    <t>Vervanging ruimtestaat</t>
  </si>
  <si>
    <t>Verwijder de huidige ruimtestaat</t>
  </si>
  <si>
    <t>Vervang de gegevens in de ruimtestaat en geef deze een kleur. Verwijder deze kleurtjes nadat je het kwartaaloverzicht hebt verzonden en begint aan het nieuwe kwartaal</t>
  </si>
  <si>
    <t>Voeg de nieuwe ruimtestaat onderaan toe</t>
  </si>
  <si>
    <t>Gegevens aanpassen</t>
  </si>
  <si>
    <t>Kopieer de eerste regel weer door naar beneden zodat de gestopte locatie komt te vervallen</t>
  </si>
  <si>
    <t>Kolom A het nummer aanpassen</t>
  </si>
  <si>
    <t>Kolom B de naam aanpassen</t>
  </si>
  <si>
    <t>Controleren of er additioneel werk is en dan ook pandcode aanpassen in kolom A</t>
  </si>
  <si>
    <t>Prijsverhoging</t>
  </si>
  <si>
    <t>Contractuele prijsverhoging</t>
  </si>
  <si>
    <t>2-Tarieven</t>
  </si>
  <si>
    <t>5-Opbouw uurtarieven</t>
  </si>
  <si>
    <t>Vul per eindtarief (4 x bv 2025 regels 42, 49, 56 en 63 in kolommen B en C in ) de stijging van de loonkosten en overige kosten in en het nieuwe tarief voor dat jaar (resultaat staat dan uitgerekend in de achterliggende rij per loongroep)</t>
  </si>
  <si>
    <t>In kolom F moeten alle verwijzingen worden aangepast naar de volgende regel dus 41 wordt 42 en 49 wordt 50 en zo verder)</t>
  </si>
  <si>
    <t>6-afroepprijzen</t>
  </si>
  <si>
    <t>Kopier de kolommen D-H en plak deze in kolommen I-M (volgend jaar uiteraard de volgende kopieren) vermenigvuldig alle bedragen in de kolommen I-M met de prijsverhoging (totaal) zoals deze is vastgesteld</t>
  </si>
  <si>
    <t>Overige aanpassing</t>
  </si>
  <si>
    <t>Niet uitgewerkt</t>
  </si>
  <si>
    <t xml:space="preserve">Bel PGW Advies </t>
  </si>
  <si>
    <t>06-30312992 (Patrick Wolfert)</t>
  </si>
  <si>
    <t>Veld Q3 het juiste kwartaal invullen (altijd het kwartaal dat begint Vb. 1 jan is Q1)</t>
  </si>
  <si>
    <t>inloopmat</t>
  </si>
  <si>
    <t xml:space="preserve">Kleedruimte </t>
  </si>
  <si>
    <t>2026 Q3</t>
  </si>
  <si>
    <t>verhoging over loonkosten % deel van totale kosten (Veld F20)</t>
  </si>
  <si>
    <t>verhoging over overige kosten % deel van totale kosten (100%- Veld F20)</t>
  </si>
  <si>
    <t>Inschrijfprijs 1 mei 2026</t>
  </si>
  <si>
    <t>AQL</t>
  </si>
  <si>
    <t>Extra Info</t>
  </si>
  <si>
    <t>11.01</t>
  </si>
  <si>
    <t>Haarlem, Henk van Turnhoutpad 2</t>
  </si>
  <si>
    <t>DHG tegels</t>
  </si>
  <si>
    <t>Gestort beton</t>
  </si>
  <si>
    <t>11.02</t>
  </si>
  <si>
    <t>Haarlem, Ir. Lelyweg 45</t>
  </si>
  <si>
    <t>Werkruimte</t>
  </si>
  <si>
    <t>Loods</t>
  </si>
  <si>
    <t>Sanitaire ruimte</t>
  </si>
  <si>
    <t>11.03</t>
  </si>
  <si>
    <t>Haarlem, Ir. Lelyweg 47</t>
  </si>
  <si>
    <t>houten trap</t>
  </si>
  <si>
    <t>-</t>
  </si>
  <si>
    <t>0.05 A+B</t>
  </si>
  <si>
    <t>0.13A</t>
  </si>
  <si>
    <t>1.02A</t>
  </si>
  <si>
    <t>1.06A</t>
  </si>
  <si>
    <t>2.02A</t>
  </si>
  <si>
    <t>2.06A</t>
  </si>
  <si>
    <t>11.05</t>
  </si>
  <si>
    <t>Haarlem, Ir. Lelyweg 49</t>
  </si>
  <si>
    <t>incl deurmat</t>
  </si>
  <si>
    <t>11.06</t>
  </si>
  <si>
    <t>Haarlem, Jan van Krimpenweg 10</t>
  </si>
  <si>
    <t>stalen trap</t>
  </si>
  <si>
    <t>Metaal/Staal</t>
  </si>
  <si>
    <t>11.07</t>
  </si>
  <si>
    <t>Haarlem, Oosterhoutlaan 1a</t>
  </si>
  <si>
    <t>2 werkplek</t>
  </si>
  <si>
    <t>incl pantry, koelkast, magnetron gasplaat en koelkast eigen beheer</t>
  </si>
  <si>
    <t>koelkast</t>
  </si>
  <si>
    <t>douchecabine</t>
  </si>
  <si>
    <t>11.08</t>
  </si>
  <si>
    <t>Haarlem, Minckelersweg 40</t>
  </si>
  <si>
    <t>0.24 A-J</t>
  </si>
  <si>
    <t>0.24 K-R</t>
  </si>
  <si>
    <t>0.24 S-Y</t>
  </si>
  <si>
    <t>0.26 A-B</t>
  </si>
  <si>
    <t>0.26 C-D</t>
  </si>
  <si>
    <t>Personeelsrestaurant</t>
  </si>
  <si>
    <t>Haccp</t>
  </si>
  <si>
    <t>pvc</t>
  </si>
  <si>
    <t>1.15 A-B</t>
  </si>
  <si>
    <t>1.16 A-B</t>
  </si>
  <si>
    <t>1.25 A-D</t>
  </si>
  <si>
    <t>1.26 A</t>
  </si>
  <si>
    <t>2.02 A-B</t>
  </si>
  <si>
    <t>2.03 A-B</t>
  </si>
  <si>
    <t>2.11 A-D</t>
  </si>
  <si>
    <t>2.12 A</t>
  </si>
  <si>
    <t>n.v.t.</t>
  </si>
  <si>
    <t>Kolfruimte</t>
  </si>
  <si>
    <t>Of vergaderruimte. Pvc</t>
  </si>
  <si>
    <t>3.13 A-D</t>
  </si>
  <si>
    <t>3.14 A</t>
  </si>
  <si>
    <t>4.01</t>
  </si>
  <si>
    <t>4.02</t>
  </si>
  <si>
    <t>11.09</t>
  </si>
  <si>
    <t>11.10</t>
  </si>
  <si>
    <t>11.11</t>
  </si>
  <si>
    <t>Parkeerplek</t>
  </si>
  <si>
    <t>11.12</t>
  </si>
  <si>
    <t>Trafo</t>
  </si>
  <si>
    <t>0.03 A</t>
  </si>
  <si>
    <t>0.03 B</t>
  </si>
  <si>
    <t>Werf</t>
  </si>
  <si>
    <t>Afspuitplaats lucht</t>
  </si>
  <si>
    <t>Container opstelplaats</t>
  </si>
  <si>
    <t>Zoutinstallatie + silo</t>
  </si>
  <si>
    <t>Milieuplein</t>
  </si>
  <si>
    <t>Rangeer terrein</t>
  </si>
  <si>
    <t>Bladbunker</t>
  </si>
  <si>
    <t>Afspuitplaats water</t>
  </si>
  <si>
    <t>Tankeiland</t>
  </si>
  <si>
    <t>Zandvoort, Kamerlingh Onnesstraat 20</t>
  </si>
  <si>
    <t>255 werkdagen per jaar</t>
  </si>
  <si>
    <t>derden</t>
  </si>
  <si>
    <t>inloopmat, dubbel hard gebakken tegels</t>
  </si>
  <si>
    <t>werkkast schoonmaakdienst</t>
  </si>
  <si>
    <t>KCS depot buiten</t>
  </si>
  <si>
    <t>DHG Tegels</t>
  </si>
  <si>
    <t>255</t>
  </si>
  <si>
    <t>510</t>
  </si>
  <si>
    <t>Niet in onderhoud</t>
  </si>
  <si>
    <t>Opslag, DHG tegels 1e meter daarna gestort beton</t>
  </si>
  <si>
    <t>Voorportaal &amp; toilet</t>
  </si>
  <si>
    <t>Werkruimte derden</t>
  </si>
  <si>
    <t xml:space="preserve">Werkruimte </t>
  </si>
  <si>
    <t>Niet in onderhoud Opslag</t>
  </si>
  <si>
    <t>Werkplaats derden</t>
  </si>
  <si>
    <t>Niet in onderhoud Technische ruimte</t>
  </si>
  <si>
    <t>Niet in onderhoud Hal inloopmat</t>
  </si>
  <si>
    <t>Gang inloopmat</t>
  </si>
  <si>
    <t>Kosten/jaar
Schoonmaak/vloeren/ KST</t>
  </si>
  <si>
    <t>Schoonmaak
Uren</t>
  </si>
  <si>
    <t>Medewerker lngrp. 4</t>
  </si>
  <si>
    <t>Medewerker lngrp. 5</t>
  </si>
  <si>
    <t>Medewerker lngrp. 6</t>
  </si>
  <si>
    <t>Extra info</t>
  </si>
  <si>
    <t>Opmerkingen of specificaties per ruimte</t>
  </si>
  <si>
    <t>Etage</t>
  </si>
  <si>
    <t>Kwaliteitsniveau conform VSR</t>
  </si>
  <si>
    <t>Somm2</t>
  </si>
  <si>
    <t>Schoonmaak</t>
  </si>
  <si>
    <t>7</t>
  </si>
  <si>
    <t>Freq vloer</t>
  </si>
  <si>
    <t>Indien het gemiddeld aantal uren per schoonmaakmoment lager is dan de frequentie (dan een (1) uur) wordt er aangevuld tot 1 uur per schoonmaakmoment. Locaties die in elkaar overlopen of op hetzelfde terrein zitten zijn hier van uitgesloten</t>
  </si>
  <si>
    <t>Prestatie / m² per uur (max 2 decimalen achter de komma)</t>
  </si>
  <si>
    <t>Bereikbaarheid</t>
  </si>
  <si>
    <t>Binnenglas</t>
  </si>
  <si>
    <t>Buitenglas</t>
  </si>
  <si>
    <t>Separatieglas</t>
  </si>
  <si>
    <t>Glas in lood</t>
  </si>
  <si>
    <t>Dak / koepelglas</t>
  </si>
  <si>
    <t>Gevelbeplating / boeiboorden</t>
  </si>
  <si>
    <t>Zonnepanelen</t>
  </si>
  <si>
    <t>Lopend</t>
  </si>
  <si>
    <t>Ladder</t>
  </si>
  <si>
    <t>Hoogwerker</t>
  </si>
  <si>
    <t>Steiger</t>
  </si>
  <si>
    <t>Telescoop</t>
  </si>
  <si>
    <t>Glazenwasserstarief</t>
  </si>
  <si>
    <t>Prijs per m²</t>
  </si>
  <si>
    <t xml:space="preserve">  </t>
  </si>
  <si>
    <t>Indicatieve berekening per beurt prijs is onafhankelijk van het aantal beurten (verwachting 2 x per jaar)</t>
  </si>
  <si>
    <t>Telescoop bewassing wordt wel uitgevraagd maar opdrachtgever wil alleen in overleg hiervan gebruik maken (heeft geen voorkeur!)</t>
  </si>
  <si>
    <t>Inschrijfprijs glasbewassing</t>
  </si>
  <si>
    <t>Glasbewassing</t>
  </si>
  <si>
    <t>Alle cellen invullen.</t>
  </si>
  <si>
    <t>M2 Vloer</t>
  </si>
  <si>
    <t>Oppervlakte (al dan. Niet samengevoegd ) van de ruimte</t>
  </si>
  <si>
    <t>Freq. Vloer</t>
  </si>
  <si>
    <t>Vloer Uren/jaar</t>
  </si>
  <si>
    <t>Aantal uren toezicht op basis van opgegeven percentage</t>
  </si>
  <si>
    <t>Tapijt reinigen</t>
  </si>
  <si>
    <t>Beschikbare uren tbv vloeronderhoud (per ruimte)</t>
  </si>
  <si>
    <t>4- Basis ruimtestaat bevat de volgende gegevens:</t>
  </si>
  <si>
    <t>3A-Prestatie</t>
  </si>
  <si>
    <t>3B-Prestaties vloeren</t>
  </si>
  <si>
    <t>In dit blad dienen de prestaties per ruimtesoort en bijbehorende frequentie te worden ingevuld. Alle gele velden (ook degene die nu nog niet van toepassing zijn) dienen te worden ingevuld zodat ook bij mutaties in de toekomst gebruik kan worden gemaakt van de opgegeven prestaties.</t>
  </si>
  <si>
    <t>In dit blad dienen de prestaties per ruimtesoort en bijbehorende vloersoort te worden ingevuld. Alle gele velden (ook degene die nu nog niet van toepassing zijn) dienen te worden ingevuld zodat ook bij mutaties in de toekomst gebruik kan worden gemaakt van de opgegeven prestaties.</t>
  </si>
  <si>
    <t>4a- Kst</t>
  </si>
  <si>
    <t>Als op grond van de opgegeven prestaties een locatie minder uren per schoonmaakbeurt heeft dan een(1) wordt dit aangevuld zodat er altijd minimaal een (1) schoonmaakuur is per locatie.</t>
  </si>
  <si>
    <t>4B-Glasbewassing</t>
  </si>
  <si>
    <t>Door het invullen van de prestaties wordt met behulp van het opgegeven uurtarief (zie Tabblad 5) voor de glazenwasser worden de kosten per m2 uitvoering bepaald. Op basis van een vrijblijvende inschatting van het aantal m2 worden de kosten per jaar bij een frequentie van 2 x per jaar bepaald. Na gunning worden de werkelijke m2 bepaald na inmeting (zie ook PVE).</t>
  </si>
  <si>
    <t>5. Opbouw uurtarieven</t>
  </si>
  <si>
    <t>Medewerker lngrp. 4 (Glazenwasser)</t>
  </si>
  <si>
    <t>Door het invullen van de juiste kosten en percentages ontstaat er per loongroep een tarief. Op basis van de inzet wordt dan in tabblad 2 bepaald wat het calculatieuurtarief wordt. Deze opgaves dienen ook te worden gebruikt om de prijsverhogingen te bepalen.</t>
  </si>
  <si>
    <t>6-Afroepprijs</t>
  </si>
  <si>
    <t>Algemeen</t>
  </si>
  <si>
    <t>In dit blad worden de verschillende locaties en de berekeningen samengevoegd</t>
  </si>
  <si>
    <t>In dit blad dienen de percentages te worden ingevuld om te bepalen wat de kosten per uur voor schoonmaak en toezicht worden. Tevens wordt het percentage toezicht hier bepaald. Let op dit samengestelde (calculatietarief wordt dus in alle gevallen gehanteerd er is dus geen sprake van een afwijkend tarief voor zogenaamde 'specialistische' werkzaamheden.</t>
  </si>
  <si>
    <t xml:space="preserve">De ruimtestaat is in tabblad 4 van dit calculatiemodel toegevoegd. De ruimtestaat is met een zo groot mogelijke zorgvuldigheid samengesteld. Dit sluit echter niet uit dat er desondanks verschillen met de werkelijkheid kunnen optreden, ten gevolge van verbouwingen en verhuizingen in gebouw(en). </t>
  </si>
  <si>
    <t>Gedurende de contractperiode kunnen er extra aanvragen worden gedaan. Hiervoor dienen de opgegeven werkzaamheden te worden afgeprijsd.</t>
  </si>
  <si>
    <t>Hierna wordt per blad aangegeven wat de bedoeling is. De verborgen tabbladen worden tijdens de inschrijving niet gebruikt maar kunnen na ingangsdatum worden gebruikt voor het bijhouden van de wijzigingen op het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</si>
</sst>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_-&quot;€&quot;\ * #,##0.00_-;_-&quot;€&quot;\ * #,##0.00\-;_-&quot;€&quot;\ * &quot;-&quot;??_-;_-@_-"/>
    <numFmt numFmtId="168" formatCode="_-* #,##0.00_-;_-* #,##0.00\-;_-* &quot;-&quot;??_-;_-@_-"/>
    <numFmt numFmtId="169" formatCode="_(&quot;ƒ&quot;* #,##0.00_);_(&quot;ƒ&quot;* \(#,##0.00\);_(&quot;ƒ&quot;* &quot;-&quot;??_);_(@_)"/>
    <numFmt numFmtId="170" formatCode="_-* #,##0.00_-;\-* #,##0.00_-;_-* &quot;-&quot;??_-;_-@_-"/>
    <numFmt numFmtId="171" formatCode="&quot;Fl.&quot;#,##0.00_);[Red]\(&quot;Fl.&quot;#,##0.00\)"/>
    <numFmt numFmtId="172" formatCode="_-* #,##0_-;_-* #,##0\-;_-* &quot;-&quot;??_-;_-@_-"/>
    <numFmt numFmtId="173" formatCode="00,000"/>
    <numFmt numFmtId="174" formatCode="0.0%"/>
    <numFmt numFmtId="175" formatCode="0.0"/>
    <numFmt numFmtId="176" formatCode="0.000%"/>
    <numFmt numFmtId="177" formatCode="_([$€-2]\ * #,##0.00_);_([$€-2]\ * \(#,##0.00\);_([$€-2]\ * &quot;-&quot;??_);_(@_)"/>
    <numFmt numFmtId="178" formatCode="&quot;ƒ &quot;#,##0;[Red]\-&quot;ƒ &quot;#,##0"/>
    <numFmt numFmtId="179" formatCode="_-\€\ * #,##0.00"/>
    <numFmt numFmtId="180" formatCode="&quot;ƒ &quot;#,##0;\-&quot;ƒ &quot;#,##0"/>
    <numFmt numFmtId="181" formatCode="&quot;Fl.&quot;#,##0_);[Red]\(&quot;Fl.&quot;#,##0\)"/>
    <numFmt numFmtId="182" formatCode="_-\F* #,##0.00_-;\-\F* #,##0.00_-;_-\F* &quot;-&quot;??_-;_-@_-"/>
    <numFmt numFmtId="183" formatCode="&quot;€&quot;\ #,##0.00"/>
    <numFmt numFmtId="184" formatCode="_-[$€-2]\ * #,##0.00_ ;_-[$€-2]\ * \-#,##0.00\ ;_-[$€-2]\ * &quot;-&quot;??_ ;_-@_ "/>
    <numFmt numFmtId="185" formatCode="_-* #,##0.0_-;_-* #,##0.0\-;_-* &quot;-&quot;??_-;_-@_-"/>
    <numFmt numFmtId="186" formatCode="_ [$€-2]\ * #,##0.00_ ;_ [$€-2]\ * \-#,##0.00_ ;_ [$€-2]\ * &quot;-&quot;??_ ;_ @_ "/>
    <numFmt numFmtId="187" formatCode="#,##0.00_ ;[Red]\-#,##0.00\ "/>
    <numFmt numFmtId="188" formatCode="#,##0_ ;[Red]\-#,##0\ "/>
    <numFmt numFmtId="189" formatCode="_ * #,##0.0000_ ;_ * \-#,##0.0000_ ;_ * &quot;-&quot;??_ ;_ @_ "/>
    <numFmt numFmtId="190" formatCode="_ * #,##0_ ;_ * \-#,##0_ ;_ * &quot;-&quot;??_ ;_ @_ "/>
    <numFmt numFmtId="191" formatCode="_ [$€-413]\ * #,##0.00_ ;_ [$€-413]\ * \-#,##0.00_ ;_ [$€-413]\ * &quot;-&quot;??_ ;_ @_ "/>
    <numFmt numFmtId="192" formatCode="_-* #,##0.000_-;_-* #,##0.000\-;_-* &quot;-&quot;??_-;_-@_-"/>
    <numFmt numFmtId="193" formatCode="0.0000%"/>
  </numFmts>
  <fonts count="77">
    <font>
      <sz val="10"/>
      <name val="MS Sans Serif"/>
    </font>
    <font>
      <sz val="11"/>
      <color theme="1"/>
      <name val="Calibri"/>
      <family val="2"/>
      <scheme val="minor"/>
    </font>
    <font>
      <sz val="10"/>
      <name val="MS Sans Serif"/>
      <family val="2"/>
    </font>
    <font>
      <sz val="10"/>
      <name val="Helv"/>
    </font>
    <font>
      <sz val="10"/>
      <name val="Times"/>
      <family val="1"/>
    </font>
    <font>
      <sz val="10"/>
      <name val="Arial"/>
      <family val="2"/>
    </font>
    <font>
      <sz val="10"/>
      <name val="Courier"/>
      <family val="3"/>
    </font>
    <font>
      <sz val="8"/>
      <name val="MS Sans Serif"/>
      <family val="2"/>
    </font>
    <font>
      <sz val="9"/>
      <name val="Geneva"/>
      <family val="2"/>
    </font>
    <font>
      <sz val="10"/>
      <name val="Tahoma"/>
      <family val="2"/>
    </font>
    <font>
      <b/>
      <sz val="10"/>
      <color indexed="9"/>
      <name val="Tahom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name val="Times New Roman"/>
      <family val="1"/>
    </font>
    <font>
      <sz val="11"/>
      <color indexed="52"/>
      <name val="Calibri"/>
      <family val="2"/>
    </font>
    <font>
      <sz val="11"/>
      <color indexed="17"/>
      <name val="Calibri"/>
      <family val="2"/>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color indexed="8"/>
      <name val="Arial"/>
      <family val="2"/>
    </font>
    <font>
      <sz val="12"/>
      <color indexed="8"/>
      <name val="Verdana"/>
      <family val="2"/>
    </font>
    <font>
      <i/>
      <sz val="10"/>
      <name val="Tahoma"/>
      <family val="2"/>
    </font>
    <font>
      <sz val="11"/>
      <color theme="1"/>
      <name val="Calibri"/>
      <family val="2"/>
      <scheme val="minor"/>
    </font>
    <font>
      <sz val="10"/>
      <color theme="1"/>
      <name val="Tahoma"/>
      <family val="2"/>
    </font>
    <font>
      <sz val="10"/>
      <name val="Verdana"/>
      <family val="2"/>
    </font>
    <font>
      <b/>
      <sz val="10"/>
      <name val="MS Sans Serif"/>
    </font>
    <font>
      <sz val="8"/>
      <name val="MS Sans Serif"/>
    </font>
    <font>
      <sz val="8"/>
      <name val="Verdana"/>
      <family val="2"/>
    </font>
    <font>
      <b/>
      <sz val="10.5"/>
      <color indexed="9"/>
      <name val="Corbel"/>
      <family val="2"/>
    </font>
    <font>
      <b/>
      <sz val="10.5"/>
      <name val="Corbel"/>
      <family val="2"/>
    </font>
    <font>
      <sz val="10.5"/>
      <name val="Corbel"/>
      <family val="2"/>
    </font>
    <font>
      <sz val="10.5"/>
      <color indexed="8"/>
      <name val="Corbel"/>
      <family val="2"/>
    </font>
    <font>
      <b/>
      <sz val="10.5"/>
      <color indexed="18"/>
      <name val="Corbel"/>
      <family val="2"/>
    </font>
    <font>
      <b/>
      <sz val="10.5"/>
      <color indexed="8"/>
      <name val="Corbel"/>
      <family val="2"/>
    </font>
    <font>
      <vertAlign val="superscript"/>
      <sz val="10.5"/>
      <name val="Corbel"/>
      <family val="2"/>
    </font>
    <font>
      <b/>
      <sz val="10.5"/>
      <color indexed="10"/>
      <name val="Corbel"/>
      <family val="2"/>
    </font>
    <font>
      <b/>
      <vertAlign val="superscript"/>
      <sz val="10.5"/>
      <name val="Corbel"/>
      <family val="2"/>
    </font>
    <font>
      <sz val="10.5"/>
      <color indexed="18"/>
      <name val="Corbel"/>
      <family val="2"/>
    </font>
    <font>
      <sz val="10.5"/>
      <color indexed="62"/>
      <name val="Corbel"/>
      <family val="2"/>
    </font>
    <font>
      <sz val="10.5"/>
      <color indexed="9"/>
      <name val="Corbel"/>
      <family val="2"/>
    </font>
    <font>
      <b/>
      <sz val="10.5"/>
      <color theme="0"/>
      <name val="Corbel"/>
      <family val="2"/>
    </font>
    <font>
      <vertAlign val="superscript"/>
      <sz val="10.5"/>
      <color indexed="18"/>
      <name val="Corbel"/>
      <family val="2"/>
    </font>
    <font>
      <b/>
      <sz val="10"/>
      <color rgb="FFFFFFFF"/>
      <name val="Verdana"/>
      <family val="2"/>
    </font>
    <font>
      <b/>
      <sz val="11"/>
      <name val="Verdana"/>
      <family val="2"/>
    </font>
    <font>
      <b/>
      <sz val="11"/>
      <color rgb="FF000000"/>
      <name val="Verdana"/>
      <family val="2"/>
    </font>
    <font>
      <sz val="11"/>
      <color rgb="FF000000"/>
      <name val="Verdana"/>
      <family val="2"/>
    </font>
    <font>
      <b/>
      <sz val="10.5"/>
      <color indexed="20"/>
      <name val="Corbel"/>
      <family val="2"/>
    </font>
    <font>
      <sz val="10.5"/>
      <color indexed="10"/>
      <name val="Corbel"/>
      <family val="2"/>
    </font>
    <font>
      <sz val="10.5"/>
      <color indexed="23"/>
      <name val="Corbel"/>
      <family val="2"/>
    </font>
    <font>
      <b/>
      <sz val="9"/>
      <color indexed="9"/>
      <name val="Corbel"/>
      <family val="2"/>
    </font>
    <font>
      <sz val="9"/>
      <name val="Corbel"/>
      <family val="2"/>
    </font>
    <font>
      <b/>
      <sz val="9"/>
      <name val="Corbel"/>
      <family val="2"/>
    </font>
    <font>
      <sz val="10.5"/>
      <name val="Corbel"/>
      <family val="2"/>
    </font>
    <font>
      <b/>
      <sz val="10.5"/>
      <name val="Corbel"/>
      <family val="2"/>
    </font>
    <font>
      <sz val="10.5"/>
      <color indexed="8"/>
      <name val="Corbel"/>
      <family val="2"/>
    </font>
    <font>
      <b/>
      <sz val="9.5"/>
      <name val="Corbel"/>
      <family val="2"/>
    </font>
    <font>
      <sz val="9.5"/>
      <name val="Corbel"/>
      <family val="2"/>
    </font>
    <font>
      <sz val="10"/>
      <name val="Arial"/>
      <family val="2"/>
    </font>
    <font>
      <sz val="10"/>
      <name val="Arial"/>
      <family val="2"/>
    </font>
    <font>
      <sz val="12"/>
      <color theme="1"/>
      <name val="Calibri"/>
      <family val="2"/>
      <scheme val="minor"/>
    </font>
    <font>
      <b/>
      <sz val="10.5"/>
      <color indexed="23"/>
      <name val="Corbel"/>
      <family val="2"/>
    </font>
    <font>
      <sz val="11"/>
      <name val="Aptos Narrow"/>
      <family val="2"/>
    </font>
    <font>
      <sz val="11"/>
      <color rgb="FFFF0000"/>
      <name val="Aptos Narrow"/>
      <family val="2"/>
    </font>
    <font>
      <sz val="10"/>
      <color theme="1"/>
      <name val="MS Sans Serif"/>
    </font>
    <font>
      <sz val="10"/>
      <color indexed="8"/>
      <name val="Arial"/>
      <family val="2"/>
    </font>
  </fonts>
  <fills count="47">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indexed="9"/>
        <bgColor indexed="64"/>
      </patternFill>
    </fill>
    <fill>
      <patternFill patternType="solid">
        <fgColor indexed="62"/>
        <bgColor indexed="64"/>
      </patternFill>
    </fill>
    <fill>
      <patternFill patternType="solid">
        <fgColor rgb="FFFFFF00"/>
        <bgColor indexed="64"/>
      </patternFill>
    </fill>
    <fill>
      <patternFill patternType="solid">
        <fgColor theme="8" tint="-0.249977111117893"/>
        <bgColor indexed="64"/>
      </patternFill>
    </fill>
    <fill>
      <patternFill patternType="solid">
        <fgColor theme="5"/>
        <bgColor indexed="64"/>
      </patternFill>
    </fill>
    <fill>
      <patternFill patternType="solid">
        <fgColor rgb="FF00B0F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bgColor indexed="64"/>
      </patternFill>
    </fill>
    <fill>
      <patternFill patternType="solid">
        <fgColor theme="0"/>
        <bgColor indexed="64"/>
      </patternFill>
    </fill>
    <fill>
      <patternFill patternType="solid">
        <fgColor rgb="FF333399"/>
        <bgColor rgb="FF000000"/>
      </patternFill>
    </fill>
    <fill>
      <patternFill patternType="solid">
        <fgColor theme="9" tint="0.79998168889431442"/>
        <bgColor indexed="64"/>
      </patternFill>
    </fill>
    <fill>
      <patternFill patternType="solid">
        <fgColor rgb="FFFFC000"/>
        <bgColor indexed="64"/>
      </patternFill>
    </fill>
    <fill>
      <patternFill patternType="solid">
        <fgColor rgb="FFFFFFFF"/>
        <bgColor rgb="FF000000"/>
      </patternFill>
    </fill>
    <fill>
      <patternFill patternType="solid">
        <fgColor theme="6" tint="-0.249977111117893"/>
        <bgColor indexed="64"/>
      </patternFill>
    </fill>
    <fill>
      <patternFill patternType="solid">
        <fgColor theme="3" tint="0.59999389629810485"/>
        <bgColor indexed="64"/>
      </patternFill>
    </fill>
    <fill>
      <patternFill patternType="solid">
        <fgColor theme="5" tint="-0.249977111117893"/>
        <bgColor indexed="64"/>
      </patternFill>
    </fill>
    <fill>
      <patternFill patternType="solid">
        <fgColor indexed="31"/>
        <bgColor indexed="64"/>
      </patternFill>
    </fill>
    <fill>
      <patternFill patternType="solid">
        <fgColor theme="9" tint="0.59999389629810485"/>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top style="thin">
        <color indexed="64"/>
      </top>
      <bottom/>
      <diagonal/>
    </border>
    <border>
      <left/>
      <right style="hair">
        <color indexed="64"/>
      </right>
      <top style="thin">
        <color indexed="64"/>
      </top>
      <bottom style="thin">
        <color indexed="64"/>
      </bottom>
      <diagonal/>
    </border>
    <border>
      <left style="medium">
        <color auto="1"/>
      </left>
      <right/>
      <top style="medium">
        <color auto="1"/>
      </top>
      <bottom/>
      <diagonal/>
    </border>
    <border>
      <left/>
      <right style="thin">
        <color auto="1"/>
      </right>
      <top/>
      <bottom style="hair">
        <color auto="1"/>
      </bottom>
      <diagonal/>
    </border>
    <border>
      <left/>
      <right style="thin">
        <color auto="1"/>
      </right>
      <top style="hair">
        <color auto="1"/>
      </top>
      <bottom style="hair">
        <color auto="1"/>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right/>
      <top style="hair">
        <color auto="1"/>
      </top>
      <bottom style="hair">
        <color auto="1"/>
      </bottom>
      <diagonal/>
    </border>
    <border>
      <left style="thin">
        <color auto="1"/>
      </left>
      <right/>
      <top style="hair">
        <color auto="1"/>
      </top>
      <bottom style="hair">
        <color auto="1"/>
      </bottom>
      <diagonal/>
    </border>
    <border>
      <left/>
      <right style="thin">
        <color rgb="FF000000"/>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style="hair">
        <color indexed="64"/>
      </top>
      <bottom/>
      <diagonal/>
    </border>
  </borders>
  <cellStyleXfs count="110">
    <xf numFmtId="0" fontId="0" fillId="0" borderId="0"/>
    <xf numFmtId="0" fontId="11" fillId="2"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12"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3" fillId="8" borderId="1" applyNumberFormat="0" applyAlignment="0" applyProtection="0"/>
    <xf numFmtId="0" fontId="13" fillId="8" borderId="1" applyNumberFormat="0" applyAlignment="0" applyProtection="0"/>
    <xf numFmtId="43" fontId="3" fillId="0" borderId="0" applyFont="0" applyFill="0" applyBorder="0" applyAlignment="0" applyProtection="0"/>
    <xf numFmtId="170" fontId="3" fillId="0" borderId="0" applyFont="0" applyFill="0" applyBorder="0" applyAlignment="0" applyProtection="0"/>
    <xf numFmtId="0" fontId="14" fillId="21" borderId="2" applyNumberFormat="0" applyAlignment="0" applyProtection="0"/>
    <xf numFmtId="169" fontId="4" fillId="0" borderId="0" applyFont="0" applyFill="0" applyBorder="0" applyAlignment="0" applyProtection="0"/>
    <xf numFmtId="169" fontId="3" fillId="0" borderId="0" applyFont="0" applyFill="0" applyBorder="0" applyAlignment="0" applyProtection="0"/>
    <xf numFmtId="178" fontId="2" fillId="0" borderId="0"/>
    <xf numFmtId="179" fontId="15" fillId="0" borderId="0"/>
    <xf numFmtId="0" fontId="16" fillId="0" borderId="3" applyNumberFormat="0" applyFill="0" applyAlignment="0" applyProtection="0"/>
    <xf numFmtId="0" fontId="17" fillId="5" borderId="0" applyNumberFormat="0" applyBorder="0" applyAlignment="0" applyProtection="0"/>
    <xf numFmtId="0" fontId="15" fillId="22" borderId="5"/>
    <xf numFmtId="0" fontId="15" fillId="22" borderId="5"/>
    <xf numFmtId="168" fontId="2" fillId="0" borderId="0" applyFont="0" applyFill="0" applyBorder="0" applyAlignment="0" applyProtection="0"/>
    <xf numFmtId="168" fontId="5" fillId="0" borderId="0" applyFont="0" applyFill="0" applyBorder="0" applyAlignment="0" applyProtection="0"/>
    <xf numFmtId="168" fontId="2" fillId="0" borderId="0" applyFont="0" applyFill="0" applyBorder="0" applyAlignment="0" applyProtection="0"/>
    <xf numFmtId="168" fontId="5" fillId="0" borderId="0" applyFont="0" applyFill="0" applyBorder="0" applyAlignment="0" applyProtection="0"/>
    <xf numFmtId="0" fontId="18" fillId="23" borderId="0"/>
    <xf numFmtId="0" fontId="19" fillId="0" borderId="6" applyNumberFormat="0" applyFill="0" applyAlignment="0" applyProtection="0"/>
    <xf numFmtId="0" fontId="20" fillId="0" borderId="4" applyNumberFormat="0" applyFill="0" applyAlignment="0" applyProtection="0"/>
    <xf numFmtId="0" fontId="21" fillId="0" borderId="7" applyNumberFormat="0" applyFill="0" applyAlignment="0" applyProtection="0"/>
    <xf numFmtId="0" fontId="21" fillId="0" borderId="0" applyNumberFormat="0" applyFill="0" applyBorder="0" applyAlignment="0" applyProtection="0"/>
    <xf numFmtId="168" fontId="22" fillId="0" borderId="0">
      <alignment horizontal="center" vertical="center" textRotation="90" wrapText="1"/>
    </xf>
    <xf numFmtId="0" fontId="23" fillId="22" borderId="8"/>
    <xf numFmtId="180" fontId="2" fillId="0" borderId="0"/>
    <xf numFmtId="0" fontId="24" fillId="24" borderId="0" applyNumberFormat="0" applyBorder="0" applyAlignment="0" applyProtection="0"/>
    <xf numFmtId="0" fontId="32" fillId="0" borderId="0" applyNumberFormat="0" applyFill="0" applyBorder="0" applyProtection="0">
      <alignment vertical="top"/>
    </xf>
    <xf numFmtId="0" fontId="35" fillId="0" borderId="0"/>
    <xf numFmtId="0" fontId="35" fillId="0" borderId="0"/>
    <xf numFmtId="0" fontId="3" fillId="0" borderId="0"/>
    <xf numFmtId="0" fontId="8" fillId="0" borderId="0"/>
    <xf numFmtId="0" fontId="3" fillId="0" borderId="0"/>
    <xf numFmtId="0" fontId="3" fillId="0" borderId="0"/>
    <xf numFmtId="0" fontId="11" fillId="25" borderId="9" applyNumberFormat="0" applyFont="0" applyAlignment="0" applyProtection="0"/>
    <xf numFmtId="0" fontId="11" fillId="25" borderId="9" applyNumberFormat="0" applyFont="0" applyAlignment="0" applyProtection="0"/>
    <xf numFmtId="0" fontId="6" fillId="0" borderId="0"/>
    <xf numFmtId="0" fontId="25" fillId="4" borderId="0" applyNumberFormat="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0" fontId="23" fillId="26" borderId="11" applyNumberFormat="0" applyFont="0" applyBorder="0">
      <alignment horizontal="center"/>
    </xf>
    <xf numFmtId="0" fontId="2" fillId="0" borderId="0"/>
    <xf numFmtId="0" fontId="2" fillId="0" borderId="0"/>
    <xf numFmtId="0" fontId="5" fillId="0" borderId="0"/>
    <xf numFmtId="0" fontId="2" fillId="0" borderId="0"/>
    <xf numFmtId="0" fontId="34" fillId="0" borderId="0"/>
    <xf numFmtId="0" fontId="34" fillId="0" borderId="0"/>
    <xf numFmtId="0" fontId="2" fillId="0" borderId="0"/>
    <xf numFmtId="0" fontId="5" fillId="0" borderId="0"/>
    <xf numFmtId="0" fontId="3" fillId="0" borderId="0"/>
    <xf numFmtId="0" fontId="26" fillId="0" borderId="0" applyNumberFormat="0" applyFill="0" applyBorder="0" applyAlignment="0" applyProtection="0"/>
    <xf numFmtId="0" fontId="27" fillId="0" borderId="12" applyNumberFormat="0" applyFill="0" applyAlignment="0" applyProtection="0"/>
    <xf numFmtId="0" fontId="27" fillId="0" borderId="12" applyNumberFormat="0" applyFill="0" applyAlignment="0" applyProtection="0"/>
    <xf numFmtId="0" fontId="28" fillId="8" borderId="10" applyNumberFormat="0" applyAlignment="0" applyProtection="0"/>
    <xf numFmtId="0" fontId="28" fillId="8" borderId="10" applyNumberFormat="0" applyAlignment="0" applyProtection="0"/>
    <xf numFmtId="167"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1" fillId="0" borderId="0" applyFont="0" applyFill="0" applyBorder="0" applyAlignment="0" applyProtection="0"/>
    <xf numFmtId="181" fontId="2" fillId="0" borderId="0"/>
    <xf numFmtId="182" fontId="5" fillId="0" borderId="0" applyFont="0" applyFill="0" applyBorder="0" applyAlignment="0" applyProtection="0"/>
    <xf numFmtId="171" fontId="2" fillId="0" borderId="0"/>
    <xf numFmtId="0" fontId="29" fillId="0" borderId="0" applyNumberFormat="0" applyFill="0" applyBorder="0" applyAlignment="0" applyProtection="0"/>
    <xf numFmtId="0" fontId="30" fillId="0" borderId="0" applyNumberFormat="0" applyFill="0" applyBorder="0" applyAlignment="0" applyProtection="0"/>
    <xf numFmtId="0" fontId="2"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167" fontId="5" fillId="0" borderId="0" applyFont="0" applyFill="0" applyBorder="0" applyAlignment="0" applyProtection="0"/>
    <xf numFmtId="0" fontId="69" fillId="0" borderId="0"/>
    <xf numFmtId="0" fontId="1" fillId="0" borderId="0"/>
    <xf numFmtId="0" fontId="1" fillId="0" borderId="0"/>
    <xf numFmtId="0" fontId="1" fillId="0" borderId="0"/>
    <xf numFmtId="0" fontId="1" fillId="0" borderId="0"/>
    <xf numFmtId="0" fontId="70" fillId="0" borderId="0"/>
    <xf numFmtId="0" fontId="71" fillId="0" borderId="0"/>
    <xf numFmtId="9" fontId="71" fillId="0" borderId="0" applyFont="0" applyFill="0" applyBorder="0" applyAlignment="0" applyProtection="0"/>
    <xf numFmtId="44" fontId="71" fillId="0" borderId="0" applyFont="0" applyFill="0" applyBorder="0" applyAlignment="0" applyProtection="0"/>
    <xf numFmtId="43" fontId="71" fillId="0" borderId="0" applyFont="0" applyFill="0" applyBorder="0" applyAlignment="0" applyProtection="0"/>
    <xf numFmtId="0" fontId="76" fillId="0" borderId="0"/>
    <xf numFmtId="166" fontId="31" fillId="0" borderId="0" applyFont="0" applyFill="0" applyBorder="0" applyAlignment="0" applyProtection="0"/>
  </cellStyleXfs>
  <cellXfs count="591">
    <xf numFmtId="0" fontId="0" fillId="0" borderId="0" xfId="0"/>
    <xf numFmtId="0" fontId="9" fillId="0" borderId="0" xfId="0" applyFont="1"/>
    <xf numFmtId="49" fontId="10" fillId="28" borderId="28" xfId="54" applyNumberFormat="1" applyFont="1" applyFill="1" applyBorder="1" applyAlignment="1" applyProtection="1">
      <alignment horizontal="left" vertical="top" wrapText="1"/>
      <protection hidden="1"/>
    </xf>
    <xf numFmtId="49" fontId="10" fillId="28" borderId="14" xfId="54" applyNumberFormat="1" applyFont="1" applyFill="1" applyBorder="1" applyAlignment="1" applyProtection="1">
      <alignment vertical="top" wrapText="1"/>
      <protection hidden="1"/>
    </xf>
    <xf numFmtId="0" fontId="9" fillId="0" borderId="5" xfId="69" applyFont="1" applyBorder="1"/>
    <xf numFmtId="0" fontId="9" fillId="0" borderId="5" xfId="69" applyFont="1" applyBorder="1" applyAlignment="1">
      <alignment vertical="top"/>
    </xf>
    <xf numFmtId="0" fontId="33" fillId="0" borderId="5" xfId="69" applyFont="1" applyBorder="1" applyAlignment="1">
      <alignment vertical="top" wrapText="1"/>
    </xf>
    <xf numFmtId="0" fontId="9" fillId="0" borderId="0" xfId="0" applyFont="1" applyAlignment="1">
      <alignment horizontal="left"/>
    </xf>
    <xf numFmtId="0" fontId="9" fillId="0" borderId="29" xfId="0" applyFont="1" applyBorder="1"/>
    <xf numFmtId="0" fontId="9" fillId="0" borderId="26" xfId="0" applyFont="1" applyBorder="1"/>
    <xf numFmtId="0" fontId="9" fillId="0" borderId="27" xfId="0" applyFont="1" applyBorder="1"/>
    <xf numFmtId="49" fontId="10" fillId="28" borderId="21" xfId="54" applyNumberFormat="1" applyFont="1" applyFill="1" applyBorder="1" applyAlignment="1" applyProtection="1">
      <alignment vertical="center"/>
      <protection hidden="1"/>
    </xf>
    <xf numFmtId="168" fontId="10" fillId="28" borderId="24" xfId="38" applyFont="1" applyFill="1" applyBorder="1" applyAlignment="1" applyProtection="1">
      <alignment vertical="center"/>
      <protection hidden="1"/>
    </xf>
    <xf numFmtId="168" fontId="0" fillId="0" borderId="0" xfId="38" applyFont="1"/>
    <xf numFmtId="0" fontId="39" fillId="0" borderId="29" xfId="0" applyFont="1" applyBorder="1"/>
    <xf numFmtId="168" fontId="39" fillId="0" borderId="29" xfId="38" applyFont="1" applyBorder="1"/>
    <xf numFmtId="49" fontId="40" fillId="28" borderId="5" xfId="54" applyNumberFormat="1" applyFont="1" applyFill="1" applyBorder="1" applyAlignment="1" applyProtection="1">
      <alignment horizontal="right" vertical="center" wrapText="1"/>
      <protection hidden="1"/>
    </xf>
    <xf numFmtId="0" fontId="42" fillId="0" borderId="0" xfId="0" applyFont="1" applyAlignment="1">
      <alignment vertical="center"/>
    </xf>
    <xf numFmtId="0" fontId="42" fillId="0" borderId="29" xfId="0" applyFont="1" applyBorder="1"/>
    <xf numFmtId="0" fontId="42" fillId="0" borderId="0" xfId="0" applyFont="1"/>
    <xf numFmtId="0" fontId="42" fillId="0" borderId="0" xfId="0" applyFont="1" applyAlignment="1">
      <alignment horizontal="right"/>
    </xf>
    <xf numFmtId="187" fontId="42" fillId="0" borderId="0" xfId="0" applyNumberFormat="1" applyFont="1"/>
    <xf numFmtId="167" fontId="42" fillId="0" borderId="0" xfId="81" applyFont="1"/>
    <xf numFmtId="0" fontId="42" fillId="0" borderId="0" xfId="0" applyFont="1" applyAlignment="1">
      <alignment horizontal="left" vertical="center"/>
    </xf>
    <xf numFmtId="0" fontId="42" fillId="0" borderId="0" xfId="75" applyFont="1"/>
    <xf numFmtId="3" fontId="41" fillId="34" borderId="36" xfId="92" applyNumberFormat="1" applyFont="1" applyFill="1" applyBorder="1" applyProtection="1">
      <protection hidden="1"/>
    </xf>
    <xf numFmtId="0" fontId="42" fillId="0" borderId="0" xfId="93" applyFont="1"/>
    <xf numFmtId="0" fontId="41" fillId="34" borderId="5" xfId="93" applyFont="1" applyFill="1" applyBorder="1" applyAlignment="1">
      <alignment horizontal="center" vertical="center" wrapText="1"/>
    </xf>
    <xf numFmtId="14" fontId="41" fillId="34" borderId="5" xfId="93" applyNumberFormat="1" applyFont="1" applyFill="1" applyBorder="1" applyAlignment="1">
      <alignment horizontal="center" vertical="center" wrapText="1"/>
    </xf>
    <xf numFmtId="189" fontId="41" fillId="34" borderId="5" xfId="94" applyNumberFormat="1" applyFont="1" applyFill="1" applyBorder="1" applyAlignment="1">
      <alignment horizontal="center" vertical="center" wrapText="1"/>
    </xf>
    <xf numFmtId="3" fontId="41" fillId="34" borderId="42" xfId="92" applyNumberFormat="1" applyFont="1" applyFill="1" applyBorder="1" applyProtection="1">
      <protection hidden="1"/>
    </xf>
    <xf numFmtId="0" fontId="42" fillId="34" borderId="0" xfId="93" applyFont="1" applyFill="1"/>
    <xf numFmtId="14" fontId="42" fillId="34" borderId="0" xfId="93" applyNumberFormat="1" applyFont="1" applyFill="1"/>
    <xf numFmtId="14" fontId="41" fillId="34" borderId="21" xfId="93" applyNumberFormat="1" applyFont="1" applyFill="1" applyBorder="1" applyAlignment="1">
      <alignment horizontal="center" vertical="center"/>
    </xf>
    <xf numFmtId="190" fontId="41" fillId="34" borderId="21" xfId="94" applyNumberFormat="1" applyFont="1" applyFill="1" applyBorder="1" applyAlignment="1">
      <alignment horizontal="center" vertical="center"/>
    </xf>
    <xf numFmtId="191" fontId="41" fillId="34" borderId="30" xfId="93" applyNumberFormat="1" applyFont="1" applyFill="1" applyBorder="1" applyAlignment="1">
      <alignment vertical="center"/>
    </xf>
    <xf numFmtId="3" fontId="41" fillId="34" borderId="49" xfId="92" applyNumberFormat="1" applyFont="1" applyFill="1" applyBorder="1" applyProtection="1">
      <protection hidden="1"/>
    </xf>
    <xf numFmtId="3" fontId="41" fillId="34" borderId="50" xfId="92" applyNumberFormat="1" applyFont="1" applyFill="1" applyBorder="1" applyProtection="1">
      <protection hidden="1"/>
    </xf>
    <xf numFmtId="3" fontId="41" fillId="35" borderId="51" xfId="92" applyNumberFormat="1" applyFont="1" applyFill="1" applyBorder="1" applyProtection="1">
      <protection hidden="1"/>
    </xf>
    <xf numFmtId="0" fontId="41" fillId="35" borderId="52" xfId="92" applyFont="1" applyFill="1" applyBorder="1"/>
    <xf numFmtId="0" fontId="41" fillId="35" borderId="47" xfId="92" applyFont="1" applyFill="1" applyBorder="1"/>
    <xf numFmtId="3" fontId="41" fillId="34" borderId="46" xfId="92" applyNumberFormat="1" applyFont="1" applyFill="1" applyBorder="1" applyProtection="1">
      <protection hidden="1"/>
    </xf>
    <xf numFmtId="0" fontId="41" fillId="34" borderId="19" xfId="92" applyFont="1" applyFill="1" applyBorder="1"/>
    <xf numFmtId="0" fontId="41" fillId="34" borderId="33" xfId="92" applyFont="1" applyFill="1" applyBorder="1"/>
    <xf numFmtId="3" fontId="41" fillId="35" borderId="46" xfId="92" applyNumberFormat="1" applyFont="1" applyFill="1" applyBorder="1" applyProtection="1">
      <protection hidden="1"/>
    </xf>
    <xf numFmtId="40" fontId="41" fillId="35" borderId="21" xfId="92" applyNumberFormat="1" applyFont="1" applyFill="1" applyBorder="1"/>
    <xf numFmtId="0" fontId="41" fillId="35" borderId="17" xfId="92" applyFont="1" applyFill="1" applyBorder="1"/>
    <xf numFmtId="40" fontId="42" fillId="0" borderId="0" xfId="93" applyNumberFormat="1" applyFont="1"/>
    <xf numFmtId="49" fontId="40" fillId="28" borderId="5" xfId="54" applyNumberFormat="1" applyFont="1" applyFill="1" applyBorder="1" applyAlignment="1" applyProtection="1">
      <alignment horizontal="left" vertical="top" wrapText="1"/>
      <protection hidden="1"/>
    </xf>
    <xf numFmtId="0" fontId="40" fillId="28" borderId="5" xfId="56" applyFont="1" applyFill="1" applyBorder="1" applyAlignment="1">
      <alignment horizontal="left" vertical="top" wrapText="1"/>
    </xf>
    <xf numFmtId="0" fontId="40" fillId="28" borderId="5" xfId="54" applyFont="1" applyFill="1" applyBorder="1" applyAlignment="1" applyProtection="1">
      <alignment horizontal="left" vertical="top" wrapText="1"/>
      <protection hidden="1"/>
    </xf>
    <xf numFmtId="0" fontId="42" fillId="0" borderId="0" xfId="56" applyFont="1" applyAlignment="1">
      <alignment horizontal="left"/>
    </xf>
    <xf numFmtId="49" fontId="49" fillId="0" borderId="0" xfId="54" applyNumberFormat="1" applyFont="1" applyAlignment="1" applyProtection="1">
      <alignment horizontal="left" vertical="top"/>
      <protection hidden="1"/>
    </xf>
    <xf numFmtId="0" fontId="42" fillId="0" borderId="0" xfId="56" applyFont="1"/>
    <xf numFmtId="0" fontId="49" fillId="0" borderId="0" xfId="54" applyFont="1" applyAlignment="1" applyProtection="1">
      <alignment horizontal="center" vertical="justify"/>
      <protection hidden="1"/>
    </xf>
    <xf numFmtId="0" fontId="49" fillId="0" borderId="0" xfId="54" applyFont="1" applyAlignment="1" applyProtection="1">
      <alignment horizontal="left" vertical="justify"/>
      <protection hidden="1"/>
    </xf>
    <xf numFmtId="49" fontId="44" fillId="0" borderId="0" xfId="54" applyNumberFormat="1" applyFont="1" applyAlignment="1" applyProtection="1">
      <alignment horizontal="left" vertical="top"/>
      <protection hidden="1"/>
    </xf>
    <xf numFmtId="0" fontId="44" fillId="0" borderId="0" xfId="54" applyFont="1" applyAlignment="1" applyProtection="1">
      <alignment horizontal="left" vertical="top"/>
      <protection hidden="1"/>
    </xf>
    <xf numFmtId="172" fontId="49" fillId="0" borderId="0" xfId="54" applyNumberFormat="1" applyFont="1" applyAlignment="1" applyProtection="1">
      <alignment horizontal="left" vertical="top"/>
      <protection hidden="1"/>
    </xf>
    <xf numFmtId="172" fontId="42" fillId="0" borderId="0" xfId="54" applyNumberFormat="1" applyFont="1" applyAlignment="1" applyProtection="1">
      <alignment horizontal="left" vertical="top"/>
      <protection hidden="1"/>
    </xf>
    <xf numFmtId="49" fontId="50" fillId="0" borderId="0" xfId="54" applyNumberFormat="1" applyFont="1" applyAlignment="1" applyProtection="1">
      <alignment horizontal="left"/>
      <protection hidden="1"/>
    </xf>
    <xf numFmtId="184" fontId="42" fillId="0" borderId="0" xfId="56" applyNumberFormat="1" applyFont="1" applyAlignment="1">
      <alignment horizontal="left"/>
    </xf>
    <xf numFmtId="49" fontId="43" fillId="0" borderId="0" xfId="54" applyNumberFormat="1" applyFont="1" applyAlignment="1" applyProtection="1">
      <alignment horizontal="left"/>
      <protection hidden="1"/>
    </xf>
    <xf numFmtId="174" fontId="44" fillId="0" borderId="0" xfId="62" applyNumberFormat="1" applyFont="1" applyAlignment="1" applyProtection="1">
      <alignment horizontal="center"/>
      <protection hidden="1"/>
    </xf>
    <xf numFmtId="10" fontId="43" fillId="0" borderId="5" xfId="62" applyNumberFormat="1" applyFont="1" applyBorder="1" applyAlignment="1">
      <alignment vertical="center"/>
    </xf>
    <xf numFmtId="1" fontId="42" fillId="0" borderId="0" xfId="27" applyNumberFormat="1" applyFont="1" applyAlignment="1">
      <alignment horizontal="center"/>
    </xf>
    <xf numFmtId="168" fontId="42" fillId="0" borderId="0" xfId="38" applyFont="1"/>
    <xf numFmtId="184" fontId="42" fillId="0" borderId="0" xfId="31" applyNumberFormat="1" applyFont="1" applyAlignment="1">
      <alignment horizontal="left"/>
    </xf>
    <xf numFmtId="43" fontId="42" fillId="0" borderId="0" xfId="56" applyNumberFormat="1" applyFont="1"/>
    <xf numFmtId="10" fontId="42" fillId="0" borderId="0" xfId="56" applyNumberFormat="1" applyFont="1"/>
    <xf numFmtId="10" fontId="42" fillId="0" borderId="0" xfId="56" applyNumberFormat="1" applyFont="1" applyAlignment="1">
      <alignment horizontal="center"/>
    </xf>
    <xf numFmtId="43" fontId="42" fillId="0" borderId="0" xfId="27" applyFont="1"/>
    <xf numFmtId="184" fontId="42" fillId="0" borderId="23" xfId="31" applyNumberFormat="1" applyFont="1" applyBorder="1" applyAlignment="1">
      <alignment horizontal="left"/>
    </xf>
    <xf numFmtId="49" fontId="44" fillId="0" borderId="0" xfId="54" applyNumberFormat="1" applyFont="1" applyAlignment="1" applyProtection="1">
      <alignment horizontal="left"/>
      <protection hidden="1"/>
    </xf>
    <xf numFmtId="9" fontId="44" fillId="0" borderId="0" xfId="62" applyFont="1" applyAlignment="1" applyProtection="1">
      <alignment horizontal="center"/>
      <protection hidden="1"/>
    </xf>
    <xf numFmtId="9" fontId="49" fillId="0" borderId="0" xfId="62" applyFont="1" applyAlignment="1" applyProtection="1">
      <alignment horizontal="left" vertical="top"/>
      <protection hidden="1"/>
    </xf>
    <xf numFmtId="43" fontId="44" fillId="0" borderId="0" xfId="27" applyFont="1" applyAlignment="1" applyProtection="1">
      <alignment horizontal="left"/>
      <protection hidden="1"/>
    </xf>
    <xf numFmtId="0" fontId="41" fillId="0" borderId="0" xfId="54" applyFont="1" applyAlignment="1" applyProtection="1">
      <alignment horizontal="left"/>
      <protection hidden="1"/>
    </xf>
    <xf numFmtId="177" fontId="44" fillId="0" borderId="0" xfId="27" applyNumberFormat="1" applyFont="1" applyAlignment="1" applyProtection="1">
      <alignment horizontal="left"/>
      <protection hidden="1"/>
    </xf>
    <xf numFmtId="177" fontId="42" fillId="0" borderId="5" xfId="56" applyNumberFormat="1" applyFont="1" applyBorder="1"/>
    <xf numFmtId="10" fontId="42" fillId="0" borderId="0" xfId="62" applyNumberFormat="1" applyFont="1"/>
    <xf numFmtId="10" fontId="44" fillId="0" borderId="0" xfId="62" applyNumberFormat="1" applyFont="1" applyAlignment="1" applyProtection="1">
      <alignment horizontal="center"/>
      <protection hidden="1"/>
    </xf>
    <xf numFmtId="177" fontId="42" fillId="0" borderId="0" xfId="56" applyNumberFormat="1" applyFont="1"/>
    <xf numFmtId="184" fontId="44" fillId="0" borderId="0" xfId="54" applyNumberFormat="1" applyFont="1" applyAlignment="1" applyProtection="1">
      <alignment horizontal="left"/>
      <protection hidden="1"/>
    </xf>
    <xf numFmtId="0" fontId="44" fillId="0" borderId="0" xfId="54" applyFont="1" applyAlignment="1" applyProtection="1">
      <alignment horizontal="left"/>
      <protection hidden="1"/>
    </xf>
    <xf numFmtId="0" fontId="49" fillId="0" borderId="0" xfId="54" applyFont="1" applyAlignment="1" applyProtection="1">
      <alignment horizontal="left"/>
      <protection hidden="1"/>
    </xf>
    <xf numFmtId="1" fontId="43" fillId="0" borderId="5" xfId="62" applyNumberFormat="1" applyFont="1" applyBorder="1" applyAlignment="1">
      <alignment vertical="center"/>
    </xf>
    <xf numFmtId="172" fontId="43" fillId="0" borderId="5" xfId="38" applyNumberFormat="1" applyFont="1" applyBorder="1" applyAlignment="1">
      <alignment vertical="center"/>
    </xf>
    <xf numFmtId="168" fontId="44" fillId="0" borderId="0" xfId="54" applyNumberFormat="1" applyFont="1" applyAlignment="1" applyProtection="1">
      <alignment horizontal="left"/>
      <protection hidden="1"/>
    </xf>
    <xf numFmtId="0" fontId="43" fillId="0" borderId="0" xfId="54" applyFont="1" applyAlignment="1" applyProtection="1">
      <alignment horizontal="left"/>
      <protection hidden="1"/>
    </xf>
    <xf numFmtId="43" fontId="42" fillId="0" borderId="18" xfId="27" applyFont="1" applyBorder="1"/>
    <xf numFmtId="184" fontId="42" fillId="0" borderId="0" xfId="0" applyNumberFormat="1" applyFont="1"/>
    <xf numFmtId="49" fontId="40" fillId="28" borderId="28" xfId="54" applyNumberFormat="1" applyFont="1" applyFill="1" applyBorder="1" applyAlignment="1" applyProtection="1">
      <alignment horizontal="left" vertical="center" wrapText="1"/>
      <protection hidden="1"/>
    </xf>
    <xf numFmtId="49" fontId="40" fillId="0" borderId="28" xfId="54" applyNumberFormat="1" applyFont="1" applyBorder="1" applyAlignment="1" applyProtection="1">
      <alignment horizontal="left" vertical="center" wrapText="1"/>
      <protection hidden="1"/>
    </xf>
    <xf numFmtId="172" fontId="43" fillId="0" borderId="29" xfId="38" applyNumberFormat="1" applyFont="1" applyFill="1" applyBorder="1" applyAlignment="1" applyProtection="1">
      <protection locked="0"/>
    </xf>
    <xf numFmtId="0" fontId="43" fillId="0" borderId="0" xfId="75" applyFont="1"/>
    <xf numFmtId="3" fontId="49" fillId="0" borderId="21" xfId="56" applyNumberFormat="1" applyFont="1" applyBorder="1" applyAlignment="1">
      <alignment horizontal="right"/>
    </xf>
    <xf numFmtId="185" fontId="43" fillId="0" borderId="29" xfId="75" applyNumberFormat="1" applyFont="1" applyBorder="1"/>
    <xf numFmtId="185" fontId="43" fillId="0" borderId="0" xfId="75" applyNumberFormat="1" applyFont="1"/>
    <xf numFmtId="172" fontId="43" fillId="0" borderId="26" xfId="38" applyNumberFormat="1" applyFont="1" applyFill="1" applyBorder="1" applyAlignment="1" applyProtection="1">
      <protection locked="0"/>
    </xf>
    <xf numFmtId="3" fontId="49" fillId="0" borderId="24" xfId="56" applyNumberFormat="1" applyFont="1" applyBorder="1" applyAlignment="1">
      <alignment horizontal="right"/>
    </xf>
    <xf numFmtId="185" fontId="43" fillId="0" borderId="26" xfId="75" applyNumberFormat="1" applyFont="1" applyBorder="1"/>
    <xf numFmtId="0" fontId="42" fillId="0" borderId="0" xfId="75" applyFont="1" applyAlignment="1">
      <alignment horizontal="left" vertical="center"/>
    </xf>
    <xf numFmtId="168" fontId="42" fillId="0" borderId="0" xfId="75" applyNumberFormat="1" applyFont="1"/>
    <xf numFmtId="0" fontId="42" fillId="0" borderId="26" xfId="75" applyFont="1" applyBorder="1" applyAlignment="1">
      <alignment horizontal="left" vertical="center"/>
    </xf>
    <xf numFmtId="0" fontId="42" fillId="0" borderId="26" xfId="75" applyFont="1" applyBorder="1"/>
    <xf numFmtId="0" fontId="43" fillId="37" borderId="26" xfId="0" applyFont="1" applyFill="1" applyBorder="1"/>
    <xf numFmtId="0" fontId="43" fillId="37" borderId="54" xfId="0" applyFont="1" applyFill="1" applyBorder="1"/>
    <xf numFmtId="0" fontId="42" fillId="0" borderId="53" xfId="75" applyFont="1" applyBorder="1"/>
    <xf numFmtId="0" fontId="42" fillId="0" borderId="35" xfId="75" applyFont="1" applyBorder="1"/>
    <xf numFmtId="49" fontId="40" fillId="37" borderId="24" xfId="54" applyNumberFormat="1" applyFont="1" applyFill="1" applyBorder="1" applyAlignment="1" applyProtection="1">
      <alignment horizontal="center" vertical="top" wrapText="1"/>
      <protection hidden="1"/>
    </xf>
    <xf numFmtId="49" fontId="40" fillId="0" borderId="0" xfId="54" applyNumberFormat="1" applyFont="1" applyAlignment="1" applyProtection="1">
      <alignment horizontal="center" vertical="top" wrapText="1"/>
      <protection hidden="1"/>
    </xf>
    <xf numFmtId="187" fontId="42" fillId="0" borderId="0" xfId="75" applyNumberFormat="1" applyFont="1"/>
    <xf numFmtId="49" fontId="40" fillId="28" borderId="5" xfId="54" applyNumberFormat="1" applyFont="1" applyFill="1" applyBorder="1" applyAlignment="1" applyProtection="1">
      <alignment horizontal="left" vertical="center" wrapText="1"/>
      <protection hidden="1"/>
    </xf>
    <xf numFmtId="49" fontId="51" fillId="28" borderId="5" xfId="54" applyNumberFormat="1" applyFont="1" applyFill="1" applyBorder="1" applyAlignment="1" applyProtection="1">
      <alignment horizontal="left" vertical="center" wrapText="1"/>
      <protection hidden="1"/>
    </xf>
    <xf numFmtId="49" fontId="51" fillId="37" borderId="24" xfId="54" applyNumberFormat="1" applyFont="1" applyFill="1" applyBorder="1" applyAlignment="1" applyProtection="1">
      <alignment horizontal="left" vertical="center" wrapText="1"/>
      <protection hidden="1"/>
    </xf>
    <xf numFmtId="49" fontId="51" fillId="28" borderId="5" xfId="54" applyNumberFormat="1" applyFont="1" applyFill="1" applyBorder="1" applyAlignment="1" applyProtection="1">
      <alignment horizontal="right" vertical="center" wrapText="1"/>
      <protection hidden="1"/>
    </xf>
    <xf numFmtId="49" fontId="51" fillId="0" borderId="0" xfId="54" applyNumberFormat="1" applyFont="1" applyAlignment="1" applyProtection="1">
      <alignment horizontal="right" vertical="center" wrapText="1"/>
      <protection hidden="1"/>
    </xf>
    <xf numFmtId="49" fontId="51" fillId="30" borderId="5" xfId="54" applyNumberFormat="1" applyFont="1" applyFill="1" applyBorder="1" applyAlignment="1" applyProtection="1">
      <alignment horizontal="right" vertical="center" wrapText="1"/>
      <protection hidden="1"/>
    </xf>
    <xf numFmtId="0" fontId="42" fillId="0" borderId="0" xfId="75" applyFont="1" applyAlignment="1">
      <alignment vertical="center"/>
    </xf>
    <xf numFmtId="187" fontId="42" fillId="0" borderId="0" xfId="75" applyNumberFormat="1" applyFont="1" applyAlignment="1">
      <alignment horizontal="right" vertical="center"/>
    </xf>
    <xf numFmtId="0" fontId="42" fillId="37" borderId="24" xfId="75" applyFont="1" applyFill="1" applyBorder="1"/>
    <xf numFmtId="2" fontId="43" fillId="0" borderId="0" xfId="81" applyNumberFormat="1" applyFont="1" applyFill="1" applyBorder="1" applyProtection="1">
      <protection locked="0"/>
    </xf>
    <xf numFmtId="166" fontId="42" fillId="0" borderId="0" xfId="75" applyNumberFormat="1" applyFont="1"/>
    <xf numFmtId="0" fontId="42" fillId="0" borderId="48" xfId="75" applyFont="1" applyBorder="1"/>
    <xf numFmtId="0" fontId="42" fillId="0" borderId="5" xfId="75" applyFont="1" applyBorder="1"/>
    <xf numFmtId="2" fontId="42" fillId="0" borderId="0" xfId="75" applyNumberFormat="1" applyFont="1"/>
    <xf numFmtId="0" fontId="42" fillId="37" borderId="0" xfId="75" applyFont="1" applyFill="1"/>
    <xf numFmtId="0" fontId="42" fillId="0" borderId="5" xfId="0" applyFont="1" applyBorder="1"/>
    <xf numFmtId="0" fontId="42" fillId="0" borderId="5" xfId="75" applyFont="1" applyBorder="1" applyAlignment="1">
      <alignment horizontal="left" vertical="center"/>
    </xf>
    <xf numFmtId="0" fontId="42" fillId="0" borderId="0" xfId="67" applyFont="1" applyAlignment="1">
      <alignment vertical="center"/>
    </xf>
    <xf numFmtId="0" fontId="42" fillId="0" borderId="0" xfId="67" applyFont="1"/>
    <xf numFmtId="0" fontId="42" fillId="0" borderId="0" xfId="55" applyFont="1"/>
    <xf numFmtId="0" fontId="42" fillId="0" borderId="0" xfId="55" applyFont="1" applyAlignment="1">
      <alignment wrapText="1"/>
    </xf>
    <xf numFmtId="0" fontId="42" fillId="0" borderId="0" xfId="67" applyFont="1" applyAlignment="1">
      <alignment wrapText="1"/>
    </xf>
    <xf numFmtId="0" fontId="49" fillId="0" borderId="14" xfId="54" applyFont="1" applyBorder="1" applyAlignment="1" applyProtection="1">
      <alignment horizontal="left"/>
      <protection hidden="1"/>
    </xf>
    <xf numFmtId="0" fontId="49" fillId="0" borderId="15" xfId="54" applyFont="1" applyBorder="1" applyAlignment="1" applyProtection="1">
      <alignment horizontal="left"/>
      <protection hidden="1"/>
    </xf>
    <xf numFmtId="0" fontId="49" fillId="0" borderId="5" xfId="54" applyFont="1" applyBorder="1" applyAlignment="1" applyProtection="1">
      <alignment horizontal="left"/>
      <protection hidden="1"/>
    </xf>
    <xf numFmtId="0" fontId="49" fillId="0" borderId="5" xfId="54" applyFont="1" applyBorder="1" applyAlignment="1" applyProtection="1">
      <alignment horizontal="center" wrapText="1"/>
      <protection hidden="1"/>
    </xf>
    <xf numFmtId="0" fontId="49" fillId="0" borderId="5" xfId="67" applyFont="1" applyBorder="1" applyAlignment="1">
      <alignment horizontal="center" wrapText="1"/>
    </xf>
    <xf numFmtId="0" fontId="42" fillId="0" borderId="5" xfId="55" applyFont="1" applyBorder="1"/>
    <xf numFmtId="0" fontId="42" fillId="0" borderId="21" xfId="55" applyFont="1" applyBorder="1"/>
    <xf numFmtId="167" fontId="43" fillId="0" borderId="29" xfId="81" applyFont="1" applyFill="1" applyBorder="1" applyAlignment="1" applyProtection="1">
      <protection locked="0"/>
    </xf>
    <xf numFmtId="0" fontId="42" fillId="0" borderId="24" xfId="55" applyFont="1" applyBorder="1"/>
    <xf numFmtId="167" fontId="43" fillId="0" borderId="26" xfId="81" applyFont="1" applyFill="1" applyBorder="1" applyAlignment="1" applyProtection="1">
      <protection locked="0"/>
    </xf>
    <xf numFmtId="0" fontId="43" fillId="0" borderId="5" xfId="54" applyFont="1" applyBorder="1" applyAlignment="1" applyProtection="1">
      <alignment horizontal="left"/>
      <protection hidden="1"/>
    </xf>
    <xf numFmtId="0" fontId="49" fillId="0" borderId="0" xfId="67" applyFont="1"/>
    <xf numFmtId="0" fontId="42" fillId="0" borderId="20" xfId="55" applyFont="1" applyBorder="1"/>
    <xf numFmtId="167" fontId="43" fillId="0" borderId="27" xfId="81" applyFont="1" applyFill="1" applyBorder="1" applyAlignment="1" applyProtection="1">
      <protection locked="0"/>
    </xf>
    <xf numFmtId="177" fontId="42" fillId="27" borderId="0" xfId="55" applyNumberFormat="1" applyFont="1" applyFill="1" applyAlignment="1">
      <alignment wrapText="1"/>
    </xf>
    <xf numFmtId="49" fontId="40" fillId="28" borderId="14" xfId="54" applyNumberFormat="1" applyFont="1" applyFill="1" applyBorder="1" applyAlignment="1" applyProtection="1">
      <alignment vertical="top" wrapText="1"/>
      <protection hidden="1"/>
    </xf>
    <xf numFmtId="49" fontId="40" fillId="28" borderId="15" xfId="54" applyNumberFormat="1" applyFont="1" applyFill="1" applyBorder="1" applyAlignment="1" applyProtection="1">
      <alignment vertical="top" wrapText="1"/>
      <protection hidden="1"/>
    </xf>
    <xf numFmtId="49" fontId="40" fillId="28" borderId="16" xfId="54" applyNumberFormat="1" applyFont="1" applyFill="1" applyBorder="1" applyAlignment="1" applyProtection="1">
      <alignment vertical="top" wrapText="1"/>
      <protection hidden="1"/>
    </xf>
    <xf numFmtId="0" fontId="44" fillId="0" borderId="0" xfId="54" applyFont="1" applyAlignment="1" applyProtection="1">
      <alignment horizontal="left" wrapText="1"/>
      <protection hidden="1"/>
    </xf>
    <xf numFmtId="0" fontId="41" fillId="0" borderId="0" xfId="67" applyFont="1" applyAlignment="1">
      <alignment wrapText="1"/>
    </xf>
    <xf numFmtId="0" fontId="44" fillId="0" borderId="14" xfId="54" applyFont="1" applyBorder="1" applyAlignment="1" applyProtection="1">
      <alignment horizontal="left"/>
      <protection hidden="1"/>
    </xf>
    <xf numFmtId="0" fontId="44" fillId="0" borderId="15" xfId="54" applyFont="1" applyBorder="1" applyAlignment="1" applyProtection="1">
      <alignment horizontal="left"/>
      <protection hidden="1"/>
    </xf>
    <xf numFmtId="0" fontId="43" fillId="0" borderId="5" xfId="54" applyFont="1" applyBorder="1" applyProtection="1">
      <protection hidden="1"/>
    </xf>
    <xf numFmtId="0" fontId="43" fillId="0" borderId="21" xfId="54" applyFont="1" applyBorder="1" applyProtection="1">
      <protection hidden="1"/>
    </xf>
    <xf numFmtId="0" fontId="43" fillId="0" borderId="24" xfId="54" applyFont="1" applyBorder="1" applyProtection="1">
      <protection hidden="1"/>
    </xf>
    <xf numFmtId="0" fontId="43" fillId="0" borderId="20" xfId="54" applyFont="1" applyBorder="1" applyProtection="1">
      <protection hidden="1"/>
    </xf>
    <xf numFmtId="0" fontId="43" fillId="0" borderId="0" xfId="54" applyFont="1" applyProtection="1">
      <protection hidden="1"/>
    </xf>
    <xf numFmtId="0" fontId="43" fillId="0" borderId="0" xfId="54" applyFont="1" applyAlignment="1" applyProtection="1">
      <alignment horizontal="left" wrapText="1"/>
      <protection hidden="1"/>
    </xf>
    <xf numFmtId="0" fontId="43" fillId="0" borderId="0" xfId="54" applyFont="1" applyAlignment="1" applyProtection="1">
      <alignment horizontal="center" wrapText="1"/>
      <protection hidden="1"/>
    </xf>
    <xf numFmtId="0" fontId="43" fillId="0" borderId="22" xfId="54" applyFont="1" applyBorder="1" applyProtection="1">
      <protection hidden="1"/>
    </xf>
    <xf numFmtId="0" fontId="43" fillId="0" borderId="23" xfId="54" applyFont="1" applyBorder="1" applyProtection="1">
      <protection hidden="1"/>
    </xf>
    <xf numFmtId="0" fontId="44" fillId="0" borderId="0" xfId="54" applyFont="1" applyAlignment="1" applyProtection="1">
      <alignment horizontal="left" vertical="center"/>
      <protection hidden="1"/>
    </xf>
    <xf numFmtId="0" fontId="42" fillId="0" borderId="5" xfId="67" applyFont="1" applyBorder="1"/>
    <xf numFmtId="9" fontId="42" fillId="0" borderId="0" xfId="62" applyFont="1"/>
    <xf numFmtId="0" fontId="42" fillId="0" borderId="5" xfId="67" applyFont="1" applyBorder="1" applyAlignment="1">
      <alignment wrapText="1"/>
    </xf>
    <xf numFmtId="167" fontId="42" fillId="0" borderId="0" xfId="81" applyFont="1" applyFill="1" applyBorder="1" applyAlignment="1" applyProtection="1">
      <protection hidden="1"/>
    </xf>
    <xf numFmtId="49" fontId="40" fillId="28" borderId="0" xfId="54" applyNumberFormat="1" applyFont="1" applyFill="1" applyAlignment="1" applyProtection="1">
      <alignment horizontal="left" vertical="center" wrapText="1"/>
      <protection hidden="1"/>
    </xf>
    <xf numFmtId="49" fontId="40" fillId="28" borderId="0" xfId="54" applyNumberFormat="1" applyFont="1" applyFill="1" applyAlignment="1" applyProtection="1">
      <alignment vertical="center" wrapText="1"/>
      <protection hidden="1"/>
    </xf>
    <xf numFmtId="187" fontId="40" fillId="28" borderId="0" xfId="54" applyNumberFormat="1" applyFont="1" applyFill="1" applyAlignment="1" applyProtection="1">
      <alignment horizontal="left" vertical="center" wrapText="1"/>
      <protection hidden="1"/>
    </xf>
    <xf numFmtId="49" fontId="52" fillId="30" borderId="0" xfId="54" applyNumberFormat="1" applyFont="1" applyFill="1" applyAlignment="1" applyProtection="1">
      <alignment horizontal="left" vertical="center" wrapText="1"/>
      <protection hidden="1"/>
    </xf>
    <xf numFmtId="192" fontId="40" fillId="28" borderId="0" xfId="38" applyNumberFormat="1" applyFont="1" applyFill="1" applyBorder="1" applyAlignment="1" applyProtection="1">
      <alignment horizontal="left" vertical="center" wrapText="1"/>
      <protection hidden="1"/>
    </xf>
    <xf numFmtId="49" fontId="52" fillId="33" borderId="0" xfId="54" applyNumberFormat="1" applyFont="1" applyFill="1" applyAlignment="1" applyProtection="1">
      <alignment horizontal="left" vertical="center" wrapText="1"/>
      <protection hidden="1"/>
    </xf>
    <xf numFmtId="49" fontId="52" fillId="36" borderId="0" xfId="54" applyNumberFormat="1" applyFont="1" applyFill="1" applyAlignment="1" applyProtection="1">
      <alignment horizontal="left" vertical="center" wrapText="1"/>
      <protection hidden="1"/>
    </xf>
    <xf numFmtId="49" fontId="52" fillId="32" borderId="0" xfId="54" applyNumberFormat="1" applyFont="1" applyFill="1" applyAlignment="1" applyProtection="1">
      <alignment horizontal="left" vertical="center" wrapText="1"/>
      <protection hidden="1"/>
    </xf>
    <xf numFmtId="187" fontId="42" fillId="0" borderId="0" xfId="0" applyNumberFormat="1" applyFont="1" applyAlignment="1">
      <alignment horizontal="right"/>
    </xf>
    <xf numFmtId="192" fontId="42" fillId="0" borderId="0" xfId="38" applyNumberFormat="1" applyFont="1" applyBorder="1" applyAlignment="1">
      <alignment horizontal="right"/>
    </xf>
    <xf numFmtId="49" fontId="54" fillId="38" borderId="28" xfId="0" applyNumberFormat="1" applyFont="1" applyFill="1" applyBorder="1" applyAlignment="1">
      <alignment horizontal="center" vertical="center" wrapText="1"/>
    </xf>
    <xf numFmtId="49" fontId="54" fillId="38" borderId="5" xfId="0" applyNumberFormat="1" applyFont="1" applyFill="1" applyBorder="1" applyAlignment="1">
      <alignment horizontal="center" vertical="center" wrapText="1"/>
    </xf>
    <xf numFmtId="168" fontId="36" fillId="0" borderId="34" xfId="0" applyNumberFormat="1" applyFont="1" applyBorder="1" applyAlignment="1">
      <alignment horizontal="center" vertical="center"/>
    </xf>
    <xf numFmtId="173" fontId="55" fillId="41" borderId="22" xfId="0" applyNumberFormat="1" applyFont="1" applyFill="1" applyBorder="1" applyAlignment="1">
      <alignment vertical="center"/>
    </xf>
    <xf numFmtId="167" fontId="55" fillId="41" borderId="18" xfId="0" applyNumberFormat="1" applyFont="1" applyFill="1" applyBorder="1" applyAlignment="1">
      <alignment vertical="center"/>
    </xf>
    <xf numFmtId="183" fontId="56" fillId="0" borderId="18" xfId="0" applyNumberFormat="1" applyFont="1" applyBorder="1" applyAlignment="1">
      <alignment horizontal="center" vertical="center"/>
    </xf>
    <xf numFmtId="168" fontId="55" fillId="0" borderId="18" xfId="0" applyNumberFormat="1" applyFont="1" applyBorder="1" applyAlignment="1">
      <alignment horizontal="center" vertical="center"/>
    </xf>
    <xf numFmtId="0" fontId="36" fillId="41" borderId="0" xfId="0" applyFont="1" applyFill="1"/>
    <xf numFmtId="0" fontId="36" fillId="41" borderId="0" xfId="0" applyFont="1" applyFill="1" applyAlignment="1">
      <alignment horizontal="center"/>
    </xf>
    <xf numFmtId="173" fontId="36" fillId="37" borderId="14" xfId="0" applyNumberFormat="1" applyFont="1" applyFill="1" applyBorder="1" applyAlignment="1">
      <alignment vertical="center"/>
    </xf>
    <xf numFmtId="173" fontId="36" fillId="37" borderId="55" xfId="0" applyNumberFormat="1" applyFont="1" applyFill="1" applyBorder="1" applyAlignment="1">
      <alignment vertical="center"/>
    </xf>
    <xf numFmtId="0" fontId="36" fillId="37" borderId="19" xfId="0" applyFont="1" applyFill="1" applyBorder="1"/>
    <xf numFmtId="14" fontId="36" fillId="37" borderId="17" xfId="0" applyNumberFormat="1" applyFont="1" applyFill="1" applyBorder="1" applyAlignment="1">
      <alignment horizontal="center"/>
    </xf>
    <xf numFmtId="0" fontId="36" fillId="37" borderId="31" xfId="0" applyFont="1" applyFill="1" applyBorder="1" applyAlignment="1">
      <alignment horizontal="center"/>
    </xf>
    <xf numFmtId="0" fontId="36" fillId="37" borderId="30" xfId="0" applyFont="1" applyFill="1" applyBorder="1"/>
    <xf numFmtId="0" fontId="36" fillId="37" borderId="0" xfId="0" applyFont="1" applyFill="1" applyAlignment="1">
      <alignment horizontal="center"/>
    </xf>
    <xf numFmtId="14" fontId="36" fillId="37" borderId="13" xfId="0" applyNumberFormat="1" applyFont="1" applyFill="1" applyBorder="1" applyAlignment="1">
      <alignment horizontal="center"/>
    </xf>
    <xf numFmtId="0" fontId="36" fillId="37" borderId="22" xfId="0" applyFont="1" applyFill="1" applyBorder="1"/>
    <xf numFmtId="0" fontId="36" fillId="37" borderId="23" xfId="0" applyFont="1" applyFill="1" applyBorder="1" applyAlignment="1">
      <alignment horizontal="center"/>
    </xf>
    <xf numFmtId="14" fontId="36" fillId="37" borderId="18" xfId="0" applyNumberFormat="1" applyFont="1" applyFill="1" applyBorder="1" applyAlignment="1">
      <alignment horizontal="center"/>
    </xf>
    <xf numFmtId="0" fontId="36" fillId="37" borderId="13" xfId="0" applyFont="1" applyFill="1" applyBorder="1" applyAlignment="1">
      <alignment horizontal="center"/>
    </xf>
    <xf numFmtId="0" fontId="36" fillId="37" borderId="17" xfId="0" applyFont="1" applyFill="1" applyBorder="1" applyAlignment="1">
      <alignment horizontal="center"/>
    </xf>
    <xf numFmtId="0" fontId="36" fillId="37" borderId="18" xfId="0" applyFont="1" applyFill="1" applyBorder="1" applyAlignment="1">
      <alignment horizontal="center"/>
    </xf>
    <xf numFmtId="0" fontId="36" fillId="37" borderId="31" xfId="0" applyFont="1" applyFill="1" applyBorder="1" applyAlignment="1">
      <alignment horizontal="left"/>
    </xf>
    <xf numFmtId="0" fontId="36" fillId="37" borderId="30" xfId="0" applyFont="1" applyFill="1" applyBorder="1" applyAlignment="1">
      <alignment horizontal="left"/>
    </xf>
    <xf numFmtId="0" fontId="36" fillId="37" borderId="22" xfId="0" applyFont="1" applyFill="1" applyBorder="1" applyAlignment="1">
      <alignment horizontal="left"/>
    </xf>
    <xf numFmtId="0" fontId="36" fillId="37" borderId="19" xfId="0" applyFont="1" applyFill="1" applyBorder="1" applyAlignment="1">
      <alignment horizontal="left"/>
    </xf>
    <xf numFmtId="14" fontId="36" fillId="37" borderId="17" xfId="0" applyNumberFormat="1" applyFont="1" applyFill="1" applyBorder="1" applyAlignment="1">
      <alignment horizontal="right"/>
    </xf>
    <xf numFmtId="0" fontId="36" fillId="41" borderId="0" xfId="0" applyFont="1" applyFill="1" applyAlignment="1">
      <alignment horizontal="left"/>
    </xf>
    <xf numFmtId="167" fontId="42" fillId="0" borderId="0" xfId="81" applyFont="1" applyFill="1"/>
    <xf numFmtId="43" fontId="42" fillId="0" borderId="0" xfId="0" applyNumberFormat="1" applyFont="1"/>
    <xf numFmtId="0" fontId="37" fillId="0" borderId="19" xfId="0" applyFont="1" applyBorder="1"/>
    <xf numFmtId="0" fontId="0" fillId="0" borderId="31" xfId="0" applyBorder="1"/>
    <xf numFmtId="0" fontId="0" fillId="0" borderId="17" xfId="0" applyBorder="1"/>
    <xf numFmtId="183" fontId="57" fillId="0" borderId="18" xfId="0" applyNumberFormat="1" applyFont="1" applyBorder="1" applyAlignment="1">
      <alignment horizontal="center" vertical="center"/>
    </xf>
    <xf numFmtId="2" fontId="44" fillId="0" borderId="0" xfId="57" applyNumberFormat="1" applyFont="1" applyAlignment="1" applyProtection="1">
      <alignment horizontal="center" wrapText="1"/>
      <protection hidden="1"/>
    </xf>
    <xf numFmtId="0" fontId="42" fillId="0" borderId="0" xfId="0" applyFont="1" applyAlignment="1">
      <alignment horizontal="center" wrapText="1"/>
    </xf>
    <xf numFmtId="170" fontId="58" fillId="0" borderId="0" xfId="28" applyFont="1" applyAlignment="1" applyProtection="1">
      <alignment horizontal="center" wrapText="1"/>
      <protection hidden="1"/>
    </xf>
    <xf numFmtId="2" fontId="42" fillId="0" borderId="14" xfId="57" applyNumberFormat="1" applyFont="1" applyBorder="1" applyProtection="1">
      <protection hidden="1"/>
    </xf>
    <xf numFmtId="2" fontId="44" fillId="0" borderId="15" xfId="28" applyNumberFormat="1" applyFont="1" applyBorder="1" applyAlignment="1" applyProtection="1">
      <alignment horizontal="center" vertical="center"/>
      <protection hidden="1"/>
    </xf>
    <xf numFmtId="2" fontId="44" fillId="0" borderId="16" xfId="28" applyNumberFormat="1" applyFont="1" applyBorder="1" applyAlignment="1" applyProtection="1">
      <alignment horizontal="right" vertical="center"/>
      <protection hidden="1"/>
    </xf>
    <xf numFmtId="2" fontId="44" fillId="0" borderId="0" xfId="57" applyNumberFormat="1" applyFont="1" applyAlignment="1" applyProtection="1">
      <alignment horizontal="center"/>
      <protection hidden="1"/>
    </xf>
    <xf numFmtId="2" fontId="43" fillId="0" borderId="5" xfId="28" applyNumberFormat="1" applyFont="1" applyBorder="1" applyProtection="1">
      <protection hidden="1"/>
    </xf>
    <xf numFmtId="170" fontId="43" fillId="0" borderId="5" xfId="28" applyFont="1" applyBorder="1" applyProtection="1">
      <protection hidden="1"/>
    </xf>
    <xf numFmtId="170" fontId="58" fillId="0" borderId="0" xfId="28" applyFont="1" applyAlignment="1" applyProtection="1">
      <alignment horizontal="center"/>
      <protection hidden="1"/>
    </xf>
    <xf numFmtId="2" fontId="58" fillId="0" borderId="15" xfId="28" applyNumberFormat="1" applyFont="1" applyBorder="1" applyAlignment="1" applyProtection="1">
      <alignment horizontal="center" vertical="center"/>
      <protection hidden="1"/>
    </xf>
    <xf numFmtId="2" fontId="58" fillId="0" borderId="16" xfId="28" applyNumberFormat="1" applyFont="1" applyFill="1" applyBorder="1" applyAlignment="1" applyProtection="1">
      <alignment horizontal="right" vertical="center"/>
      <protection hidden="1"/>
    </xf>
    <xf numFmtId="2" fontId="43" fillId="0" borderId="15" xfId="57" applyNumberFormat="1" applyFont="1" applyBorder="1" applyProtection="1">
      <protection hidden="1"/>
    </xf>
    <xf numFmtId="10" fontId="59" fillId="0" borderId="16" xfId="62" applyNumberFormat="1" applyFont="1" applyFill="1" applyBorder="1" applyAlignment="1" applyProtection="1">
      <alignment horizontal="right"/>
      <protection hidden="1"/>
    </xf>
    <xf numFmtId="167" fontId="43" fillId="0" borderId="5" xfId="81" applyFont="1" applyFill="1" applyBorder="1" applyAlignment="1" applyProtection="1">
      <protection locked="0"/>
    </xf>
    <xf numFmtId="174" fontId="49" fillId="0" borderId="13" xfId="0" applyNumberFormat="1" applyFont="1" applyBorder="1" applyAlignment="1">
      <alignment horizontal="center" vertical="center"/>
    </xf>
    <xf numFmtId="170" fontId="58" fillId="0" borderId="0" xfId="28" applyFont="1" applyFill="1" applyBorder="1" applyAlignment="1" applyProtection="1">
      <alignment horizontal="center"/>
      <protection hidden="1"/>
    </xf>
    <xf numFmtId="0" fontId="42" fillId="0" borderId="14" xfId="57" applyFont="1" applyBorder="1" applyProtection="1">
      <protection hidden="1"/>
    </xf>
    <xf numFmtId="0" fontId="43" fillId="0" borderId="15" xfId="57" applyFont="1" applyBorder="1" applyProtection="1">
      <protection hidden="1"/>
    </xf>
    <xf numFmtId="0" fontId="43" fillId="0" borderId="16" xfId="57" applyFont="1" applyBorder="1" applyAlignment="1" applyProtection="1">
      <alignment horizontal="right"/>
      <protection hidden="1"/>
    </xf>
    <xf numFmtId="170" fontId="43" fillId="0" borderId="5" xfId="28" applyFont="1" applyFill="1" applyBorder="1" applyAlignment="1" applyProtection="1">
      <alignment vertical="center"/>
      <protection locked="0"/>
    </xf>
    <xf numFmtId="0" fontId="41" fillId="0" borderId="14" xfId="57" applyFont="1" applyBorder="1" applyProtection="1">
      <protection hidden="1"/>
    </xf>
    <xf numFmtId="177" fontId="41" fillId="0" borderId="5" xfId="28" applyNumberFormat="1" applyFont="1" applyFill="1" applyBorder="1" applyAlignment="1" applyProtection="1">
      <alignment vertical="center"/>
      <protection hidden="1"/>
    </xf>
    <xf numFmtId="0" fontId="59" fillId="0" borderId="15" xfId="57" applyFont="1" applyBorder="1" applyAlignment="1" applyProtection="1">
      <alignment horizontal="right"/>
      <protection hidden="1"/>
    </xf>
    <xf numFmtId="0" fontId="59" fillId="0" borderId="16" xfId="57" applyFont="1" applyBorder="1" applyAlignment="1" applyProtection="1">
      <alignment horizontal="right"/>
      <protection hidden="1"/>
    </xf>
    <xf numFmtId="170" fontId="43" fillId="0" borderId="5" xfId="28" applyFont="1" applyFill="1" applyBorder="1" applyAlignment="1" applyProtection="1">
      <alignment vertical="center"/>
      <protection hidden="1"/>
    </xf>
    <xf numFmtId="0" fontId="43" fillId="0" borderId="14" xfId="57" applyFont="1" applyBorder="1" applyProtection="1">
      <protection hidden="1"/>
    </xf>
    <xf numFmtId="10" fontId="59" fillId="0" borderId="15" xfId="57" applyNumberFormat="1" applyFont="1" applyBorder="1" applyAlignment="1" applyProtection="1">
      <alignment horizontal="right"/>
      <protection hidden="1"/>
    </xf>
    <xf numFmtId="9" fontId="43" fillId="0" borderId="5" xfId="62" applyFont="1" applyFill="1" applyBorder="1" applyAlignment="1">
      <alignment vertical="center"/>
    </xf>
    <xf numFmtId="167" fontId="43" fillId="0" borderId="5" xfId="81" applyFont="1" applyFill="1" applyBorder="1" applyAlignment="1" applyProtection="1">
      <alignment vertical="center"/>
      <protection locked="0"/>
    </xf>
    <xf numFmtId="167" fontId="49" fillId="0" borderId="13" xfId="81" applyFont="1" applyFill="1" applyBorder="1" applyAlignment="1">
      <alignment horizontal="center" vertical="center"/>
    </xf>
    <xf numFmtId="167" fontId="58" fillId="0" borderId="0" xfId="81" applyFont="1" applyFill="1" applyBorder="1" applyAlignment="1" applyProtection="1">
      <alignment horizontal="center"/>
      <protection hidden="1"/>
    </xf>
    <xf numFmtId="167" fontId="44" fillId="0" borderId="0" xfId="81" applyFont="1" applyFill="1" applyBorder="1" applyAlignment="1" applyProtection="1">
      <alignment horizontal="center"/>
      <protection hidden="1"/>
    </xf>
    <xf numFmtId="0" fontId="43" fillId="0" borderId="15" xfId="57" applyFont="1" applyBorder="1" applyAlignment="1" applyProtection="1">
      <alignment horizontal="center"/>
      <protection hidden="1"/>
    </xf>
    <xf numFmtId="174" fontId="60" fillId="0" borderId="5" xfId="62" applyNumberFormat="1" applyFont="1" applyFill="1" applyBorder="1" applyAlignment="1" applyProtection="1">
      <alignment horizontal="center"/>
      <protection hidden="1"/>
    </xf>
    <xf numFmtId="2" fontId="47" fillId="0" borderId="0" xfId="57" applyNumberFormat="1" applyFont="1" applyAlignment="1" applyProtection="1">
      <alignment horizontal="center"/>
      <protection hidden="1"/>
    </xf>
    <xf numFmtId="167" fontId="59" fillId="0" borderId="13" xfId="81" applyFont="1" applyFill="1" applyBorder="1" applyAlignment="1">
      <alignment horizontal="center" vertical="center"/>
    </xf>
    <xf numFmtId="167" fontId="59" fillId="0" borderId="0" xfId="81" applyFont="1" applyFill="1"/>
    <xf numFmtId="167" fontId="47" fillId="0" borderId="0" xfId="81" applyFont="1" applyFill="1" applyBorder="1" applyAlignment="1" applyProtection="1">
      <alignment horizontal="center"/>
      <protection hidden="1"/>
    </xf>
    <xf numFmtId="0" fontId="59" fillId="0" borderId="0" xfId="0" applyFont="1"/>
    <xf numFmtId="2" fontId="43" fillId="0" borderId="5" xfId="28" applyNumberFormat="1" applyFont="1" applyFill="1" applyBorder="1" applyAlignment="1" applyProtection="1">
      <alignment vertical="center"/>
      <protection hidden="1"/>
    </xf>
    <xf numFmtId="167" fontId="43" fillId="0" borderId="5" xfId="81" applyFont="1" applyFill="1" applyBorder="1" applyAlignment="1" applyProtection="1">
      <alignment vertical="center"/>
      <protection hidden="1"/>
    </xf>
    <xf numFmtId="167" fontId="42" fillId="0" borderId="13" xfId="81" applyFont="1" applyFill="1" applyBorder="1" applyAlignment="1">
      <alignment horizontal="center" vertical="center"/>
    </xf>
    <xf numFmtId="170" fontId="43" fillId="0" borderId="15" xfId="57" applyNumberFormat="1" applyFont="1" applyBorder="1" applyAlignment="1" applyProtection="1">
      <alignment horizontal="center"/>
      <protection hidden="1"/>
    </xf>
    <xf numFmtId="167" fontId="43" fillId="0" borderId="5" xfId="81" applyFont="1" applyFill="1" applyBorder="1" applyAlignment="1">
      <alignment vertical="center"/>
    </xf>
    <xf numFmtId="43" fontId="43" fillId="0" borderId="15" xfId="57" applyNumberFormat="1" applyFont="1" applyBorder="1" applyAlignment="1" applyProtection="1">
      <alignment horizontal="center"/>
      <protection hidden="1"/>
    </xf>
    <xf numFmtId="174" fontId="42" fillId="0" borderId="13" xfId="0" applyNumberFormat="1" applyFont="1" applyBorder="1"/>
    <xf numFmtId="177" fontId="41" fillId="0" borderId="20" xfId="30" applyNumberFormat="1" applyFont="1" applyFill="1" applyBorder="1" applyAlignment="1" applyProtection="1">
      <alignment vertical="center"/>
      <protection hidden="1"/>
    </xf>
    <xf numFmtId="174" fontId="41" fillId="0" borderId="18" xfId="0" applyNumberFormat="1" applyFont="1" applyBorder="1" applyAlignment="1">
      <alignment horizontal="center" vertical="center"/>
    </xf>
    <xf numFmtId="174" fontId="41" fillId="27" borderId="18" xfId="0" applyNumberFormat="1" applyFont="1" applyFill="1" applyBorder="1" applyAlignment="1">
      <alignment horizontal="center" vertical="center"/>
    </xf>
    <xf numFmtId="174" fontId="49" fillId="0" borderId="18" xfId="0" applyNumberFormat="1" applyFont="1" applyBorder="1" applyAlignment="1">
      <alignment horizontal="center" vertical="center"/>
    </xf>
    <xf numFmtId="170" fontId="41" fillId="0" borderId="0" xfId="28" applyFont="1" applyAlignment="1" applyProtection="1">
      <alignment horizontal="center"/>
      <protection hidden="1"/>
    </xf>
    <xf numFmtId="174" fontId="42" fillId="0" borderId="0" xfId="0" applyNumberFormat="1" applyFont="1"/>
    <xf numFmtId="170" fontId="41" fillId="0" borderId="0" xfId="28" applyFont="1" applyFill="1" applyBorder="1" applyAlignment="1" applyProtection="1">
      <alignment horizontal="center"/>
      <protection hidden="1"/>
    </xf>
    <xf numFmtId="174" fontId="59" fillId="0" borderId="0" xfId="0" applyNumberFormat="1" applyFont="1"/>
    <xf numFmtId="0" fontId="59" fillId="0" borderId="0" xfId="0" applyFont="1" applyAlignment="1">
      <alignment horizontal="right"/>
    </xf>
    <xf numFmtId="2" fontId="42" fillId="0" borderId="29" xfId="0" applyNumberFormat="1" applyFont="1" applyBorder="1"/>
    <xf numFmtId="0" fontId="42" fillId="0" borderId="29" xfId="0" applyFont="1" applyBorder="1" applyAlignment="1">
      <alignment horizontal="right"/>
    </xf>
    <xf numFmtId="187" fontId="42" fillId="0" borderId="29" xfId="0" applyNumberFormat="1" applyFont="1" applyBorder="1" applyAlignment="1">
      <alignment horizontal="right"/>
    </xf>
    <xf numFmtId="2" fontId="42" fillId="0" borderId="29" xfId="0" applyNumberFormat="1" applyFont="1" applyBorder="1" applyAlignment="1">
      <alignment horizontal="right"/>
    </xf>
    <xf numFmtId="49" fontId="10" fillId="28" borderId="21" xfId="54" applyNumberFormat="1" applyFont="1" applyFill="1" applyBorder="1" applyAlignment="1" applyProtection="1">
      <alignment vertical="center" wrapText="1"/>
      <protection hidden="1"/>
    </xf>
    <xf numFmtId="0" fontId="62" fillId="0" borderId="0" xfId="0" applyFont="1" applyAlignment="1">
      <alignment vertical="center"/>
    </xf>
    <xf numFmtId="0" fontId="62" fillId="0" borderId="0" xfId="0" applyFont="1"/>
    <xf numFmtId="167" fontId="0" fillId="0" borderId="0" xfId="81" applyFont="1"/>
    <xf numFmtId="165" fontId="0" fillId="0" borderId="0" xfId="0" applyNumberFormat="1"/>
    <xf numFmtId="168" fontId="62" fillId="0" borderId="0" xfId="38" applyFont="1"/>
    <xf numFmtId="9" fontId="42" fillId="0" borderId="0" xfId="75" applyNumberFormat="1" applyFont="1"/>
    <xf numFmtId="168" fontId="43" fillId="0" borderId="26" xfId="38" applyFont="1" applyBorder="1"/>
    <xf numFmtId="49" fontId="61" fillId="28" borderId="21" xfId="54" applyNumberFormat="1" applyFont="1" applyFill="1" applyBorder="1" applyAlignment="1" applyProtection="1">
      <alignment horizontal="left" vertical="center"/>
      <protection hidden="1"/>
    </xf>
    <xf numFmtId="49" fontId="61" fillId="28" borderId="21" xfId="54" applyNumberFormat="1" applyFont="1" applyFill="1" applyBorder="1" applyAlignment="1" applyProtection="1">
      <alignment horizontal="right" vertical="center" wrapText="1"/>
      <protection hidden="1"/>
    </xf>
    <xf numFmtId="49" fontId="61" fillId="31" borderId="21" xfId="54" applyNumberFormat="1" applyFont="1" applyFill="1" applyBorder="1" applyAlignment="1" applyProtection="1">
      <alignment horizontal="right" vertical="center" wrapText="1"/>
      <protection hidden="1"/>
    </xf>
    <xf numFmtId="168" fontId="61" fillId="28" borderId="21" xfId="38" applyFont="1" applyFill="1" applyBorder="1" applyAlignment="1" applyProtection="1">
      <alignment horizontal="right" vertical="center" wrapText="1"/>
      <protection hidden="1"/>
    </xf>
    <xf numFmtId="167" fontId="61" fillId="28" borderId="21" xfId="81" applyFont="1" applyFill="1" applyBorder="1" applyAlignment="1" applyProtection="1">
      <alignment horizontal="right" vertical="center" wrapText="1"/>
      <protection hidden="1"/>
    </xf>
    <xf numFmtId="167" fontId="62" fillId="0" borderId="0" xfId="81" applyFont="1"/>
    <xf numFmtId="1" fontId="34" fillId="0" borderId="5" xfId="72" applyNumberFormat="1" applyBorder="1"/>
    <xf numFmtId="49" fontId="40" fillId="28" borderId="21" xfId="54" applyNumberFormat="1" applyFont="1" applyFill="1" applyBorder="1" applyAlignment="1" applyProtection="1">
      <alignment horizontal="left" vertical="center"/>
      <protection hidden="1"/>
    </xf>
    <xf numFmtId="0" fontId="62" fillId="0" borderId="0" xfId="0" applyFont="1" applyAlignment="1">
      <alignment horizontal="left" vertical="center"/>
    </xf>
    <xf numFmtId="185" fontId="42" fillId="0" borderId="29" xfId="38" applyNumberFormat="1" applyFont="1" applyBorder="1" applyAlignment="1">
      <alignment horizontal="right"/>
    </xf>
    <xf numFmtId="0" fontId="64" fillId="0" borderId="5" xfId="0" applyFont="1" applyBorder="1"/>
    <xf numFmtId="49" fontId="61" fillId="28" borderId="21" xfId="54" applyNumberFormat="1" applyFont="1" applyFill="1" applyBorder="1" applyAlignment="1" applyProtection="1">
      <alignment horizontal="center" vertical="center"/>
      <protection hidden="1"/>
    </xf>
    <xf numFmtId="0" fontId="62" fillId="0" borderId="0" xfId="0" applyFont="1" applyAlignment="1">
      <alignment horizontal="center"/>
    </xf>
    <xf numFmtId="0" fontId="65" fillId="0" borderId="14" xfId="57" applyFont="1" applyBorder="1" applyAlignment="1" applyProtection="1">
      <alignment wrapText="1"/>
      <protection hidden="1"/>
    </xf>
    <xf numFmtId="170" fontId="41" fillId="0" borderId="15" xfId="57" applyNumberFormat="1" applyFont="1" applyBorder="1" applyAlignment="1" applyProtection="1">
      <alignment horizontal="left" vertical="center" wrapText="1"/>
      <protection hidden="1"/>
    </xf>
    <xf numFmtId="170" fontId="41" fillId="0" borderId="16" xfId="57" applyNumberFormat="1" applyFont="1" applyBorder="1" applyAlignment="1" applyProtection="1">
      <alignment horizontal="left" vertical="center" wrapText="1"/>
      <protection hidden="1"/>
    </xf>
    <xf numFmtId="186" fontId="64" fillId="0" borderId="0" xfId="0" applyNumberFormat="1" applyFont="1" applyAlignment="1">
      <alignment vertical="center"/>
    </xf>
    <xf numFmtId="9" fontId="66" fillId="0" borderId="26" xfId="62" applyFont="1" applyFill="1" applyBorder="1" applyAlignment="1" applyProtection="1">
      <protection locked="0"/>
    </xf>
    <xf numFmtId="9" fontId="66" fillId="0" borderId="27" xfId="62" applyFont="1" applyFill="1" applyBorder="1" applyAlignment="1" applyProtection="1">
      <protection locked="0"/>
    </xf>
    <xf numFmtId="177" fontId="65" fillId="0" borderId="5" xfId="30" applyNumberFormat="1" applyFont="1" applyFill="1" applyBorder="1" applyAlignment="1" applyProtection="1">
      <alignment vertical="center"/>
      <protection hidden="1"/>
    </xf>
    <xf numFmtId="177" fontId="65" fillId="0" borderId="5" xfId="30" applyNumberFormat="1" applyFont="1" applyBorder="1" applyAlignment="1" applyProtection="1">
      <alignment vertical="center"/>
      <protection hidden="1"/>
    </xf>
    <xf numFmtId="170" fontId="65" fillId="0" borderId="15" xfId="57" applyNumberFormat="1" applyFont="1" applyBorder="1" applyAlignment="1" applyProtection="1">
      <alignment horizontal="left" vertical="center" wrapText="1"/>
      <protection hidden="1"/>
    </xf>
    <xf numFmtId="170" fontId="65" fillId="0" borderId="16" xfId="57" applyNumberFormat="1" applyFont="1" applyBorder="1" applyAlignment="1" applyProtection="1">
      <alignment horizontal="left" vertical="center" wrapText="1"/>
      <protection hidden="1"/>
    </xf>
    <xf numFmtId="0" fontId="64" fillId="39" borderId="14" xfId="0" applyFont="1" applyFill="1" applyBorder="1" applyAlignment="1">
      <alignment vertical="center"/>
    </xf>
    <xf numFmtId="49" fontId="61" fillId="42" borderId="21" xfId="54" applyNumberFormat="1" applyFont="1" applyFill="1" applyBorder="1" applyAlignment="1" applyProtection="1">
      <alignment horizontal="left" vertical="center" wrapText="1"/>
      <protection hidden="1"/>
    </xf>
    <xf numFmtId="0" fontId="62" fillId="0" borderId="0" xfId="0" applyFont="1" applyAlignment="1">
      <alignment horizontal="left"/>
    </xf>
    <xf numFmtId="167" fontId="61" fillId="44" borderId="21" xfId="81" applyFont="1" applyFill="1" applyBorder="1" applyAlignment="1" applyProtection="1">
      <alignment horizontal="right" vertical="center" wrapText="1"/>
      <protection hidden="1"/>
    </xf>
    <xf numFmtId="49" fontId="61" fillId="30" borderId="21" xfId="54" applyNumberFormat="1" applyFont="1" applyFill="1" applyBorder="1" applyAlignment="1" applyProtection="1">
      <alignment horizontal="left" vertical="center" wrapText="1"/>
      <protection hidden="1"/>
    </xf>
    <xf numFmtId="168" fontId="61" fillId="33" borderId="21" xfId="38" applyFont="1" applyFill="1" applyBorder="1" applyAlignment="1" applyProtection="1">
      <alignment horizontal="left" vertical="center" wrapText="1"/>
      <protection hidden="1"/>
    </xf>
    <xf numFmtId="168" fontId="62" fillId="0" borderId="0" xfId="38" applyFont="1" applyAlignment="1">
      <alignment horizontal="left"/>
    </xf>
    <xf numFmtId="0" fontId="67" fillId="39" borderId="5" xfId="0" applyFont="1" applyFill="1" applyBorder="1" applyAlignment="1">
      <alignment horizontal="left" vertical="center" wrapText="1"/>
    </xf>
    <xf numFmtId="0" fontId="67" fillId="39" borderId="5" xfId="0" applyFont="1" applyFill="1" applyBorder="1" applyAlignment="1">
      <alignment vertical="center"/>
    </xf>
    <xf numFmtId="0" fontId="68" fillId="0" borderId="0" xfId="0" applyFont="1" applyAlignment="1">
      <alignment vertical="center"/>
    </xf>
    <xf numFmtId="0" fontId="68" fillId="37" borderId="29" xfId="0" applyFont="1" applyFill="1" applyBorder="1" applyAlignment="1">
      <alignment vertical="center"/>
    </xf>
    <xf numFmtId="0" fontId="68" fillId="37" borderId="26" xfId="0" applyFont="1" applyFill="1" applyBorder="1" applyAlignment="1">
      <alignment vertical="center"/>
    </xf>
    <xf numFmtId="0" fontId="67" fillId="34" borderId="14" xfId="0" applyFont="1" applyFill="1" applyBorder="1" applyAlignment="1">
      <alignment horizontal="left" vertical="center" wrapText="1"/>
    </xf>
    <xf numFmtId="0" fontId="67" fillId="34" borderId="15" xfId="0" applyFont="1" applyFill="1" applyBorder="1" applyAlignment="1">
      <alignment horizontal="left" vertical="center" wrapText="1"/>
    </xf>
    <xf numFmtId="0" fontId="67" fillId="34" borderId="15" xfId="0" applyFont="1" applyFill="1" applyBorder="1" applyAlignment="1">
      <alignment vertical="center"/>
    </xf>
    <xf numFmtId="0" fontId="67" fillId="34" borderId="16" xfId="0" applyFont="1" applyFill="1" applyBorder="1" applyAlignment="1">
      <alignment vertical="center"/>
    </xf>
    <xf numFmtId="167" fontId="68" fillId="0" borderId="29" xfId="81" applyFont="1" applyBorder="1" applyAlignment="1">
      <alignment vertical="center" wrapText="1"/>
    </xf>
    <xf numFmtId="167" fontId="68" fillId="0" borderId="26" xfId="81" applyFont="1" applyBorder="1" applyAlignment="1">
      <alignment vertical="center" wrapText="1"/>
    </xf>
    <xf numFmtId="167" fontId="68" fillId="0" borderId="27" xfId="81" applyFont="1" applyBorder="1" applyAlignment="1">
      <alignment vertical="center" wrapText="1"/>
    </xf>
    <xf numFmtId="0" fontId="68" fillId="0" borderId="26" xfId="0" applyFont="1" applyBorder="1" applyAlignment="1">
      <alignment vertical="center"/>
    </xf>
    <xf numFmtId="0" fontId="68" fillId="0" borderId="27" xfId="0" applyFont="1" applyBorder="1" applyAlignment="1">
      <alignment vertical="center"/>
    </xf>
    <xf numFmtId="0" fontId="68" fillId="0" borderId="5" xfId="0" applyFont="1" applyBorder="1" applyAlignment="1">
      <alignment horizontal="left" vertical="center"/>
    </xf>
    <xf numFmtId="167" fontId="68" fillId="0" borderId="5" xfId="81" applyFont="1" applyBorder="1" applyAlignment="1">
      <alignment vertical="center" wrapText="1"/>
    </xf>
    <xf numFmtId="0" fontId="68" fillId="0" borderId="25" xfId="0" applyFont="1" applyBorder="1" applyAlignment="1">
      <alignment vertical="center"/>
    </xf>
    <xf numFmtId="0" fontId="68" fillId="0" borderId="5" xfId="0" applyFont="1" applyBorder="1" applyAlignment="1">
      <alignment vertical="center"/>
    </xf>
    <xf numFmtId="0" fontId="68" fillId="0" borderId="18" xfId="0" applyFont="1" applyBorder="1" applyAlignment="1">
      <alignment vertical="center" wrapText="1"/>
    </xf>
    <xf numFmtId="0" fontId="68" fillId="0" borderId="29" xfId="0" applyFont="1" applyBorder="1" applyAlignment="1">
      <alignment vertical="center"/>
    </xf>
    <xf numFmtId="0" fontId="68" fillId="0" borderId="27" xfId="0" applyFont="1" applyBorder="1" applyAlignment="1">
      <alignment vertical="center" wrapText="1"/>
    </xf>
    <xf numFmtId="0" fontId="68" fillId="0" borderId="26" xfId="0" applyFont="1" applyBorder="1" applyAlignment="1">
      <alignment vertical="center" wrapText="1"/>
    </xf>
    <xf numFmtId="0" fontId="68" fillId="0" borderId="27" xfId="0" applyFont="1" applyBorder="1" applyAlignment="1">
      <alignment horizontal="left" vertical="center" wrapText="1"/>
    </xf>
    <xf numFmtId="0" fontId="68" fillId="0" borderId="30" xfId="0" applyFont="1" applyBorder="1" applyAlignment="1">
      <alignment vertical="center"/>
    </xf>
    <xf numFmtId="0" fontId="68" fillId="0" borderId="13" xfId="0" quotePrefix="1" applyFont="1" applyBorder="1" applyAlignment="1">
      <alignment vertical="center"/>
    </xf>
    <xf numFmtId="168" fontId="41" fillId="34" borderId="0" xfId="38" applyFont="1" applyFill="1" applyAlignment="1">
      <alignment vertical="center"/>
    </xf>
    <xf numFmtId="167" fontId="41" fillId="39" borderId="0" xfId="81" applyFont="1" applyFill="1" applyAlignment="1">
      <alignment vertical="center"/>
    </xf>
    <xf numFmtId="0" fontId="42" fillId="43" borderId="0" xfId="93" applyFont="1" applyFill="1"/>
    <xf numFmtId="0" fontId="63" fillId="0" borderId="0" xfId="0" applyFont="1" applyAlignment="1">
      <alignment horizontal="left" vertical="center"/>
    </xf>
    <xf numFmtId="168" fontId="43" fillId="0" borderId="29" xfId="38" applyFont="1" applyBorder="1"/>
    <xf numFmtId="49" fontId="40" fillId="28" borderId="21" xfId="54" applyNumberFormat="1" applyFont="1" applyFill="1" applyBorder="1" applyAlignment="1" applyProtection="1">
      <alignment horizontal="left" vertical="center" wrapText="1"/>
      <protection hidden="1"/>
    </xf>
    <xf numFmtId="185" fontId="43" fillId="0" borderId="0" xfId="75" applyNumberFormat="1" applyFont="1" applyAlignment="1">
      <alignment vertical="center"/>
    </xf>
    <xf numFmtId="0" fontId="42" fillId="34" borderId="21" xfId="93" applyFont="1" applyFill="1" applyBorder="1"/>
    <xf numFmtId="14" fontId="42" fillId="34" borderId="21" xfId="93" applyNumberFormat="1" applyFont="1" applyFill="1" applyBorder="1"/>
    <xf numFmtId="0" fontId="41" fillId="34" borderId="21" xfId="92" applyFont="1" applyFill="1" applyBorder="1" applyAlignment="1">
      <alignment horizontal="center" vertical="center" wrapText="1"/>
    </xf>
    <xf numFmtId="189" fontId="42" fillId="34" borderId="21" xfId="94" applyNumberFormat="1" applyFont="1" applyFill="1" applyBorder="1" applyAlignment="1">
      <alignment horizontal="center" vertical="center" wrapText="1"/>
    </xf>
    <xf numFmtId="0" fontId="41" fillId="34" borderId="21" xfId="93" applyFont="1" applyFill="1" applyBorder="1" applyAlignment="1">
      <alignment horizontal="center" vertical="center" wrapText="1"/>
    </xf>
    <xf numFmtId="168" fontId="41" fillId="34" borderId="21" xfId="38" applyFont="1" applyFill="1" applyBorder="1" applyAlignment="1">
      <alignment horizontal="center" vertical="center" wrapText="1"/>
    </xf>
    <xf numFmtId="10" fontId="66" fillId="0" borderId="29" xfId="62" applyNumberFormat="1" applyFont="1" applyFill="1" applyBorder="1" applyAlignment="1" applyProtection="1">
      <protection locked="0"/>
    </xf>
    <xf numFmtId="168" fontId="62" fillId="0" borderId="26" xfId="38" applyFont="1" applyFill="1" applyBorder="1" applyAlignment="1">
      <alignment horizontal="left" vertical="center"/>
    </xf>
    <xf numFmtId="187" fontId="62" fillId="0" borderId="26" xfId="38" applyNumberFormat="1" applyFont="1" applyFill="1" applyBorder="1" applyAlignment="1">
      <alignment horizontal="left" vertical="center"/>
    </xf>
    <xf numFmtId="40" fontId="62" fillId="0" borderId="26" xfId="0" applyNumberFormat="1" applyFont="1" applyBorder="1" applyAlignment="1">
      <alignment horizontal="left" vertical="center"/>
    </xf>
    <xf numFmtId="168" fontId="62" fillId="0" borderId="27" xfId="38" applyFont="1" applyFill="1" applyBorder="1" applyAlignment="1">
      <alignment horizontal="left" vertical="center"/>
    </xf>
    <xf numFmtId="187" fontId="62" fillId="0" borderId="27" xfId="38" applyNumberFormat="1" applyFont="1" applyFill="1" applyBorder="1" applyAlignment="1">
      <alignment horizontal="left" vertical="center"/>
    </xf>
    <xf numFmtId="40" fontId="62" fillId="0" borderId="27" xfId="0" applyNumberFormat="1" applyFont="1" applyBorder="1" applyAlignment="1">
      <alignment horizontal="left" vertical="center"/>
    </xf>
    <xf numFmtId="168" fontId="42" fillId="0" borderId="0" xfId="0" applyNumberFormat="1" applyFont="1"/>
    <xf numFmtId="0" fontId="42" fillId="39" borderId="15" xfId="0" applyFont="1" applyFill="1" applyBorder="1" applyAlignment="1">
      <alignment vertical="center" wrapText="1"/>
    </xf>
    <xf numFmtId="0" fontId="42" fillId="39" borderId="16" xfId="0" applyFont="1" applyFill="1" applyBorder="1" applyAlignment="1">
      <alignment vertical="center" wrapText="1"/>
    </xf>
    <xf numFmtId="174" fontId="72" fillId="0" borderId="5" xfId="62" applyNumberFormat="1" applyFont="1" applyFill="1" applyBorder="1" applyAlignment="1" applyProtection="1">
      <alignment horizontal="center"/>
      <protection hidden="1"/>
    </xf>
    <xf numFmtId="0" fontId="75" fillId="0" borderId="29" xfId="0" applyFont="1" applyBorder="1" applyAlignment="1">
      <alignment horizontal="left"/>
    </xf>
    <xf numFmtId="0" fontId="75" fillId="0" borderId="26" xfId="0" applyFont="1" applyBorder="1" applyAlignment="1">
      <alignment horizontal="left"/>
    </xf>
    <xf numFmtId="0" fontId="75" fillId="0" borderId="27" xfId="0" applyFont="1" applyBorder="1" applyAlignment="1">
      <alignment horizontal="left"/>
    </xf>
    <xf numFmtId="0" fontId="0" fillId="0" borderId="29" xfId="0" applyBorder="1"/>
    <xf numFmtId="0" fontId="0" fillId="0" borderId="26" xfId="0" applyBorder="1"/>
    <xf numFmtId="0" fontId="39" fillId="0" borderId="26" xfId="0" applyFont="1" applyBorder="1"/>
    <xf numFmtId="168" fontId="39" fillId="0" borderId="26" xfId="38" applyFont="1" applyBorder="1"/>
    <xf numFmtId="0" fontId="0" fillId="0" borderId="27" xfId="0" applyBorder="1"/>
    <xf numFmtId="0" fontId="39" fillId="0" borderId="27" xfId="0" applyFont="1" applyBorder="1"/>
    <xf numFmtId="168" fontId="39" fillId="0" borderId="27" xfId="38" applyFont="1" applyBorder="1"/>
    <xf numFmtId="172" fontId="43" fillId="0" borderId="0" xfId="75" applyNumberFormat="1" applyFont="1"/>
    <xf numFmtId="0" fontId="42" fillId="0" borderId="5" xfId="0" applyFont="1" applyBorder="1" applyAlignment="1">
      <alignment horizontal="left" vertical="center" wrapText="1"/>
    </xf>
    <xf numFmtId="0" fontId="42" fillId="0" borderId="0" xfId="0" applyFont="1" applyAlignment="1">
      <alignment horizontal="left" vertical="center" wrapText="1"/>
    </xf>
    <xf numFmtId="168" fontId="43" fillId="0" borderId="5" xfId="38" applyFont="1" applyBorder="1" applyAlignment="1">
      <alignment vertical="center"/>
    </xf>
    <xf numFmtId="0" fontId="73" fillId="0" borderId="29" xfId="0" applyFont="1" applyBorder="1"/>
    <xf numFmtId="0" fontId="73" fillId="0" borderId="26" xfId="0" applyFont="1" applyBorder="1"/>
    <xf numFmtId="0" fontId="74" fillId="0" borderId="26" xfId="0" applyFont="1" applyBorder="1"/>
    <xf numFmtId="187" fontId="42" fillId="0" borderId="26" xfId="0" applyNumberFormat="1" applyFont="1" applyBorder="1"/>
    <xf numFmtId="187" fontId="42" fillId="0" borderId="26" xfId="0" applyNumberFormat="1" applyFont="1" applyBorder="1" applyAlignment="1">
      <alignment horizontal="right"/>
    </xf>
    <xf numFmtId="0" fontId="42" fillId="0" borderId="26" xfId="0" applyFont="1" applyBorder="1"/>
    <xf numFmtId="2" fontId="42" fillId="0" borderId="26" xfId="0" applyNumberFormat="1" applyFont="1" applyBorder="1" applyAlignment="1">
      <alignment horizontal="right"/>
    </xf>
    <xf numFmtId="0" fontId="42" fillId="0" borderId="26" xfId="0" applyFont="1" applyBorder="1" applyAlignment="1">
      <alignment horizontal="right"/>
    </xf>
    <xf numFmtId="185" fontId="42" fillId="0" borderId="26" xfId="38" applyNumberFormat="1" applyFont="1" applyBorder="1" applyAlignment="1">
      <alignment horizontal="right"/>
    </xf>
    <xf numFmtId="2" fontId="42" fillId="0" borderId="26" xfId="0" applyNumberFormat="1" applyFont="1" applyBorder="1"/>
    <xf numFmtId="0" fontId="73" fillId="0" borderId="26" xfId="0" applyFont="1" applyBorder="1" applyAlignment="1">
      <alignment horizontal="right"/>
    </xf>
    <xf numFmtId="0" fontId="73" fillId="0" borderId="27" xfId="0" applyFont="1" applyBorder="1"/>
    <xf numFmtId="187" fontId="42" fillId="0" borderId="27" xfId="0" applyNumberFormat="1" applyFont="1" applyBorder="1" applyAlignment="1">
      <alignment horizontal="right"/>
    </xf>
    <xf numFmtId="0" fontId="42" fillId="0" borderId="27" xfId="0" applyFont="1" applyBorder="1"/>
    <xf numFmtId="2" fontId="42" fillId="0" borderId="27" xfId="0" applyNumberFormat="1" applyFont="1" applyBorder="1" applyAlignment="1">
      <alignment horizontal="right"/>
    </xf>
    <xf numFmtId="0" fontId="42" fillId="0" borderId="27" xfId="0" applyFont="1" applyBorder="1" applyAlignment="1">
      <alignment horizontal="right"/>
    </xf>
    <xf numFmtId="2" fontId="42" fillId="0" borderId="27" xfId="0" applyNumberFormat="1" applyFont="1" applyBorder="1"/>
    <xf numFmtId="0" fontId="5" fillId="45" borderId="31" xfId="108" applyFont="1" applyFill="1" applyBorder="1"/>
    <xf numFmtId="0" fontId="76" fillId="27" borderId="0" xfId="108" applyFill="1"/>
    <xf numFmtId="0" fontId="76" fillId="0" borderId="0" xfId="108"/>
    <xf numFmtId="0" fontId="5" fillId="45" borderId="5" xfId="108" applyFont="1" applyFill="1" applyBorder="1"/>
    <xf numFmtId="0" fontId="5" fillId="45" borderId="5" xfId="108" applyFont="1" applyFill="1" applyBorder="1" applyAlignment="1">
      <alignment wrapText="1"/>
    </xf>
    <xf numFmtId="0" fontId="5" fillId="45" borderId="25" xfId="108" applyFont="1" applyFill="1" applyBorder="1"/>
    <xf numFmtId="190" fontId="5" fillId="0" borderId="29" xfId="109" applyNumberFormat="1" applyFont="1" applyBorder="1"/>
    <xf numFmtId="0" fontId="5" fillId="45" borderId="26" xfId="108" applyFont="1" applyFill="1" applyBorder="1"/>
    <xf numFmtId="190" fontId="5" fillId="0" borderId="26" xfId="109" applyNumberFormat="1" applyFont="1" applyBorder="1"/>
    <xf numFmtId="0" fontId="5" fillId="45" borderId="27" xfId="108" applyFont="1" applyFill="1" applyBorder="1"/>
    <xf numFmtId="190" fontId="5" fillId="0" borderId="27" xfId="109" applyNumberFormat="1" applyFont="1" applyBorder="1"/>
    <xf numFmtId="0" fontId="5" fillId="45" borderId="14" xfId="108" applyFont="1" applyFill="1" applyBorder="1"/>
    <xf numFmtId="0" fontId="5" fillId="45" borderId="15" xfId="108" applyFont="1" applyFill="1" applyBorder="1"/>
    <xf numFmtId="0" fontId="5" fillId="45" borderId="16" xfId="108" applyFont="1" applyFill="1" applyBorder="1"/>
    <xf numFmtId="165" fontId="5" fillId="27" borderId="5" xfId="85" applyFont="1" applyFill="1" applyBorder="1"/>
    <xf numFmtId="165" fontId="5" fillId="27" borderId="29" xfId="85" applyFont="1" applyFill="1" applyBorder="1"/>
    <xf numFmtId="165" fontId="5" fillId="27" borderId="26" xfId="85" applyFont="1" applyFill="1" applyBorder="1"/>
    <xf numFmtId="165" fontId="5" fillId="27" borderId="27" xfId="85" applyFont="1" applyFill="1" applyBorder="1"/>
    <xf numFmtId="0" fontId="76" fillId="0" borderId="0" xfId="108" applyAlignment="1">
      <alignment vertical="center"/>
    </xf>
    <xf numFmtId="0" fontId="76" fillId="34" borderId="56" xfId="108" applyFill="1" applyBorder="1" applyAlignment="1">
      <alignment vertical="center"/>
    </xf>
    <xf numFmtId="0" fontId="76" fillId="34" borderId="57" xfId="108" applyFill="1" applyBorder="1" applyAlignment="1">
      <alignment vertical="center"/>
    </xf>
    <xf numFmtId="44" fontId="76" fillId="34" borderId="58" xfId="108" applyNumberFormat="1" applyFill="1" applyBorder="1" applyAlignment="1">
      <alignment vertical="center"/>
    </xf>
    <xf numFmtId="0" fontId="73" fillId="0" borderId="26" xfId="0" quotePrefix="1" applyFont="1" applyBorder="1"/>
    <xf numFmtId="168" fontId="40" fillId="28" borderId="0" xfId="38" applyFont="1" applyFill="1" applyAlignment="1" applyProtection="1">
      <alignment horizontal="left" vertical="center" wrapText="1"/>
      <protection hidden="1"/>
    </xf>
    <xf numFmtId="168" fontId="74" fillId="0" borderId="29" xfId="38" applyFont="1" applyBorder="1"/>
    <xf numFmtId="168" fontId="74" fillId="0" borderId="26" xfId="38" applyFont="1" applyBorder="1"/>
    <xf numFmtId="168" fontId="73" fillId="0" borderId="26" xfId="38" applyFont="1" applyBorder="1" applyAlignment="1">
      <alignment horizontal="center"/>
    </xf>
    <xf numFmtId="168" fontId="73" fillId="0" borderId="26" xfId="38" applyFont="1" applyBorder="1" applyAlignment="1">
      <alignment horizontal="center" vertical="center"/>
    </xf>
    <xf numFmtId="168" fontId="73" fillId="0" borderId="26" xfId="38" applyFont="1" applyBorder="1"/>
    <xf numFmtId="168" fontId="74" fillId="0" borderId="27" xfId="38" applyFont="1" applyBorder="1"/>
    <xf numFmtId="185" fontId="40" fillId="28" borderId="0" xfId="38" applyNumberFormat="1" applyFont="1" applyFill="1" applyAlignment="1" applyProtection="1">
      <alignment horizontal="left" vertical="center" wrapText="1"/>
      <protection hidden="1"/>
    </xf>
    <xf numFmtId="185" fontId="73" fillId="0" borderId="29" xfId="38" quotePrefix="1" applyNumberFormat="1" applyFont="1" applyBorder="1"/>
    <xf numFmtId="185" fontId="73" fillId="0" borderId="26" xfId="38" quotePrefix="1" applyNumberFormat="1" applyFont="1" applyBorder="1"/>
    <xf numFmtId="185" fontId="73" fillId="0" borderId="27" xfId="38" quotePrefix="1" applyNumberFormat="1" applyFont="1" applyBorder="1"/>
    <xf numFmtId="185" fontId="73" fillId="0" borderId="0" xfId="38" applyNumberFormat="1" applyFont="1"/>
    <xf numFmtId="185" fontId="0" fillId="0" borderId="0" xfId="38" applyNumberFormat="1" applyFont="1"/>
    <xf numFmtId="168" fontId="73" fillId="0" borderId="26" xfId="38" quotePrefix="1" applyFont="1" applyBorder="1"/>
    <xf numFmtId="0" fontId="0" fillId="0" borderId="26" xfId="0" applyBorder="1" applyAlignment="1">
      <alignment vertical="center"/>
    </xf>
    <xf numFmtId="0" fontId="0" fillId="0" borderId="29" xfId="0" applyBorder="1" applyAlignment="1">
      <alignment vertical="center"/>
    </xf>
    <xf numFmtId="168" fontId="62" fillId="0" borderId="29" xfId="38" applyFont="1" applyFill="1" applyBorder="1" applyAlignment="1">
      <alignment vertical="center"/>
    </xf>
    <xf numFmtId="187" fontId="62" fillId="0" borderId="29" xfId="38" applyNumberFormat="1" applyFont="1" applyFill="1" applyBorder="1" applyAlignment="1">
      <alignment horizontal="left" vertical="center"/>
    </xf>
    <xf numFmtId="168" fontId="62" fillId="0" borderId="29" xfId="38" applyFont="1" applyFill="1" applyBorder="1" applyAlignment="1">
      <alignment horizontal="left" vertical="center"/>
    </xf>
    <xf numFmtId="187" fontId="62" fillId="0" borderId="29" xfId="38" applyNumberFormat="1" applyFont="1" applyFill="1" applyBorder="1" applyAlignment="1">
      <alignment vertical="center"/>
    </xf>
    <xf numFmtId="40" fontId="62" fillId="0" borderId="29" xfId="0" applyNumberFormat="1" applyFont="1" applyBorder="1" applyAlignment="1">
      <alignment horizontal="left" vertical="center"/>
    </xf>
    <xf numFmtId="167" fontId="62" fillId="0" borderId="29" xfId="81" applyFont="1" applyFill="1" applyBorder="1" applyAlignment="1">
      <alignment vertical="center"/>
    </xf>
    <xf numFmtId="164" fontId="62" fillId="0" borderId="29" xfId="81" applyNumberFormat="1" applyFont="1" applyFill="1" applyBorder="1" applyAlignment="1">
      <alignment vertical="center"/>
    </xf>
    <xf numFmtId="168" fontId="62" fillId="0" borderId="26" xfId="38" applyFont="1" applyFill="1" applyBorder="1" applyAlignment="1">
      <alignment vertical="center"/>
    </xf>
    <xf numFmtId="187" fontId="62" fillId="0" borderId="26" xfId="38" applyNumberFormat="1" applyFont="1" applyFill="1" applyBorder="1" applyAlignment="1">
      <alignment vertical="center"/>
    </xf>
    <xf numFmtId="167" fontId="62" fillId="0" borderId="26" xfId="81" applyFont="1" applyFill="1" applyBorder="1" applyAlignment="1">
      <alignment vertical="center"/>
    </xf>
    <xf numFmtId="164" fontId="62" fillId="0" borderId="26" xfId="81" applyNumberFormat="1" applyFont="1" applyFill="1" applyBorder="1" applyAlignment="1">
      <alignment vertical="center"/>
    </xf>
    <xf numFmtId="0" fontId="0" fillId="0" borderId="27" xfId="0" applyBorder="1" applyAlignment="1">
      <alignment vertical="center"/>
    </xf>
    <xf numFmtId="187" fontId="62" fillId="0" borderId="27" xfId="38" applyNumberFormat="1" applyFont="1" applyFill="1" applyBorder="1" applyAlignment="1">
      <alignment vertical="center"/>
    </xf>
    <xf numFmtId="167" fontId="62" fillId="0" borderId="27" xfId="81" applyFont="1" applyFill="1" applyBorder="1" applyAlignment="1">
      <alignment vertical="center"/>
    </xf>
    <xf numFmtId="164" fontId="62" fillId="0" borderId="27" xfId="81" applyNumberFormat="1" applyFont="1" applyFill="1" applyBorder="1" applyAlignment="1">
      <alignment vertical="center"/>
    </xf>
    <xf numFmtId="0" fontId="0" fillId="0" borderId="30" xfId="0" applyBorder="1" applyAlignment="1">
      <alignment vertical="center"/>
    </xf>
    <xf numFmtId="0" fontId="0" fillId="0" borderId="59" xfId="0" applyBorder="1" applyAlignment="1">
      <alignment vertical="center"/>
    </xf>
    <xf numFmtId="168" fontId="62" fillId="0" borderId="0" xfId="38" applyFont="1" applyFill="1" applyBorder="1" applyAlignment="1">
      <alignment horizontal="left" vertical="center"/>
    </xf>
    <xf numFmtId="187" fontId="62" fillId="0" borderId="0" xfId="38" applyNumberFormat="1" applyFont="1" applyFill="1" applyBorder="1" applyAlignment="1">
      <alignment horizontal="left" vertical="center"/>
    </xf>
    <xf numFmtId="187" fontId="62" fillId="0" borderId="0" xfId="38" applyNumberFormat="1" applyFont="1" applyFill="1" applyBorder="1" applyAlignment="1">
      <alignment vertical="center"/>
    </xf>
    <xf numFmtId="40" fontId="62" fillId="0" borderId="0" xfId="0" applyNumberFormat="1" applyFont="1" applyAlignment="1">
      <alignment horizontal="left" vertical="center"/>
    </xf>
    <xf numFmtId="167" fontId="62" fillId="0" borderId="0" xfId="81" applyFont="1" applyFill="1" applyBorder="1" applyAlignment="1">
      <alignment vertical="center"/>
    </xf>
    <xf numFmtId="164" fontId="62" fillId="0" borderId="13" xfId="81" applyNumberFormat="1" applyFont="1" applyFill="1" applyBorder="1" applyAlignment="1">
      <alignment vertical="center"/>
    </xf>
    <xf numFmtId="0" fontId="63" fillId="0" borderId="14" xfId="0" applyFont="1" applyBorder="1" applyAlignment="1">
      <alignment horizontal="center" vertical="center"/>
    </xf>
    <xf numFmtId="0" fontId="63" fillId="0" borderId="14" xfId="0" applyFont="1" applyBorder="1" applyAlignment="1">
      <alignment vertical="center"/>
    </xf>
    <xf numFmtId="168" fontId="63" fillId="0" borderId="15" xfId="38" applyFont="1" applyFill="1" applyBorder="1" applyAlignment="1">
      <alignment vertical="center"/>
    </xf>
    <xf numFmtId="188" fontId="63" fillId="0" borderId="15" xfId="0" applyNumberFormat="1" applyFont="1" applyBorder="1" applyAlignment="1">
      <alignment horizontal="left" vertical="center"/>
    </xf>
    <xf numFmtId="168" fontId="63" fillId="0" borderId="15" xfId="38" applyFont="1" applyFill="1" applyBorder="1" applyAlignment="1">
      <alignment horizontal="left" vertical="center"/>
    </xf>
    <xf numFmtId="40" fontId="63" fillId="0" borderId="15" xfId="0" applyNumberFormat="1" applyFont="1" applyBorder="1" applyAlignment="1">
      <alignment horizontal="left" vertical="center"/>
    </xf>
    <xf numFmtId="167" fontId="63" fillId="0" borderId="15" xfId="81" applyFont="1" applyFill="1" applyBorder="1" applyAlignment="1">
      <alignment vertical="center"/>
    </xf>
    <xf numFmtId="164" fontId="63" fillId="0" borderId="16" xfId="0" applyNumberFormat="1" applyFont="1" applyBorder="1" applyAlignment="1">
      <alignment vertical="center"/>
    </xf>
    <xf numFmtId="0" fontId="42" fillId="40" borderId="14" xfId="0" applyFont="1" applyFill="1" applyBorder="1" applyAlignment="1">
      <alignment horizontal="left" vertical="center"/>
    </xf>
    <xf numFmtId="0" fontId="42" fillId="40" borderId="15" xfId="0" applyFont="1" applyFill="1" applyBorder="1" applyAlignment="1">
      <alignment horizontal="left" vertical="center"/>
    </xf>
    <xf numFmtId="0" fontId="42" fillId="0" borderId="31" xfId="0" applyFont="1" applyBorder="1" applyAlignment="1">
      <alignment horizontal="left" vertical="center"/>
    </xf>
    <xf numFmtId="10" fontId="43" fillId="0" borderId="0" xfId="62" applyNumberFormat="1" applyFont="1" applyAlignment="1" applyProtection="1">
      <alignment horizontal="left" vertical="center" wrapText="1"/>
      <protection hidden="1"/>
    </xf>
    <xf numFmtId="175" fontId="43" fillId="0" borderId="0" xfId="57" applyNumberFormat="1" applyFont="1" applyAlignment="1" applyProtection="1">
      <alignment horizontal="left" vertical="center" wrapText="1"/>
      <protection hidden="1"/>
    </xf>
    <xf numFmtId="175" fontId="42" fillId="0" borderId="0" xfId="57" applyNumberFormat="1" applyFont="1" applyAlignment="1" applyProtection="1">
      <alignment horizontal="left" vertical="center" wrapText="1"/>
      <protection hidden="1"/>
    </xf>
    <xf numFmtId="0" fontId="42" fillId="0" borderId="17" xfId="0" applyFont="1" applyBorder="1" applyAlignment="1">
      <alignment horizontal="left" vertical="center"/>
    </xf>
    <xf numFmtId="2" fontId="41" fillId="0" borderId="0" xfId="57" applyNumberFormat="1" applyFont="1" applyAlignment="1" applyProtection="1">
      <alignment horizontal="left" vertical="center"/>
      <protection hidden="1"/>
    </xf>
    <xf numFmtId="175" fontId="42" fillId="0" borderId="0" xfId="57" applyNumberFormat="1" applyFont="1" applyAlignment="1" applyProtection="1">
      <alignment horizontal="left" vertical="center"/>
      <protection hidden="1"/>
    </xf>
    <xf numFmtId="10" fontId="43" fillId="0" borderId="0" xfId="62" applyNumberFormat="1" applyFont="1" applyAlignment="1" applyProtection="1">
      <alignment horizontal="left" vertical="center"/>
      <protection hidden="1"/>
    </xf>
    <xf numFmtId="175" fontId="43" fillId="0" borderId="0" xfId="57" applyNumberFormat="1" applyFont="1" applyAlignment="1" applyProtection="1">
      <alignment horizontal="left" vertical="center"/>
      <protection hidden="1"/>
    </xf>
    <xf numFmtId="0" fontId="45" fillId="0" borderId="0" xfId="57" applyFont="1" applyAlignment="1" applyProtection="1">
      <alignment horizontal="left" vertical="center" wrapText="1"/>
      <protection hidden="1"/>
    </xf>
    <xf numFmtId="176" fontId="43" fillId="0" borderId="0" xfId="62" applyNumberFormat="1" applyFont="1" applyAlignment="1" applyProtection="1">
      <alignment horizontal="left" vertical="center"/>
      <protection hidden="1"/>
    </xf>
    <xf numFmtId="176" fontId="43" fillId="0" borderId="0" xfId="57" applyNumberFormat="1" applyFont="1" applyAlignment="1" applyProtection="1">
      <alignment horizontal="left" vertical="center"/>
      <protection hidden="1"/>
    </xf>
    <xf numFmtId="176" fontId="42" fillId="0" borderId="0" xfId="62" applyNumberFormat="1" applyFont="1" applyAlignment="1" applyProtection="1">
      <alignment horizontal="left" vertical="center"/>
      <protection hidden="1"/>
    </xf>
    <xf numFmtId="176" fontId="42" fillId="0" borderId="0" xfId="57" applyNumberFormat="1" applyFont="1" applyAlignment="1" applyProtection="1">
      <alignment horizontal="left" vertical="center"/>
      <protection hidden="1"/>
    </xf>
    <xf numFmtId="0" fontId="41" fillId="0" borderId="0" xfId="57" applyFont="1" applyAlignment="1" applyProtection="1">
      <alignment horizontal="left" vertical="center"/>
      <protection hidden="1"/>
    </xf>
    <xf numFmtId="176" fontId="44" fillId="0" borderId="0" xfId="57" applyNumberFormat="1" applyFont="1" applyAlignment="1" applyProtection="1">
      <alignment horizontal="left" vertical="center"/>
      <protection hidden="1"/>
    </xf>
    <xf numFmtId="0" fontId="42" fillId="0" borderId="0" xfId="57" applyFont="1" applyAlignment="1" applyProtection="1">
      <alignment horizontal="left" vertical="center"/>
      <protection hidden="1"/>
    </xf>
    <xf numFmtId="10" fontId="43" fillId="0" borderId="0" xfId="62" applyNumberFormat="1" applyFont="1" applyFill="1" applyAlignment="1" applyProtection="1">
      <alignment horizontal="left" vertical="center"/>
      <protection hidden="1"/>
    </xf>
    <xf numFmtId="0" fontId="42" fillId="29" borderId="19" xfId="0" applyFont="1" applyFill="1" applyBorder="1" applyAlignment="1">
      <alignment horizontal="left" vertical="center"/>
    </xf>
    <xf numFmtId="0" fontId="42" fillId="29" borderId="22" xfId="0" applyFont="1" applyFill="1" applyBorder="1" applyAlignment="1">
      <alignment horizontal="left" vertical="center"/>
    </xf>
    <xf numFmtId="0" fontId="42" fillId="40" borderId="16" xfId="0" applyFont="1" applyFill="1" applyBorder="1" applyAlignment="1">
      <alignment horizontal="left" vertical="center"/>
    </xf>
    <xf numFmtId="10" fontId="44" fillId="0" borderId="0" xfId="0" applyNumberFormat="1" applyFont="1" applyAlignment="1">
      <alignment horizontal="left" vertical="center"/>
    </xf>
    <xf numFmtId="176" fontId="44" fillId="0" borderId="0" xfId="0" applyNumberFormat="1" applyFont="1" applyAlignment="1">
      <alignment horizontal="left" vertical="center"/>
    </xf>
    <xf numFmtId="0" fontId="47" fillId="0" borderId="0" xfId="57" applyFont="1" applyAlignment="1" applyProtection="1">
      <alignment horizontal="left" vertical="center"/>
      <protection hidden="1"/>
    </xf>
    <xf numFmtId="2" fontId="41" fillId="40" borderId="19" xfId="0" applyNumberFormat="1" applyFont="1" applyFill="1" applyBorder="1" applyAlignment="1">
      <alignment horizontal="left" vertical="center"/>
    </xf>
    <xf numFmtId="0" fontId="42" fillId="40" borderId="31" xfId="57" applyFont="1" applyFill="1" applyBorder="1" applyAlignment="1" applyProtection="1">
      <alignment horizontal="left" vertical="center"/>
      <protection hidden="1"/>
    </xf>
    <xf numFmtId="0" fontId="42" fillId="40" borderId="31" xfId="0" applyFont="1" applyFill="1" applyBorder="1" applyAlignment="1">
      <alignment horizontal="left" vertical="center"/>
    </xf>
    <xf numFmtId="0" fontId="42" fillId="40" borderId="17" xfId="0" applyFont="1" applyFill="1" applyBorder="1" applyAlignment="1">
      <alignment horizontal="left" vertical="center"/>
    </xf>
    <xf numFmtId="193" fontId="62" fillId="0" borderId="0" xfId="62" applyNumberFormat="1" applyFont="1"/>
    <xf numFmtId="0" fontId="42" fillId="0" borderId="14" xfId="0" applyFont="1" applyBorder="1" applyAlignment="1">
      <alignment horizontal="left" vertical="center" wrapText="1"/>
    </xf>
    <xf numFmtId="0" fontId="42" fillId="0" borderId="15" xfId="0" applyFont="1" applyBorder="1" applyAlignment="1">
      <alignment horizontal="left" vertical="center" wrapText="1"/>
    </xf>
    <xf numFmtId="0" fontId="42" fillId="0" borderId="16" xfId="0" applyFont="1" applyBorder="1" applyAlignment="1">
      <alignment horizontal="left" vertical="center" wrapText="1"/>
    </xf>
    <xf numFmtId="0" fontId="42" fillId="29" borderId="14" xfId="0" applyFont="1" applyFill="1" applyBorder="1" applyAlignment="1">
      <alignment horizontal="left" vertical="center"/>
    </xf>
    <xf numFmtId="0" fontId="42" fillId="29" borderId="15" xfId="0" applyFont="1" applyFill="1" applyBorder="1" applyAlignment="1">
      <alignment horizontal="left" vertical="center"/>
    </xf>
    <xf numFmtId="0" fontId="42" fillId="29" borderId="16" xfId="0" applyFont="1" applyFill="1" applyBorder="1" applyAlignment="1">
      <alignment horizontal="left" vertical="center"/>
    </xf>
    <xf numFmtId="0" fontId="42" fillId="40" borderId="14" xfId="0" applyFont="1" applyFill="1" applyBorder="1" applyAlignment="1">
      <alignment horizontal="left" vertical="center"/>
    </xf>
    <xf numFmtId="0" fontId="42" fillId="40" borderId="15" xfId="0" applyFont="1" applyFill="1" applyBorder="1" applyAlignment="1">
      <alignment horizontal="left" vertical="center"/>
    </xf>
    <xf numFmtId="0" fontId="42" fillId="40" borderId="16" xfId="0" applyFont="1" applyFill="1" applyBorder="1" applyAlignment="1">
      <alignment horizontal="left" vertical="center"/>
    </xf>
    <xf numFmtId="0" fontId="42" fillId="0" borderId="5" xfId="0" applyFont="1" applyBorder="1" applyAlignment="1">
      <alignment horizontal="left" vertical="center" wrapText="1"/>
    </xf>
    <xf numFmtId="0" fontId="42" fillId="0" borderId="5" xfId="0" applyFont="1" applyBorder="1" applyAlignment="1">
      <alignment horizontal="left" vertical="center"/>
    </xf>
    <xf numFmtId="0" fontId="42" fillId="0" borderId="30" xfId="0" applyFont="1" applyBorder="1" applyAlignment="1">
      <alignment horizontal="left" vertical="center" wrapText="1"/>
    </xf>
    <xf numFmtId="0" fontId="42" fillId="0" borderId="0" xfId="0" applyFont="1" applyAlignment="1">
      <alignment horizontal="left" vertical="center" wrapText="1"/>
    </xf>
    <xf numFmtId="0" fontId="42" fillId="0" borderId="13" xfId="0" applyFont="1" applyBorder="1" applyAlignment="1">
      <alignment horizontal="left" vertical="center" wrapText="1"/>
    </xf>
    <xf numFmtId="49" fontId="40" fillId="28" borderId="14" xfId="54" applyNumberFormat="1" applyFont="1" applyFill="1" applyBorder="1" applyAlignment="1" applyProtection="1">
      <alignment horizontal="left" vertical="center" wrapText="1"/>
      <protection hidden="1"/>
    </xf>
    <xf numFmtId="49" fontId="40" fillId="28" borderId="15" xfId="54" applyNumberFormat="1" applyFont="1" applyFill="1" applyBorder="1" applyAlignment="1" applyProtection="1">
      <alignment horizontal="left" vertical="center" wrapText="1"/>
      <protection hidden="1"/>
    </xf>
    <xf numFmtId="49" fontId="40" fillId="28" borderId="16" xfId="54" applyNumberFormat="1" applyFont="1" applyFill="1" applyBorder="1" applyAlignment="1" applyProtection="1">
      <alignment horizontal="left" vertical="center" wrapText="1"/>
      <protection hidden="1"/>
    </xf>
    <xf numFmtId="0" fontId="42" fillId="0" borderId="23" xfId="0" applyFont="1" applyBorder="1" applyAlignment="1">
      <alignment horizontal="left" vertical="center" wrapText="1"/>
    </xf>
    <xf numFmtId="0" fontId="42" fillId="0" borderId="18" xfId="0" applyFont="1" applyBorder="1" applyAlignment="1">
      <alignment horizontal="left" vertical="center" wrapText="1"/>
    </xf>
    <xf numFmtId="0" fontId="42" fillId="0" borderId="19" xfId="0" applyFont="1" applyBorder="1" applyAlignment="1">
      <alignment horizontal="left" vertical="center" wrapText="1"/>
    </xf>
    <xf numFmtId="0" fontId="42" fillId="0" borderId="31" xfId="0" applyFont="1" applyBorder="1" applyAlignment="1">
      <alignment horizontal="left" vertical="center" wrapText="1"/>
    </xf>
    <xf numFmtId="0" fontId="42" fillId="0" borderId="17" xfId="0" applyFont="1" applyBorder="1" applyAlignment="1">
      <alignment horizontal="left" vertical="center" wrapText="1"/>
    </xf>
    <xf numFmtId="0" fontId="42" fillId="46" borderId="14" xfId="0" applyFont="1" applyFill="1" applyBorder="1" applyAlignment="1">
      <alignment horizontal="left" vertical="center"/>
    </xf>
    <xf numFmtId="0" fontId="42" fillId="46" borderId="15" xfId="0" applyFont="1" applyFill="1" applyBorder="1" applyAlignment="1">
      <alignment horizontal="left" vertical="center"/>
    </xf>
    <xf numFmtId="0" fontId="42" fillId="46" borderId="16" xfId="0" applyFont="1" applyFill="1" applyBorder="1" applyAlignment="1">
      <alignment horizontal="left" vertical="center"/>
    </xf>
    <xf numFmtId="0" fontId="68" fillId="0" borderId="19" xfId="0" applyFont="1" applyBorder="1" applyAlignment="1">
      <alignment horizontal="center" vertical="center"/>
    </xf>
    <xf numFmtId="0" fontId="68" fillId="0" borderId="30" xfId="0" applyFont="1" applyBorder="1" applyAlignment="1">
      <alignment horizontal="center" vertical="center"/>
    </xf>
    <xf numFmtId="0" fontId="68" fillId="0" borderId="17" xfId="0" applyFont="1" applyBorder="1" applyAlignment="1">
      <alignment horizontal="left" vertical="center"/>
    </xf>
    <xf numFmtId="0" fontId="68" fillId="0" borderId="13" xfId="0" applyFont="1" applyBorder="1" applyAlignment="1">
      <alignment horizontal="left" vertical="center"/>
    </xf>
    <xf numFmtId="0" fontId="68" fillId="37" borderId="5" xfId="0" applyFont="1" applyFill="1" applyBorder="1" applyAlignment="1">
      <alignment horizontal="center" vertical="center" wrapText="1"/>
    </xf>
    <xf numFmtId="0" fontId="68" fillId="37" borderId="5" xfId="0" applyFont="1" applyFill="1" applyBorder="1" applyAlignment="1">
      <alignment horizontal="left" vertical="center" wrapText="1"/>
    </xf>
    <xf numFmtId="0" fontId="68" fillId="37" borderId="5" xfId="0" applyFont="1" applyFill="1" applyBorder="1" applyAlignment="1">
      <alignment horizontal="left" vertical="center"/>
    </xf>
    <xf numFmtId="167" fontId="68" fillId="37" borderId="5" xfId="81" applyFont="1" applyFill="1" applyBorder="1" applyAlignment="1">
      <alignment horizontal="center" vertical="center" wrapText="1"/>
    </xf>
    <xf numFmtId="167" fontId="68" fillId="37" borderId="5" xfId="81" applyFont="1" applyFill="1" applyBorder="1" applyAlignment="1">
      <alignment horizontal="left" vertical="center" wrapText="1"/>
    </xf>
    <xf numFmtId="167" fontId="68" fillId="0" borderId="5" xfId="81" applyFont="1" applyBorder="1" applyAlignment="1">
      <alignment horizontal="center" vertical="center" wrapText="1"/>
    </xf>
    <xf numFmtId="167" fontId="68" fillId="0" borderId="5" xfId="81" applyFont="1" applyBorder="1" applyAlignment="1">
      <alignment horizontal="left" vertical="center" wrapText="1"/>
    </xf>
    <xf numFmtId="0" fontId="68" fillId="0" borderId="5" xfId="0" applyFont="1" applyBorder="1" applyAlignment="1">
      <alignment horizontal="left" vertical="center"/>
    </xf>
    <xf numFmtId="0" fontId="68" fillId="0" borderId="19"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21" xfId="0" applyFont="1" applyBorder="1" applyAlignment="1">
      <alignment horizontal="left" vertical="center"/>
    </xf>
    <xf numFmtId="0" fontId="68" fillId="0" borderId="24" xfId="0" applyFont="1" applyBorder="1" applyAlignment="1">
      <alignment horizontal="left" vertical="center"/>
    </xf>
    <xf numFmtId="0" fontId="68" fillId="0" borderId="20" xfId="0" applyFont="1" applyBorder="1" applyAlignment="1">
      <alignment horizontal="left" vertical="center"/>
    </xf>
    <xf numFmtId="0" fontId="68" fillId="0" borderId="21" xfId="0" applyFont="1" applyBorder="1" applyAlignment="1">
      <alignment horizontal="center" vertical="center"/>
    </xf>
    <xf numFmtId="0" fontId="68" fillId="0" borderId="24" xfId="0" applyFont="1" applyBorder="1" applyAlignment="1">
      <alignment horizontal="center" vertical="center"/>
    </xf>
    <xf numFmtId="0" fontId="68" fillId="0" borderId="20" xfId="0" applyFont="1" applyBorder="1" applyAlignment="1">
      <alignment horizontal="center" vertical="center"/>
    </xf>
    <xf numFmtId="0" fontId="41" fillId="34" borderId="14" xfId="93" applyFont="1" applyFill="1" applyBorder="1" applyAlignment="1">
      <alignment horizontal="center" vertical="center" wrapText="1"/>
    </xf>
    <xf numFmtId="0" fontId="41" fillId="34" borderId="15" xfId="93" applyFont="1" applyFill="1" applyBorder="1" applyAlignment="1">
      <alignment horizontal="center" vertical="center" wrapText="1"/>
    </xf>
    <xf numFmtId="3" fontId="41" fillId="35" borderId="37" xfId="92" applyNumberFormat="1" applyFont="1" applyFill="1" applyBorder="1" applyAlignment="1" applyProtection="1">
      <alignment horizontal="center"/>
      <protection hidden="1"/>
    </xf>
    <xf numFmtId="3" fontId="41" fillId="35" borderId="38" xfId="92" applyNumberFormat="1" applyFont="1" applyFill="1" applyBorder="1" applyAlignment="1" applyProtection="1">
      <alignment horizontal="center"/>
      <protection hidden="1"/>
    </xf>
    <xf numFmtId="3" fontId="41" fillId="34" borderId="37" xfId="92" applyNumberFormat="1" applyFont="1" applyFill="1" applyBorder="1" applyAlignment="1" applyProtection="1">
      <alignment horizontal="center"/>
      <protection hidden="1"/>
    </xf>
    <xf numFmtId="3" fontId="41" fillId="34" borderId="38" xfId="92" applyNumberFormat="1" applyFont="1" applyFill="1" applyBorder="1" applyAlignment="1" applyProtection="1">
      <alignment horizontal="center"/>
      <protection hidden="1"/>
    </xf>
    <xf numFmtId="3" fontId="41" fillId="35" borderId="39" xfId="92" applyNumberFormat="1" applyFont="1" applyFill="1" applyBorder="1" applyAlignment="1" applyProtection="1">
      <alignment horizontal="center"/>
      <protection hidden="1"/>
    </xf>
    <xf numFmtId="3" fontId="41" fillId="35" borderId="40" xfId="92" applyNumberFormat="1" applyFont="1" applyFill="1" applyBorder="1" applyAlignment="1" applyProtection="1">
      <alignment horizontal="center"/>
      <protection hidden="1"/>
    </xf>
    <xf numFmtId="3" fontId="41" fillId="35" borderId="41" xfId="92" applyNumberFormat="1" applyFont="1" applyFill="1" applyBorder="1" applyAlignment="1" applyProtection="1">
      <alignment horizontal="center"/>
      <protection hidden="1"/>
    </xf>
    <xf numFmtId="3" fontId="41" fillId="35" borderId="43" xfId="92" applyNumberFormat="1" applyFont="1" applyFill="1" applyBorder="1" applyAlignment="1" applyProtection="1">
      <alignment horizontal="center"/>
      <protection hidden="1"/>
    </xf>
    <xf numFmtId="3" fontId="41" fillId="35" borderId="44" xfId="92" applyNumberFormat="1" applyFont="1" applyFill="1" applyBorder="1" applyAlignment="1" applyProtection="1">
      <alignment horizontal="center"/>
      <protection hidden="1"/>
    </xf>
    <xf numFmtId="3" fontId="41" fillId="35" borderId="45" xfId="92" applyNumberFormat="1" applyFont="1" applyFill="1" applyBorder="1" applyAlignment="1" applyProtection="1">
      <alignment horizontal="center"/>
      <protection hidden="1"/>
    </xf>
    <xf numFmtId="3" fontId="41" fillId="34" borderId="43" xfId="92" applyNumberFormat="1" applyFont="1" applyFill="1" applyBorder="1" applyAlignment="1" applyProtection="1">
      <alignment horizontal="center"/>
      <protection hidden="1"/>
    </xf>
    <xf numFmtId="3" fontId="41" fillId="34" borderId="44" xfId="92" applyNumberFormat="1" applyFont="1" applyFill="1" applyBorder="1" applyAlignment="1" applyProtection="1">
      <alignment horizontal="center"/>
      <protection hidden="1"/>
    </xf>
    <xf numFmtId="3" fontId="41" fillId="34" borderId="45" xfId="92" applyNumberFormat="1" applyFont="1" applyFill="1" applyBorder="1" applyAlignment="1" applyProtection="1">
      <alignment horizontal="center"/>
      <protection hidden="1"/>
    </xf>
    <xf numFmtId="49" fontId="54" fillId="38" borderId="14" xfId="0" applyNumberFormat="1" applyFont="1" applyFill="1" applyBorder="1" applyAlignment="1">
      <alignment horizontal="center" vertical="center" wrapText="1"/>
    </xf>
    <xf numFmtId="49" fontId="54" fillId="38" borderId="55" xfId="0" applyNumberFormat="1" applyFont="1" applyFill="1" applyBorder="1" applyAlignment="1">
      <alignment horizontal="center" vertical="center" wrapText="1"/>
    </xf>
    <xf numFmtId="49" fontId="40" fillId="30" borderId="5" xfId="54" applyNumberFormat="1" applyFont="1" applyFill="1" applyBorder="1" applyAlignment="1" applyProtection="1">
      <alignment horizontal="center" vertical="top" wrapText="1"/>
      <protection hidden="1"/>
    </xf>
    <xf numFmtId="0" fontId="42" fillId="30" borderId="5" xfId="0" applyFont="1" applyFill="1" applyBorder="1" applyAlignment="1">
      <alignment horizontal="center" vertical="top" wrapText="1"/>
    </xf>
    <xf numFmtId="49" fontId="40" fillId="30" borderId="22" xfId="54" applyNumberFormat="1" applyFont="1" applyFill="1" applyBorder="1" applyAlignment="1" applyProtection="1">
      <alignment horizontal="center" vertical="top" wrapText="1"/>
      <protection hidden="1"/>
    </xf>
    <xf numFmtId="0" fontId="42" fillId="30" borderId="23" xfId="0" applyFont="1" applyFill="1" applyBorder="1" applyAlignment="1">
      <alignment horizontal="center" vertical="top" wrapText="1"/>
    </xf>
    <xf numFmtId="49" fontId="40" fillId="28" borderId="5" xfId="54" applyNumberFormat="1" applyFont="1" applyFill="1" applyBorder="1" applyAlignment="1" applyProtection="1">
      <alignment horizontal="center" vertical="top" wrapText="1"/>
      <protection hidden="1"/>
    </xf>
    <xf numFmtId="0" fontId="0" fillId="0" borderId="30"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18" xfId="0" applyBorder="1" applyAlignment="1">
      <alignment horizontal="left" vertical="center" wrapText="1"/>
    </xf>
    <xf numFmtId="49" fontId="40" fillId="28" borderId="14" xfId="54" applyNumberFormat="1" applyFont="1" applyFill="1" applyBorder="1" applyAlignment="1" applyProtection="1">
      <alignment horizontal="left" vertical="top" wrapText="1"/>
      <protection hidden="1"/>
    </xf>
    <xf numFmtId="49" fontId="40" fillId="28" borderId="15" xfId="54" applyNumberFormat="1" applyFont="1" applyFill="1" applyBorder="1" applyAlignment="1" applyProtection="1">
      <alignment horizontal="left" vertical="top" wrapText="1"/>
      <protection hidden="1"/>
    </xf>
    <xf numFmtId="49" fontId="40" fillId="28" borderId="14" xfId="54" applyNumberFormat="1" applyFont="1" applyFill="1" applyBorder="1" applyAlignment="1" applyProtection="1">
      <alignment horizontal="left" vertical="top"/>
      <protection hidden="1"/>
    </xf>
    <xf numFmtId="49" fontId="40" fillId="28" borderId="15" xfId="54" applyNumberFormat="1" applyFont="1" applyFill="1" applyBorder="1" applyAlignment="1" applyProtection="1">
      <alignment horizontal="left" vertical="top"/>
      <protection hidden="1"/>
    </xf>
    <xf numFmtId="49" fontId="40" fillId="28" borderId="16" xfId="54" applyNumberFormat="1" applyFont="1" applyFill="1" applyBorder="1" applyAlignment="1" applyProtection="1">
      <alignment horizontal="left" vertical="top"/>
      <protection hidden="1"/>
    </xf>
    <xf numFmtId="49" fontId="40" fillId="28" borderId="16" xfId="54" applyNumberFormat="1" applyFont="1" applyFill="1" applyBorder="1" applyAlignment="1" applyProtection="1">
      <alignment horizontal="left" vertical="top" wrapText="1"/>
      <protection hidden="1"/>
    </xf>
    <xf numFmtId="0" fontId="49" fillId="0" borderId="14" xfId="54" applyFont="1" applyBorder="1" applyAlignment="1" applyProtection="1">
      <alignment horizontal="center" wrapText="1"/>
      <protection hidden="1"/>
    </xf>
    <xf numFmtId="0" fontId="49" fillId="0" borderId="15" xfId="54" applyFont="1" applyBorder="1" applyAlignment="1" applyProtection="1">
      <alignment horizontal="center" wrapText="1"/>
      <protection hidden="1"/>
    </xf>
    <xf numFmtId="0" fontId="49" fillId="0" borderId="16" xfId="54" applyFont="1" applyBorder="1" applyAlignment="1" applyProtection="1">
      <alignment horizontal="center" wrapText="1"/>
      <protection hidden="1"/>
    </xf>
    <xf numFmtId="49" fontId="40" fillId="28" borderId="14" xfId="54" applyNumberFormat="1" applyFont="1" applyFill="1" applyBorder="1" applyAlignment="1" applyProtection="1">
      <alignment horizontal="center" vertical="center" wrapText="1"/>
      <protection hidden="1"/>
    </xf>
    <xf numFmtId="49" fontId="40" fillId="28" borderId="15" xfId="54" applyNumberFormat="1" applyFont="1" applyFill="1" applyBorder="1" applyAlignment="1" applyProtection="1">
      <alignment horizontal="center" vertical="center" wrapText="1"/>
      <protection hidden="1"/>
    </xf>
    <xf numFmtId="0" fontId="9" fillId="0" borderId="26" xfId="0" applyFont="1" applyBorder="1" applyAlignment="1">
      <alignment horizontal="left"/>
    </xf>
    <xf numFmtId="49" fontId="10" fillId="28" borderId="14" xfId="54" applyNumberFormat="1" applyFont="1" applyFill="1" applyBorder="1" applyAlignment="1" applyProtection="1">
      <alignment horizontal="center" vertical="top" wrapText="1"/>
      <protection hidden="1"/>
    </xf>
    <xf numFmtId="49" fontId="10" fillId="28" borderId="32" xfId="54" applyNumberFormat="1" applyFont="1" applyFill="1" applyBorder="1" applyAlignment="1" applyProtection="1">
      <alignment horizontal="center" vertical="top" wrapText="1"/>
      <protection hidden="1"/>
    </xf>
    <xf numFmtId="0" fontId="9" fillId="0" borderId="29" xfId="0" applyFont="1" applyBorder="1" applyAlignment="1">
      <alignment horizontal="left"/>
    </xf>
    <xf numFmtId="49" fontId="10" fillId="28" borderId="30" xfId="54" applyNumberFormat="1" applyFont="1" applyFill="1" applyBorder="1" applyAlignment="1" applyProtection="1">
      <alignment horizontal="left" vertical="top" wrapText="1"/>
      <protection hidden="1"/>
    </xf>
    <xf numFmtId="49" fontId="10" fillId="28" borderId="0" xfId="54" applyNumberFormat="1" applyFont="1" applyFill="1" applyAlignment="1" applyProtection="1">
      <alignment horizontal="left" vertical="top" wrapText="1"/>
      <protection hidden="1"/>
    </xf>
    <xf numFmtId="0" fontId="33" fillId="0" borderId="5" xfId="69" applyFont="1" applyBorder="1" applyAlignment="1">
      <alignment horizontal="left" vertical="top" wrapText="1"/>
    </xf>
    <xf numFmtId="0" fontId="9" fillId="0" borderId="27" xfId="0" applyFont="1" applyBorder="1" applyAlignment="1">
      <alignment horizontal="left"/>
    </xf>
  </cellXfs>
  <cellStyles count="11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Berekening 2 2" xfId="26" xr:uid="{00000000-0005-0000-0000-000019000000}"/>
    <cellStyle name="Comma_CALCULATIEBLAD.XLS" xfId="27" xr:uid="{00000000-0005-0000-0000-00001A000000}"/>
    <cellStyle name="Comma_Uurtarieven 2000 LEVERANCIER" xfId="28" xr:uid="{00000000-0005-0000-0000-00001B000000}"/>
    <cellStyle name="Controlecel 2" xfId="29" xr:uid="{00000000-0005-0000-0000-00001C000000}"/>
    <cellStyle name="Currency_ATIR-Calc-Uurtarief 2001" xfId="30" xr:uid="{00000000-0005-0000-0000-00001D000000}"/>
    <cellStyle name="Currency_CALCULATIEBLAD.XLS" xfId="31" xr:uid="{00000000-0005-0000-0000-00001E000000}"/>
    <cellStyle name="euro" xfId="32" xr:uid="{00000000-0005-0000-0000-00001F000000}"/>
    <cellStyle name="euro 2" xfId="33" xr:uid="{00000000-0005-0000-0000-000020000000}"/>
    <cellStyle name="Gekoppelde cel 2" xfId="34" xr:uid="{00000000-0005-0000-0000-000021000000}"/>
    <cellStyle name="Goed 2" xfId="35" xr:uid="{00000000-0005-0000-0000-000022000000}"/>
    <cellStyle name="invoer 2" xfId="36" xr:uid="{00000000-0005-0000-0000-000023000000}"/>
    <cellStyle name="invoer 2 2" xfId="37" xr:uid="{00000000-0005-0000-0000-000024000000}"/>
    <cellStyle name="Komma" xfId="38" builtinId="3"/>
    <cellStyle name="Komma 2" xfId="39" xr:uid="{00000000-0005-0000-0000-000026000000}"/>
    <cellStyle name="Komma 2 2" xfId="40" xr:uid="{00000000-0005-0000-0000-000027000000}"/>
    <cellStyle name="Komma 2 3" xfId="95" xr:uid="{5AFE7F02-59B0-4022-B887-25B4FE4DEA09}"/>
    <cellStyle name="Komma 2 4" xfId="107" xr:uid="{2D44BB45-6464-A745-8637-F4901BC100E2}"/>
    <cellStyle name="Komma 3" xfId="109" xr:uid="{A28483D0-308F-FE4C-B4A1-C05C62FA51CD}"/>
    <cellStyle name="Komma 3 2" xfId="94" xr:uid="{C655D81B-ED19-4725-8AA8-B00D181AECBB}"/>
    <cellStyle name="Komma 4" xfId="41" xr:uid="{00000000-0005-0000-0000-000028000000}"/>
    <cellStyle name="kop" xfId="42" xr:uid="{00000000-0005-0000-0000-000029000000}"/>
    <cellStyle name="Kop 1 2" xfId="43" xr:uid="{00000000-0005-0000-0000-00002A000000}"/>
    <cellStyle name="Kop 2 2" xfId="44" xr:uid="{00000000-0005-0000-0000-00002B000000}"/>
    <cellStyle name="Kop 3 2" xfId="45" xr:uid="{00000000-0005-0000-0000-00002C000000}"/>
    <cellStyle name="Kop 4 2" xfId="46" xr:uid="{00000000-0005-0000-0000-00002D000000}"/>
    <cellStyle name="Koppen_rekenblad" xfId="47" xr:uid="{00000000-0005-0000-0000-00002E000000}"/>
    <cellStyle name="koppenrekenblad2" xfId="48" xr:uid="{00000000-0005-0000-0000-00002F000000}"/>
    <cellStyle name="m2" xfId="49" xr:uid="{00000000-0005-0000-0000-000030000000}"/>
    <cellStyle name="Neutraal 2" xfId="50" xr:uid="{00000000-0005-0000-0000-000031000000}"/>
    <cellStyle name="Normaal 2" xfId="51" xr:uid="{00000000-0005-0000-0000-000032000000}"/>
    <cellStyle name="Normaal 3" xfId="52" xr:uid="{00000000-0005-0000-0000-000033000000}"/>
    <cellStyle name="Normaal 3 2" xfId="53" xr:uid="{00000000-0005-0000-0000-000034000000}"/>
    <cellStyle name="Normal_ KLM-CTR(STA)-Recap.xls" xfId="54" xr:uid="{00000000-0005-0000-0000-000035000000}"/>
    <cellStyle name="Normal_AFRPPRIJS.xls" xfId="55" xr:uid="{00000000-0005-0000-0000-000036000000}"/>
    <cellStyle name="Normal_CALCULATIEBLAD.XLS" xfId="56" xr:uid="{00000000-0005-0000-0000-000038000000}"/>
    <cellStyle name="Normal_Uurtarieven 2000 LEVERANCIER" xfId="57" xr:uid="{00000000-0005-0000-0000-000039000000}"/>
    <cellStyle name="Notitie 2" xfId="58" xr:uid="{00000000-0005-0000-0000-00003B000000}"/>
    <cellStyle name="Notitie 2 2" xfId="59" xr:uid="{00000000-0005-0000-0000-00003C000000}"/>
    <cellStyle name="Ongedefinieerd" xfId="60" xr:uid="{00000000-0005-0000-0000-00003D000000}"/>
    <cellStyle name="Ongeldig 2" xfId="61" xr:uid="{00000000-0005-0000-0000-00003E000000}"/>
    <cellStyle name="Procent" xfId="62" builtinId="5"/>
    <cellStyle name="Procent 2" xfId="63" xr:uid="{00000000-0005-0000-0000-000040000000}"/>
    <cellStyle name="Procent 2 2" xfId="105" xr:uid="{EC98F242-8E17-9241-9EC4-12FA11878ADA}"/>
    <cellStyle name="Procent 3" xfId="64" xr:uid="{00000000-0005-0000-0000-000041000000}"/>
    <cellStyle name="Procent 4" xfId="65" xr:uid="{00000000-0005-0000-0000-000042000000}"/>
    <cellStyle name="Ruimtestaat_Koppen" xfId="66" xr:uid="{00000000-0005-0000-0000-000043000000}"/>
    <cellStyle name="Standaard" xfId="0" builtinId="0"/>
    <cellStyle name="Standaard 2" xfId="67" xr:uid="{00000000-0005-0000-0000-000045000000}"/>
    <cellStyle name="Standaard 2 2" xfId="68" xr:uid="{00000000-0005-0000-0000-000046000000}"/>
    <cellStyle name="Standaard 2 2 2" xfId="92" xr:uid="{518E1CC5-91F0-46EE-BE05-EE92DDFD40C6}"/>
    <cellStyle name="Standaard 2 3" xfId="99" xr:uid="{761AFB10-DA21-41BA-82C6-CC4CC0C93ADD}"/>
    <cellStyle name="Standaard 2 4" xfId="104" xr:uid="{EEF92448-9BD4-9448-BEC8-1BCD7D43C5FE}"/>
    <cellStyle name="Standaard 3" xfId="69" xr:uid="{00000000-0005-0000-0000-000047000000}"/>
    <cellStyle name="Standaard 3 2" xfId="70" xr:uid="{00000000-0005-0000-0000-000048000000}"/>
    <cellStyle name="Standaard 3 3" xfId="71" xr:uid="{00000000-0005-0000-0000-000049000000}"/>
    <cellStyle name="Standaard 3 4" xfId="100" xr:uid="{475CBBA0-51A9-4DCB-B6EC-24621B972941}"/>
    <cellStyle name="Standaard 4" xfId="72" xr:uid="{00000000-0005-0000-0000-00004A000000}"/>
    <cellStyle name="Standaard 4 2" xfId="101" xr:uid="{F279A1FD-E681-4C1F-9237-BC75F4987FB1}"/>
    <cellStyle name="Standaard 5" xfId="91" xr:uid="{00000000-0005-0000-0000-00004B000000}"/>
    <cellStyle name="Standaard 5 2" xfId="102" xr:uid="{5F4BFC6D-8A7E-4DC1-8715-DA9BCF2B7349}"/>
    <cellStyle name="Standaard 6" xfId="73" xr:uid="{00000000-0005-0000-0000-00004C000000}"/>
    <cellStyle name="Standaard 6 2" xfId="96" xr:uid="{5121A450-73F9-4347-8D6A-314953A2CD62}"/>
    <cellStyle name="Standaard 7" xfId="74" xr:uid="{00000000-0005-0000-0000-00004D000000}"/>
    <cellStyle name="Standaard 8" xfId="98" xr:uid="{5023D309-FAA7-4564-B790-2E4BC7E9F5D8}"/>
    <cellStyle name="Standaard 8 2" xfId="93" xr:uid="{0B94C645-3A7C-4F0F-902C-46F3C504B791}"/>
    <cellStyle name="Standaard 9" xfId="103" xr:uid="{31EFB402-F068-4E84-810E-374823F20EF9}"/>
    <cellStyle name="Standaard_Bijlage 1 + 3" xfId="108" xr:uid="{FEA1C808-CF2F-B44F-96A7-1E4F404AF0EB}"/>
    <cellStyle name="Standaard_Blad1" xfId="75" xr:uid="{00000000-0005-0000-0000-00004E000000}"/>
    <cellStyle name="Titel 2" xfId="76" xr:uid="{00000000-0005-0000-0000-00004F000000}"/>
    <cellStyle name="Totaal 2" xfId="77" xr:uid="{00000000-0005-0000-0000-000050000000}"/>
    <cellStyle name="Totaal 2 2" xfId="78" xr:uid="{00000000-0005-0000-0000-000051000000}"/>
    <cellStyle name="Uitvoer 2" xfId="79" xr:uid="{00000000-0005-0000-0000-000052000000}"/>
    <cellStyle name="Uitvoer 2 2" xfId="80" xr:uid="{00000000-0005-0000-0000-000053000000}"/>
    <cellStyle name="Valuta" xfId="81" builtinId="4"/>
    <cellStyle name="Valuta 2" xfId="82" xr:uid="{00000000-0005-0000-0000-000055000000}"/>
    <cellStyle name="Valuta 2 2" xfId="106" xr:uid="{76244C8E-0A91-3043-A88F-1E4912813745}"/>
    <cellStyle name="Valuta 3" xfId="83" xr:uid="{00000000-0005-0000-0000-000056000000}"/>
    <cellStyle name="Valuta 4" xfId="84" xr:uid="{00000000-0005-0000-0000-000057000000}"/>
    <cellStyle name="Valuta 5" xfId="85" xr:uid="{00000000-0005-0000-0000-000058000000}"/>
    <cellStyle name="Valuta 6" xfId="97" xr:uid="{5F8D71CE-9464-5947-9303-C436BCDF4976}"/>
    <cellStyle name="Valuta euro rb" xfId="86" xr:uid="{00000000-0005-0000-0000-000059000000}"/>
    <cellStyle name="Valuta F rb" xfId="87" xr:uid="{00000000-0005-0000-0000-00005A000000}"/>
    <cellStyle name="Valuta gulden rb" xfId="88" xr:uid="{00000000-0005-0000-0000-00005B000000}"/>
    <cellStyle name="Verklarende tekst 2" xfId="89" xr:uid="{00000000-0005-0000-0000-00005C000000}"/>
    <cellStyle name="Waarschuwingstekst 2" xfId="90" xr:uid="{00000000-0005-0000-0000-00005D000000}"/>
  </cellStyles>
  <dxfs count="54">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theme="6" tint="0.79998168889431442"/>
        </patternFill>
      </fill>
    </dxf>
    <dxf>
      <font>
        <condense val="0"/>
        <extend val="0"/>
        <color auto="1"/>
      </font>
      <fill>
        <patternFill>
          <bgColor theme="6" tint="0.79998168889431442"/>
        </patternFill>
      </fill>
    </dxf>
    <dxf>
      <font>
        <condense val="0"/>
        <extend val="0"/>
        <color auto="1"/>
      </font>
      <fill>
        <patternFill>
          <bgColor theme="6" tint="0.79998168889431442"/>
        </patternFill>
      </fill>
    </dxf>
    <dxf>
      <font>
        <condense val="0"/>
        <extend val="0"/>
        <color auto="1"/>
      </font>
      <fill>
        <patternFill>
          <bgColor theme="6" tint="0.79998168889431442"/>
        </patternFill>
      </fill>
    </dxf>
    <dxf>
      <fill>
        <patternFill>
          <bgColor indexed="42"/>
        </patternFill>
      </fill>
    </dxf>
    <dxf>
      <fill>
        <patternFill>
          <bgColor indexed="42"/>
        </patternFill>
      </fill>
    </dxf>
    <dxf>
      <fill>
        <patternFill>
          <bgColor indexed="43"/>
        </patternFill>
      </fill>
    </dxf>
    <dxf>
      <font>
        <b/>
        <i val="0"/>
        <color theme="1"/>
      </font>
      <fill>
        <patternFill>
          <bgColor rgb="FF92D050"/>
        </patternFill>
      </fill>
    </dxf>
    <dxf>
      <font>
        <b/>
        <i val="0"/>
        <color theme="1"/>
      </font>
      <fill>
        <patternFill>
          <bgColor rgb="FFFF0000"/>
        </patternFill>
      </fill>
    </dxf>
    <dxf>
      <font>
        <b/>
        <i val="0"/>
        <color theme="1"/>
      </font>
      <fill>
        <patternFill>
          <bgColor rgb="FF00B0F0"/>
        </patternFill>
      </fill>
    </dxf>
    <dxf>
      <numFmt numFmtId="2" formatCode="0.00"/>
    </dxf>
    <dxf>
      <numFmt numFmtId="175" formatCode="0.0"/>
    </dxf>
    <dxf>
      <numFmt numFmtId="1" formatCode="0"/>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lor auto="1"/>
      </font>
      <fill>
        <patternFill>
          <bgColor theme="4" tint="0.7999816888943144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D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C:/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ogin.commerce-hub.com/Users/patrickwolfert/PGW%20Advies/Accounts/Politie/Aanbesteding%20schoonmaak/PVE/Calculatiebestanden/bijna%20goed%20leeg/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IN/PVE/Concept/ruimtestaat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lmansgroep.net/bedrijven/Users/r.ankersmit/AppData/Local/Microsoft/Windows/Temporary%20Internet%20Files/Content.Outlook/R8XNV3WW/2015-03-26%20calculatiemodel%20CS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edewerkers/CBI-tekst/EXCEL/Jankees/1.%20In%20behandeling/Da%20Vinci%20College/Offerte/DVC%20P1%202%20bijlage%201-3herzien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2005/Aanbestedingen/district%20NWN/Velsen%20Noord/Verpleeghuis%20Lauwershof/Calculatie%20(Za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Omreken"/>
      <sheetName val="Tabellen"/>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Validaties"/>
      <sheetName val="atir_xls"/>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row r="46">
          <cell r="K46">
            <v>0</v>
          </cell>
        </row>
      </sheetData>
      <sheetData sheetId="13"/>
      <sheetData sheetId="14"/>
      <sheetData sheetId="15"/>
      <sheetData sheetId="16" refreshError="1"/>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06"/>
      <sheetName val="Kengetal"/>
      <sheetName val="Blad1"/>
      <sheetName val="Blad2"/>
      <sheetName val="Blad3"/>
      <sheetName val="#VERW"/>
      <sheetName val="Basis ruimtestaat bijlage 1"/>
      <sheetName val="draaitabel vloersoorten"/>
      <sheetName val="draaitabel m2"/>
      <sheetName val="Bijlage 1"/>
      <sheetName val="Bijlage 3.0. Calculatie_totaal"/>
      <sheetName val="Bijlage 3.1 Calculatieblad"/>
      <sheetName val="Bijlage 3.2 Additioneel werk"/>
      <sheetName val="Bijlage 3.3 Staffels "/>
      <sheetName val="Bijlage 3.4.1 Opbouw uurtarief"/>
      <sheetName val="Bijlage 3.4.2 Toeslag tarief"/>
      <sheetName val="Bijlage 3.5 Glasbewassing "/>
      <sheetName val="Bijlage 3.6 Sanitair "/>
    </sheetNames>
    <sheetDataSet>
      <sheetData sheetId="0" refreshError="1"/>
      <sheetData sheetId="1" refreshError="1">
        <row r="4">
          <cell r="A4">
            <v>0</v>
          </cell>
          <cell r="B4">
            <v>0</v>
          </cell>
          <cell r="C4">
            <v>0</v>
          </cell>
          <cell r="D4">
            <v>0</v>
          </cell>
          <cell r="F4">
            <v>0</v>
          </cell>
        </row>
        <row r="5">
          <cell r="A5" t="str">
            <v>01.00</v>
          </cell>
          <cell r="B5">
            <v>255</v>
          </cell>
          <cell r="C5" t="str">
            <v>Kantoren</v>
          </cell>
          <cell r="D5" t="str">
            <v>dagelijks</v>
          </cell>
        </row>
        <row r="6">
          <cell r="A6" t="str">
            <v>01.20</v>
          </cell>
          <cell r="B6">
            <v>104</v>
          </cell>
          <cell r="C6" t="str">
            <v>Kantoren</v>
          </cell>
          <cell r="D6" t="str">
            <v>tweemaal per week met dagelijks afvalbak legen</v>
          </cell>
        </row>
        <row r="7">
          <cell r="A7" t="str">
            <v>02.00</v>
          </cell>
          <cell r="B7">
            <v>255</v>
          </cell>
          <cell r="C7" t="str">
            <v>Sanitair</v>
          </cell>
          <cell r="D7" t="str">
            <v>dagelijks</v>
          </cell>
        </row>
        <row r="8">
          <cell r="A8" t="str">
            <v>02.02</v>
          </cell>
          <cell r="B8">
            <v>510</v>
          </cell>
          <cell r="C8" t="str">
            <v>Sanitair</v>
          </cell>
          <cell r="D8" t="str">
            <v>tweemaal per dag</v>
          </cell>
        </row>
        <row r="9">
          <cell r="A9" t="str">
            <v>03.00</v>
          </cell>
          <cell r="B9">
            <v>255</v>
          </cell>
          <cell r="C9" t="str">
            <v>Gangen</v>
          </cell>
          <cell r="D9" t="str">
            <v>dagelijks</v>
          </cell>
        </row>
        <row r="10">
          <cell r="A10" t="str">
            <v>03.10</v>
          </cell>
          <cell r="B10">
            <v>52</v>
          </cell>
          <cell r="C10" t="str">
            <v>Gangen</v>
          </cell>
          <cell r="D10" t="str">
            <v>wekelijks</v>
          </cell>
        </row>
        <row r="11">
          <cell r="A11" t="str">
            <v>03.20</v>
          </cell>
          <cell r="B11">
            <v>128</v>
          </cell>
          <cell r="C11" t="str">
            <v>Gangen</v>
          </cell>
          <cell r="D11" t="str">
            <v>tweemaal per week</v>
          </cell>
        </row>
        <row r="12">
          <cell r="A12" t="str">
            <v>04.20</v>
          </cell>
          <cell r="B12">
            <v>255</v>
          </cell>
          <cell r="C12" t="str">
            <v>Lift</v>
          </cell>
          <cell r="D12" t="str">
            <v>tweemaal per week</v>
          </cell>
        </row>
        <row r="13">
          <cell r="A13" t="str">
            <v>05.20</v>
          </cell>
          <cell r="B13">
            <v>255</v>
          </cell>
          <cell r="C13" t="str">
            <v>Trappenhuis</v>
          </cell>
          <cell r="D13" t="str">
            <v>tweemaal per week</v>
          </cell>
        </row>
        <row r="14">
          <cell r="A14" t="str">
            <v>06.00</v>
          </cell>
          <cell r="B14">
            <v>255</v>
          </cell>
          <cell r="C14" t="str">
            <v>Restauratieve ruimte</v>
          </cell>
          <cell r="D14" t="str">
            <v>dagelijks</v>
          </cell>
        </row>
        <row r="15">
          <cell r="A15" t="str">
            <v>06.20</v>
          </cell>
          <cell r="B15">
            <v>128</v>
          </cell>
          <cell r="C15" t="str">
            <v>Restauratieve ruimte</v>
          </cell>
          <cell r="D15" t="str">
            <v>tweemaal per week</v>
          </cell>
        </row>
        <row r="16">
          <cell r="A16" t="str">
            <v>07.00</v>
          </cell>
          <cell r="B16">
            <v>255</v>
          </cell>
          <cell r="C16" t="str">
            <v>Entrée/hal</v>
          </cell>
          <cell r="D16" t="str">
            <v>dagelijks</v>
          </cell>
        </row>
        <row r="17">
          <cell r="A17" t="str">
            <v>08.00</v>
          </cell>
          <cell r="B17">
            <v>255</v>
          </cell>
          <cell r="C17" t="str">
            <v>Pantry</v>
          </cell>
          <cell r="D17" t="str">
            <v>dagelijks</v>
          </cell>
        </row>
        <row r="18">
          <cell r="A18" t="str">
            <v>09.00</v>
          </cell>
          <cell r="B18">
            <v>255</v>
          </cell>
          <cell r="C18" t="str">
            <v>Rookruimte</v>
          </cell>
          <cell r="D18" t="str">
            <v>dagelijks</v>
          </cell>
        </row>
        <row r="19">
          <cell r="A19" t="str">
            <v>10.10</v>
          </cell>
          <cell r="B19">
            <v>52</v>
          </cell>
          <cell r="C19" t="str">
            <v>Archief</v>
          </cell>
          <cell r="D19" t="str">
            <v>wekelijks</v>
          </cell>
        </row>
        <row r="20">
          <cell r="A20" t="str">
            <v>10.12</v>
          </cell>
          <cell r="B20">
            <v>12</v>
          </cell>
          <cell r="C20" t="str">
            <v>Archief</v>
          </cell>
          <cell r="D20" t="str">
            <v>maandelijks</v>
          </cell>
        </row>
        <row r="21">
          <cell r="A21" t="str">
            <v>11.00</v>
          </cell>
          <cell r="B21">
            <v>255</v>
          </cell>
          <cell r="C21" t="str">
            <v>Vergaderkamer</v>
          </cell>
          <cell r="D21" t="str">
            <v>dagelijks</v>
          </cell>
        </row>
        <row r="22">
          <cell r="A22" t="str">
            <v>12.00</v>
          </cell>
          <cell r="B22">
            <v>255</v>
          </cell>
          <cell r="C22" t="str">
            <v>Kleedlokaal</v>
          </cell>
          <cell r="D22" t="str">
            <v>dagelijks</v>
          </cell>
        </row>
        <row r="27">
          <cell r="A27" t="str">
            <v>nvt</v>
          </cell>
          <cell r="B27">
            <v>0</v>
          </cell>
          <cell r="C27" t="str">
            <v>Niet van toepassing</v>
          </cell>
        </row>
        <row r="28">
          <cell r="C28">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Kengetal"/>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enblad"/>
      <sheetName val="Tabel"/>
      <sheetName val="Normen"/>
      <sheetName val="Add. 220 en 230"/>
      <sheetName val="Sanitairronde extra"/>
      <sheetName val="Bijlage 1"/>
      <sheetName val="Bijlage 3.0. Calculatie_totaal"/>
      <sheetName val="Bijlage 3.1 Calculatieblad"/>
      <sheetName val="Bijlage 3.2 Additioneel werk"/>
      <sheetName val="Bijlage 3.3.1 Staffel(vloer)"/>
      <sheetName val="Bijlage 3.3.2 Staffel (Wand)"/>
      <sheetName val="Bijlage 3.3.3 Staffel (divers)"/>
      <sheetName val="Bijlage 3.4.1 Opbouw uurtarief"/>
      <sheetName val="Bijlage 3.4.2 Toeslag tarief"/>
      <sheetName val="Bijlage 3.5 Glasbewassing "/>
    </sheetNames>
    <sheetDataSet>
      <sheetData sheetId="0" refreshError="1"/>
      <sheetData sheetId="1" refreshError="1"/>
      <sheetData sheetId="2" refreshError="1">
        <row r="1">
          <cell r="A1" t="str">
            <v>Code</v>
          </cell>
          <cell r="B1" t="str">
            <v>Norm</v>
          </cell>
        </row>
        <row r="2">
          <cell r="A2" t="str">
            <v>001.200.70;Kantoor;Beton geverfd/gelakt</v>
          </cell>
          <cell r="B2">
            <v>392.20000000000005</v>
          </cell>
        </row>
        <row r="3">
          <cell r="A3" t="str">
            <v>001.200.70;Kantoor;Linoleum</v>
          </cell>
          <cell r="B3">
            <v>365.70000000000005</v>
          </cell>
        </row>
        <row r="4">
          <cell r="A4" t="str">
            <v>001.200.70;Kantoor;Rubber</v>
          </cell>
          <cell r="B4">
            <v>392.20000000000005</v>
          </cell>
        </row>
        <row r="5">
          <cell r="A5" t="str">
            <v>001.200.70;Kantoor;Tapijt</v>
          </cell>
          <cell r="B5">
            <v>392.20000000000005</v>
          </cell>
        </row>
        <row r="6">
          <cell r="A6" t="str">
            <v>002.200.70;Repro/Postkamer;Rubber</v>
          </cell>
          <cell r="B6">
            <v>418.70000000000005</v>
          </cell>
        </row>
        <row r="7">
          <cell r="A7" t="str">
            <v>005.200.70;Vergaderruimte;Hout/parket</v>
          </cell>
          <cell r="B7">
            <v>434.6</v>
          </cell>
        </row>
        <row r="8">
          <cell r="A8" t="str">
            <v>005.200.70;Vergaderruimte;Linoleum</v>
          </cell>
          <cell r="B8">
            <v>402.8</v>
          </cell>
        </row>
        <row r="9">
          <cell r="A9" t="str">
            <v>005.200.70;Vergaderruimte;Rubber</v>
          </cell>
          <cell r="B9">
            <v>434.6</v>
          </cell>
        </row>
        <row r="10">
          <cell r="A10" t="str">
            <v>005.200.70;Vergaderruimte;Tapijt</v>
          </cell>
          <cell r="B10">
            <v>434.6</v>
          </cell>
        </row>
        <row r="11">
          <cell r="A11" t="str">
            <v>008.200.70;Toilet;Epoxy</v>
          </cell>
          <cell r="B11">
            <v>74.2</v>
          </cell>
        </row>
        <row r="12">
          <cell r="A12" t="str">
            <v>008.200.70;Toilet;Steen/DHGT</v>
          </cell>
          <cell r="B12">
            <v>74.2</v>
          </cell>
        </row>
        <row r="13">
          <cell r="A13" t="str">
            <v>009.200.70;Douche;Epoxy</v>
          </cell>
          <cell r="B13">
            <v>116.60000000000001</v>
          </cell>
        </row>
        <row r="14">
          <cell r="A14" t="str">
            <v>009.200.70;Douche;Steen/DHGT</v>
          </cell>
          <cell r="B14">
            <v>116.60000000000001</v>
          </cell>
        </row>
        <row r="15">
          <cell r="A15" t="str">
            <v>011.200.70;Gang;Beton geverfd/gelakt</v>
          </cell>
          <cell r="B15">
            <v>556.5</v>
          </cell>
        </row>
        <row r="16">
          <cell r="A16" t="str">
            <v>011.200.70;Gang;Linoleum</v>
          </cell>
          <cell r="B16">
            <v>524.70000000000005</v>
          </cell>
        </row>
        <row r="17">
          <cell r="A17" t="str">
            <v>011.200.70;Gang;Rubber</v>
          </cell>
          <cell r="B17">
            <v>556.5</v>
          </cell>
        </row>
        <row r="18">
          <cell r="A18" t="str">
            <v>011.200.70;Gang;Tapijt</v>
          </cell>
          <cell r="B18">
            <v>556.5</v>
          </cell>
        </row>
        <row r="19">
          <cell r="A19" t="str">
            <v>012.200.70;Entree;Tapijt</v>
          </cell>
          <cell r="B19">
            <v>424</v>
          </cell>
        </row>
        <row r="20">
          <cell r="A20" t="str">
            <v>013.200.70;Atrium;Beton geverfd/gelakt</v>
          </cell>
          <cell r="B20">
            <v>296.8</v>
          </cell>
        </row>
        <row r="21">
          <cell r="A21" t="str">
            <v>013.200.70;Atrium;Linoleum</v>
          </cell>
          <cell r="B21">
            <v>280.90000000000003</v>
          </cell>
        </row>
        <row r="22">
          <cell r="A22" t="str">
            <v>015.200.70;Trap;Beton geverfd/gelakt</v>
          </cell>
          <cell r="B22">
            <v>286.2</v>
          </cell>
        </row>
        <row r="23">
          <cell r="A23" t="str">
            <v>015.200.70;Trap;Hout/parket</v>
          </cell>
          <cell r="B23">
            <v>259.7</v>
          </cell>
        </row>
        <row r="24">
          <cell r="A24" t="str">
            <v>015.200.70;Trap;Linoleum</v>
          </cell>
          <cell r="B24">
            <v>243.8</v>
          </cell>
        </row>
        <row r="25">
          <cell r="A25" t="str">
            <v>015.200.70;Trap;Metaal</v>
          </cell>
          <cell r="B25">
            <v>286.2</v>
          </cell>
        </row>
        <row r="26">
          <cell r="A26" t="str">
            <v>015.200.70;Trap;Rubber</v>
          </cell>
          <cell r="B26">
            <v>286.2</v>
          </cell>
        </row>
        <row r="27">
          <cell r="A27" t="str">
            <v>017.200.70;Lift;Linoleum</v>
          </cell>
          <cell r="B27">
            <v>106</v>
          </cell>
        </row>
        <row r="28">
          <cell r="A28" t="str">
            <v>017.200.70;Lift;Rubber</v>
          </cell>
          <cell r="B28">
            <v>106</v>
          </cell>
        </row>
        <row r="29">
          <cell r="A29" t="str">
            <v>021.200.70;Garderobe;Linoleum</v>
          </cell>
          <cell r="B29">
            <v>360.40000000000003</v>
          </cell>
        </row>
        <row r="30">
          <cell r="A30" t="str">
            <v>021.200.70;Garderobe;Rubber</v>
          </cell>
          <cell r="B30">
            <v>386.90000000000003</v>
          </cell>
        </row>
        <row r="31">
          <cell r="A31" t="str">
            <v>021.200.70;Garderobe;Tapijt</v>
          </cell>
          <cell r="B31">
            <v>386.90000000000003</v>
          </cell>
        </row>
        <row r="32">
          <cell r="A32" t="str">
            <v>022.200.70;Kleedruimte;Steen/DHGT</v>
          </cell>
          <cell r="B32">
            <v>137.80000000000001</v>
          </cell>
        </row>
        <row r="33">
          <cell r="A33" t="str">
            <v>024.200.70;Koffiecorner;Linoleum</v>
          </cell>
          <cell r="B33">
            <v>291.5</v>
          </cell>
        </row>
        <row r="34">
          <cell r="A34" t="str">
            <v>024.200.70;Koffiecorner;Tapijt</v>
          </cell>
          <cell r="B34">
            <v>312.7</v>
          </cell>
        </row>
        <row r="35">
          <cell r="A35" t="str">
            <v>026.200.70;Leslokaal theorie;Beton geverfd/gelakt</v>
          </cell>
          <cell r="B35">
            <v>371</v>
          </cell>
        </row>
        <row r="36">
          <cell r="A36" t="str">
            <v>026.200.70;Leslokaal theorie;Beton/Stoeptegel</v>
          </cell>
          <cell r="B36">
            <v>371</v>
          </cell>
        </row>
        <row r="37">
          <cell r="A37" t="str">
            <v>026.200.70;Leslokaal theorie;Linoleum</v>
          </cell>
          <cell r="B37">
            <v>349.8</v>
          </cell>
        </row>
        <row r="38">
          <cell r="A38" t="str">
            <v>026.200.70;Leslokaal theorie;Rubber</v>
          </cell>
          <cell r="B38">
            <v>371</v>
          </cell>
        </row>
        <row r="39">
          <cell r="A39" t="str">
            <v>026.200.70;Leslokaal theorie;Steen/DHGT</v>
          </cell>
          <cell r="B39">
            <v>360.40000000000003</v>
          </cell>
        </row>
        <row r="40">
          <cell r="A40" t="str">
            <v>026.200.70;Leslokaal theorie;Tapijt</v>
          </cell>
          <cell r="B40">
            <v>371</v>
          </cell>
        </row>
        <row r="41">
          <cell r="A41" t="str">
            <v>027.200.70;Leslokaal praktijk;Beton geverfd/gelakt</v>
          </cell>
          <cell r="B41">
            <v>371</v>
          </cell>
        </row>
        <row r="42">
          <cell r="A42" t="str">
            <v>027.200.70;Leslokaal praktijk;Linoleum</v>
          </cell>
          <cell r="B42">
            <v>349.8</v>
          </cell>
        </row>
        <row r="43">
          <cell r="A43" t="str">
            <v>027.200.70;Leslokaal praktijk;Rubber</v>
          </cell>
          <cell r="B43">
            <v>371</v>
          </cell>
        </row>
        <row r="44">
          <cell r="A44" t="str">
            <v>027.200.70;Leslokaal praktijk;Steen/DHGT</v>
          </cell>
          <cell r="B44">
            <v>371</v>
          </cell>
        </row>
        <row r="45">
          <cell r="A45" t="str">
            <v>028.200.70;Sportzaal;Sportvloer</v>
          </cell>
          <cell r="B45">
            <v>678.40000000000009</v>
          </cell>
        </row>
        <row r="46">
          <cell r="A46" t="str">
            <v>031.200.70;Restaurant;Linoleum</v>
          </cell>
          <cell r="B46">
            <v>302.10000000000002</v>
          </cell>
        </row>
        <row r="47">
          <cell r="A47" t="str">
            <v>031.200.70;Restaurant;Rubber</v>
          </cell>
          <cell r="B47">
            <v>312.7</v>
          </cell>
        </row>
        <row r="48">
          <cell r="A48" t="str">
            <v>033.200.70;Keuken;Epoxy</v>
          </cell>
          <cell r="B48">
            <v>328.6</v>
          </cell>
        </row>
        <row r="49">
          <cell r="A49" t="str">
            <v>053.200.70;Douche/Toilet;Steen/DHGT</v>
          </cell>
          <cell r="B49">
            <v>116.60000000000001</v>
          </cell>
        </row>
        <row r="50">
          <cell r="A50" t="str">
            <v>110.200.70;Was-/kleedruimte;Epoxy</v>
          </cell>
          <cell r="B50">
            <v>185.5</v>
          </cell>
        </row>
        <row r="51">
          <cell r="A51" t="str">
            <v>110.200.70;Was-/kleedruimte;Linoleum</v>
          </cell>
          <cell r="B51">
            <v>185.5</v>
          </cell>
        </row>
        <row r="52">
          <cell r="A52" t="str">
            <v>140.200.70;Personeelsruimte;Tapijt</v>
          </cell>
          <cell r="B52">
            <v>397.5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 Bestek"/>
      <sheetName val="Bestek Weekend"/>
      <sheetName val="NRMBLD"/>
      <sheetName val="CALC Intern"/>
    </sheetNames>
    <sheetDataSet>
      <sheetData sheetId="0"/>
      <sheetData sheetId="1"/>
      <sheetData sheetId="2"/>
      <sheetData sheetId="3" refreshError="1">
        <row r="2">
          <cell r="A2" t="str">
            <v>Behandelgebouw</v>
          </cell>
          <cell r="E2" t="str">
            <v>Verkeersruimten</v>
          </cell>
          <cell r="G2">
            <v>32</v>
          </cell>
          <cell r="Y2">
            <v>15.844660194174757</v>
          </cell>
          <cell r="Z2">
            <v>6.2135922330097085E-2</v>
          </cell>
        </row>
        <row r="3">
          <cell r="A3" t="str">
            <v>Behandelgebouw</v>
          </cell>
          <cell r="E3" t="str">
            <v>Verkeersruimten</v>
          </cell>
          <cell r="G3">
            <v>70</v>
          </cell>
          <cell r="Y3">
            <v>34.660194174757279</v>
          </cell>
          <cell r="Z3">
            <v>0.13592233009708737</v>
          </cell>
        </row>
        <row r="4">
          <cell r="A4" t="str">
            <v>Behandelgebouw</v>
          </cell>
          <cell r="E4" t="str">
            <v>Kantoren</v>
          </cell>
          <cell r="G4">
            <v>12</v>
          </cell>
          <cell r="Y4">
            <v>7.2857142857142847</v>
          </cell>
          <cell r="Z4">
            <v>2.8571428571428567E-2</v>
          </cell>
        </row>
        <row r="5">
          <cell r="A5" t="str">
            <v>Behandelgebouw</v>
          </cell>
          <cell r="E5" t="str">
            <v>Hallen</v>
          </cell>
          <cell r="G5">
            <v>27</v>
          </cell>
          <cell r="Y5">
            <v>14.195876288659795</v>
          </cell>
          <cell r="Z5">
            <v>5.5670103092783509E-2</v>
          </cell>
        </row>
        <row r="6">
          <cell r="A6" t="str">
            <v>Behandelgebouw</v>
          </cell>
          <cell r="E6" t="str">
            <v>Entrees</v>
          </cell>
          <cell r="G6">
            <v>9</v>
          </cell>
          <cell r="Y6">
            <v>5.0999999999999996</v>
          </cell>
          <cell r="Z6">
            <v>1.9999999999999997E-2</v>
          </cell>
        </row>
        <row r="7">
          <cell r="A7" t="str">
            <v>Behandelgebouw</v>
          </cell>
          <cell r="E7" t="str">
            <v>Trappen(huizen)</v>
          </cell>
          <cell r="G7">
            <v>15</v>
          </cell>
          <cell r="Y7">
            <v>7.7272727272727266</v>
          </cell>
          <cell r="Z7">
            <v>3.03030303030303E-2</v>
          </cell>
        </row>
        <row r="8">
          <cell r="A8" t="str">
            <v>Behandelgebouw</v>
          </cell>
          <cell r="E8" t="str">
            <v>Verkeersruimten</v>
          </cell>
          <cell r="G8">
            <v>54</v>
          </cell>
          <cell r="Y8">
            <v>26.737864077669904</v>
          </cell>
          <cell r="Z8">
            <v>0.10485436893203884</v>
          </cell>
        </row>
        <row r="9">
          <cell r="A9" t="str">
            <v>Behandelgebouw</v>
          </cell>
          <cell r="E9" t="str">
            <v>Lifthallen</v>
          </cell>
          <cell r="G9">
            <v>45</v>
          </cell>
          <cell r="Y9">
            <v>23.659793814432991</v>
          </cell>
          <cell r="Z9">
            <v>9.2783505154639179E-2</v>
          </cell>
        </row>
        <row r="10">
          <cell r="A10" t="str">
            <v>Behandelgebouw</v>
          </cell>
          <cell r="E10" t="str">
            <v>Liften</v>
          </cell>
          <cell r="G10">
            <v>6</v>
          </cell>
          <cell r="Y10">
            <v>5.5636363636363635</v>
          </cell>
          <cell r="Z10">
            <v>2.1818181818181816E-2</v>
          </cell>
        </row>
        <row r="11">
          <cell r="A11" t="str">
            <v>Behandelgebouw</v>
          </cell>
          <cell r="E11" t="str">
            <v>Liften</v>
          </cell>
          <cell r="G11">
            <v>6</v>
          </cell>
          <cell r="Y11">
            <v>5.5636363636363635</v>
          </cell>
          <cell r="Z11">
            <v>2.1818181818181816E-2</v>
          </cell>
        </row>
        <row r="12">
          <cell r="A12" t="str">
            <v>Behandelgebouw</v>
          </cell>
          <cell r="E12" t="str">
            <v>Liften</v>
          </cell>
          <cell r="G12">
            <v>1</v>
          </cell>
          <cell r="Y12">
            <v>0.92727272727272725</v>
          </cell>
          <cell r="Z12">
            <v>3.6363636363636364E-3</v>
          </cell>
        </row>
        <row r="13">
          <cell r="A13" t="str">
            <v>Behandelgebouw</v>
          </cell>
          <cell r="E13" t="str">
            <v>Kleed-/Doucheruimten</v>
          </cell>
          <cell r="G13">
            <v>15</v>
          </cell>
          <cell r="Y13">
            <v>19.125</v>
          </cell>
          <cell r="Z13">
            <v>7.4999999999999997E-2</v>
          </cell>
        </row>
        <row r="14">
          <cell r="A14" t="str">
            <v>Behandelgebouw</v>
          </cell>
          <cell r="E14" t="str">
            <v>Werkkasten</v>
          </cell>
          <cell r="G14">
            <v>2</v>
          </cell>
          <cell r="Y14">
            <v>0</v>
          </cell>
          <cell r="Z14">
            <v>0</v>
          </cell>
        </row>
        <row r="15">
          <cell r="A15" t="str">
            <v>Behandelgebouw</v>
          </cell>
          <cell r="E15" t="str">
            <v>Kleed-/Doucheruimten</v>
          </cell>
          <cell r="G15">
            <v>27</v>
          </cell>
          <cell r="Y15">
            <v>34.424999999999997</v>
          </cell>
          <cell r="Z15">
            <v>0.13499999999999998</v>
          </cell>
        </row>
        <row r="16">
          <cell r="A16" t="str">
            <v>Behandelgebouw</v>
          </cell>
          <cell r="E16" t="str">
            <v>Kantoren</v>
          </cell>
          <cell r="G16">
            <v>12</v>
          </cell>
          <cell r="Y16">
            <v>7.2857142857142847</v>
          </cell>
          <cell r="Z16">
            <v>2.8571428571428567E-2</v>
          </cell>
        </row>
        <row r="17">
          <cell r="A17" t="str">
            <v>Behandelgebouw</v>
          </cell>
          <cell r="E17" t="str">
            <v>Kantoren</v>
          </cell>
          <cell r="G17">
            <v>12</v>
          </cell>
          <cell r="Y17">
            <v>7.2857142857142847</v>
          </cell>
          <cell r="Z17">
            <v>2.8571428571428567E-2</v>
          </cell>
        </row>
        <row r="18">
          <cell r="A18" t="str">
            <v>Behandelgebouw</v>
          </cell>
          <cell r="E18" t="str">
            <v>Entrees</v>
          </cell>
          <cell r="G18">
            <v>99</v>
          </cell>
          <cell r="Y18">
            <v>56.1</v>
          </cell>
          <cell r="Z18">
            <v>0.22</v>
          </cell>
        </row>
        <row r="19">
          <cell r="A19" t="str">
            <v>Behandelgebouw</v>
          </cell>
          <cell r="E19" t="str">
            <v>Entrees</v>
          </cell>
          <cell r="G19">
            <v>10</v>
          </cell>
          <cell r="Y19">
            <v>5.6666666666666661</v>
          </cell>
          <cell r="Z19">
            <v>2.222222222222222E-2</v>
          </cell>
        </row>
        <row r="20">
          <cell r="A20" t="str">
            <v>Behandelgebouw</v>
          </cell>
          <cell r="E20" t="str">
            <v>Entrees</v>
          </cell>
          <cell r="G20">
            <v>8</v>
          </cell>
          <cell r="Y20">
            <v>4.5333333333333332</v>
          </cell>
          <cell r="Z20">
            <v>1.7777777777777778E-2</v>
          </cell>
        </row>
        <row r="21">
          <cell r="A21" t="str">
            <v>Behandelgebouw</v>
          </cell>
          <cell r="E21" t="str">
            <v>Centrale Hallen</v>
          </cell>
          <cell r="G21">
            <v>187</v>
          </cell>
          <cell r="Y21">
            <v>104.80219780219781</v>
          </cell>
          <cell r="Z21">
            <v>0.41098901098901103</v>
          </cell>
        </row>
        <row r="22">
          <cell r="A22" t="str">
            <v>Behandelgebouw</v>
          </cell>
          <cell r="E22" t="str">
            <v>Recepties</v>
          </cell>
          <cell r="G22">
            <v>8</v>
          </cell>
          <cell r="Y22">
            <v>4.975609756097561</v>
          </cell>
          <cell r="Z22">
            <v>1.9512195121951219E-2</v>
          </cell>
        </row>
        <row r="23">
          <cell r="A23" t="str">
            <v>Behandelgebouw</v>
          </cell>
          <cell r="E23" t="str">
            <v>Winkels</v>
          </cell>
          <cell r="G23">
            <v>22</v>
          </cell>
          <cell r="Y23">
            <v>12.606741573033707</v>
          </cell>
          <cell r="Z23">
            <v>4.9438202247191011E-2</v>
          </cell>
        </row>
        <row r="24">
          <cell r="A24" t="str">
            <v>Behandelgebouw</v>
          </cell>
          <cell r="E24" t="str">
            <v>Activiteitenruimten</v>
          </cell>
          <cell r="G24">
            <v>46</v>
          </cell>
          <cell r="Y24">
            <v>23.46</v>
          </cell>
          <cell r="Z24">
            <v>9.1999999999999998E-2</v>
          </cell>
        </row>
        <row r="25">
          <cell r="A25" t="str">
            <v>Behandelgebouw</v>
          </cell>
          <cell r="E25" t="str">
            <v>Winkels</v>
          </cell>
          <cell r="G25">
            <v>20</v>
          </cell>
          <cell r="Y25">
            <v>11.460674157303369</v>
          </cell>
          <cell r="Z25">
            <v>4.4943820224719093E-2</v>
          </cell>
        </row>
        <row r="26">
          <cell r="A26" t="str">
            <v>Behandelgebouw</v>
          </cell>
          <cell r="E26" t="str">
            <v>Kantoren</v>
          </cell>
          <cell r="G26">
            <v>5</v>
          </cell>
          <cell r="Y26">
            <v>3.0357142857142856</v>
          </cell>
          <cell r="Z26">
            <v>1.1904761904761904E-2</v>
          </cell>
        </row>
        <row r="27">
          <cell r="A27" t="str">
            <v>Behandelgebouw</v>
          </cell>
          <cell r="E27" t="str">
            <v>Kantoren</v>
          </cell>
          <cell r="G27">
            <v>5</v>
          </cell>
          <cell r="Y27">
            <v>3.0357142857142856</v>
          </cell>
          <cell r="Z27">
            <v>1.1904761904761904E-2</v>
          </cell>
        </row>
        <row r="28">
          <cell r="A28" t="str">
            <v>Behandelgebouw</v>
          </cell>
          <cell r="E28" t="str">
            <v>Kantoren</v>
          </cell>
          <cell r="G28">
            <v>13</v>
          </cell>
          <cell r="Y28">
            <v>7.8928571428571423</v>
          </cell>
          <cell r="Z28">
            <v>3.095238095238095E-2</v>
          </cell>
        </row>
        <row r="29">
          <cell r="A29" t="str">
            <v>Behandelgebouw</v>
          </cell>
          <cell r="E29" t="str">
            <v>Kantoren</v>
          </cell>
          <cell r="G29">
            <v>5</v>
          </cell>
          <cell r="Y29">
            <v>3.0357142857142856</v>
          </cell>
          <cell r="Z29">
            <v>1.1904761904761904E-2</v>
          </cell>
        </row>
        <row r="30">
          <cell r="A30" t="str">
            <v>Behandelgebouw</v>
          </cell>
          <cell r="E30" t="str">
            <v>Verkeersruimten</v>
          </cell>
          <cell r="G30">
            <v>50</v>
          </cell>
          <cell r="Y30">
            <v>24.757281553398059</v>
          </cell>
          <cell r="Z30">
            <v>9.7087378640776698E-2</v>
          </cell>
        </row>
        <row r="31">
          <cell r="A31" t="str">
            <v>Behandelgebouw</v>
          </cell>
          <cell r="E31" t="str">
            <v>Recreatieruimten</v>
          </cell>
          <cell r="G31">
            <v>190</v>
          </cell>
          <cell r="Y31">
            <v>96.9</v>
          </cell>
          <cell r="Z31">
            <v>0.38</v>
          </cell>
        </row>
        <row r="32">
          <cell r="A32" t="str">
            <v>Behandelgebouw</v>
          </cell>
          <cell r="E32" t="str">
            <v>Keukens</v>
          </cell>
          <cell r="G32">
            <v>3</v>
          </cell>
          <cell r="Y32">
            <v>4.371428571428571</v>
          </cell>
          <cell r="Z32">
            <v>1.714285714285714E-2</v>
          </cell>
        </row>
        <row r="33">
          <cell r="A33" t="str">
            <v>Behandelgebouw</v>
          </cell>
          <cell r="E33" t="str">
            <v>Sanitair Invaliden</v>
          </cell>
          <cell r="G33">
            <v>4</v>
          </cell>
          <cell r="Y33">
            <v>13.6</v>
          </cell>
          <cell r="Z33">
            <v>5.333333333333333E-2</v>
          </cell>
        </row>
        <row r="34">
          <cell r="A34" t="str">
            <v>Behandelgebouw</v>
          </cell>
          <cell r="E34" t="str">
            <v>Sanitair</v>
          </cell>
          <cell r="G34">
            <v>6</v>
          </cell>
          <cell r="Y34">
            <v>22.5</v>
          </cell>
          <cell r="Z34">
            <v>8.8235294117647065E-2</v>
          </cell>
        </row>
        <row r="35">
          <cell r="A35" t="str">
            <v>Behandelgebouw</v>
          </cell>
          <cell r="E35" t="str">
            <v>Sanitair</v>
          </cell>
          <cell r="G35">
            <v>6</v>
          </cell>
          <cell r="Y35">
            <v>22.5</v>
          </cell>
          <cell r="Z35">
            <v>8.8235294117647065E-2</v>
          </cell>
        </row>
        <row r="36">
          <cell r="A36" t="str">
            <v>Behandelgebouw</v>
          </cell>
          <cell r="E36" t="str">
            <v>Verkeersruimten</v>
          </cell>
          <cell r="G36">
            <v>27</v>
          </cell>
          <cell r="Y36">
            <v>13.368932038834952</v>
          </cell>
          <cell r="Z36">
            <v>5.2427184466019419E-2</v>
          </cell>
        </row>
        <row r="37">
          <cell r="A37" t="str">
            <v>Behandelgebouw</v>
          </cell>
          <cell r="E37" t="str">
            <v>Verkeersruimten</v>
          </cell>
          <cell r="G37">
            <v>8</v>
          </cell>
          <cell r="Y37">
            <v>3.9611650485436893</v>
          </cell>
          <cell r="Z37">
            <v>1.5533980582524271E-2</v>
          </cell>
        </row>
        <row r="38">
          <cell r="A38" t="str">
            <v>Behandelgebouw</v>
          </cell>
          <cell r="E38" t="str">
            <v>Bibliotheken</v>
          </cell>
          <cell r="G38">
            <v>25</v>
          </cell>
          <cell r="Y38">
            <v>14.325842696629213</v>
          </cell>
          <cell r="Z38">
            <v>5.6179775280898875E-2</v>
          </cell>
        </row>
        <row r="39">
          <cell r="A39" t="str">
            <v>Behandelgebouw</v>
          </cell>
          <cell r="E39" t="str">
            <v>Sanitair</v>
          </cell>
          <cell r="G39">
            <v>6</v>
          </cell>
          <cell r="Y39">
            <v>22.5</v>
          </cell>
          <cell r="Z39">
            <v>8.8235294117647065E-2</v>
          </cell>
        </row>
        <row r="40">
          <cell r="A40" t="str">
            <v>Behandelgebouw</v>
          </cell>
          <cell r="E40" t="str">
            <v>Opslag</v>
          </cell>
          <cell r="G40">
            <v>19</v>
          </cell>
          <cell r="Y40">
            <v>0</v>
          </cell>
          <cell r="Z40">
            <v>0</v>
          </cell>
        </row>
        <row r="41">
          <cell r="A41" t="str">
            <v>Behandelgebouw</v>
          </cell>
          <cell r="E41" t="str">
            <v>Behandelruimten</v>
          </cell>
          <cell r="G41">
            <v>179</v>
          </cell>
          <cell r="Y41">
            <v>120.11842105263158</v>
          </cell>
          <cell r="Z41">
            <v>0.47105263157894733</v>
          </cell>
        </row>
        <row r="42">
          <cell r="A42" t="str">
            <v>Behandelgebouw</v>
          </cell>
          <cell r="E42" t="str">
            <v>Verkeersruimten</v>
          </cell>
          <cell r="G42">
            <v>53</v>
          </cell>
          <cell r="Y42">
            <v>26.242718446601941</v>
          </cell>
          <cell r="Z42">
            <v>0.1029126213592233</v>
          </cell>
        </row>
        <row r="43">
          <cell r="A43" t="str">
            <v>Behandelgebouw</v>
          </cell>
          <cell r="E43" t="str">
            <v>Behandelruimten</v>
          </cell>
          <cell r="G43">
            <v>10</v>
          </cell>
          <cell r="Y43">
            <v>6.7105263157894735</v>
          </cell>
          <cell r="Z43">
            <v>2.6315789473684209E-2</v>
          </cell>
        </row>
        <row r="44">
          <cell r="A44" t="str">
            <v>Behandelgebouw</v>
          </cell>
          <cell r="E44" t="str">
            <v>Kantoren</v>
          </cell>
          <cell r="G44">
            <v>12</v>
          </cell>
          <cell r="Y44">
            <v>7.2857142857142847</v>
          </cell>
          <cell r="Z44">
            <v>2.8571428571428567E-2</v>
          </cell>
        </row>
        <row r="45">
          <cell r="A45" t="str">
            <v>Behandelgebouw</v>
          </cell>
          <cell r="E45" t="str">
            <v>Kantoren</v>
          </cell>
          <cell r="G45">
            <v>12</v>
          </cell>
          <cell r="Y45">
            <v>7.2857142857142847</v>
          </cell>
          <cell r="Z45">
            <v>2.8571428571428567E-2</v>
          </cell>
        </row>
        <row r="46">
          <cell r="A46" t="str">
            <v>Behandelgebouw</v>
          </cell>
          <cell r="E46" t="str">
            <v>Kantoren</v>
          </cell>
          <cell r="G46">
            <v>12</v>
          </cell>
          <cell r="Y46">
            <v>7.2857142857142847</v>
          </cell>
          <cell r="Z46">
            <v>2.8571428571428567E-2</v>
          </cell>
        </row>
        <row r="47">
          <cell r="A47" t="str">
            <v>Behandelgebouw</v>
          </cell>
          <cell r="E47" t="str">
            <v>Keukens</v>
          </cell>
          <cell r="G47">
            <v>20</v>
          </cell>
          <cell r="Y47">
            <v>29.142857142857142</v>
          </cell>
          <cell r="Z47">
            <v>0.11428571428571428</v>
          </cell>
        </row>
        <row r="48">
          <cell r="A48" t="str">
            <v>Behandelgebouw</v>
          </cell>
          <cell r="E48" t="str">
            <v>Behandelruimten</v>
          </cell>
          <cell r="G48">
            <v>20</v>
          </cell>
          <cell r="Y48">
            <v>13.421052631578947</v>
          </cell>
          <cell r="Z48">
            <v>5.2631578947368418E-2</v>
          </cell>
        </row>
        <row r="49">
          <cell r="A49" t="str">
            <v>Behandelgebouw</v>
          </cell>
          <cell r="E49" t="str">
            <v>Behandelruimten</v>
          </cell>
          <cell r="G49">
            <v>12</v>
          </cell>
          <cell r="Y49">
            <v>8.0526315789473681</v>
          </cell>
          <cell r="Z49">
            <v>3.1578947368421054E-2</v>
          </cell>
        </row>
        <row r="50">
          <cell r="A50" t="str">
            <v>Behandelgebouw</v>
          </cell>
          <cell r="E50" t="str">
            <v>Behandelruimten</v>
          </cell>
          <cell r="G50">
            <v>12</v>
          </cell>
          <cell r="Y50">
            <v>8.0526315789473681</v>
          </cell>
          <cell r="Z50">
            <v>3.1578947368421054E-2</v>
          </cell>
        </row>
        <row r="51">
          <cell r="A51" t="str">
            <v>Behandelgebouw</v>
          </cell>
          <cell r="E51" t="str">
            <v>Behandelruimten</v>
          </cell>
          <cell r="G51">
            <v>26</v>
          </cell>
          <cell r="Y51">
            <v>17.44736842105263</v>
          </cell>
          <cell r="Z51">
            <v>6.8421052631578938E-2</v>
          </cell>
        </row>
        <row r="52">
          <cell r="A52" t="str">
            <v>Behandelgebouw</v>
          </cell>
          <cell r="E52" t="str">
            <v>Sanitair</v>
          </cell>
          <cell r="G52">
            <v>6</v>
          </cell>
          <cell r="Y52">
            <v>22.5</v>
          </cell>
          <cell r="Z52">
            <v>8.8235294117647065E-2</v>
          </cell>
        </row>
        <row r="53">
          <cell r="A53" t="str">
            <v>Behandelgebouw</v>
          </cell>
          <cell r="E53" t="str">
            <v>Werkkasten</v>
          </cell>
          <cell r="G53">
            <v>2</v>
          </cell>
          <cell r="Y53">
            <v>0</v>
          </cell>
          <cell r="Z53">
            <v>0</v>
          </cell>
        </row>
        <row r="54">
          <cell r="A54" t="str">
            <v>Behandelgebouw</v>
          </cell>
          <cell r="E54" t="str">
            <v>Sanitair Bezoek</v>
          </cell>
          <cell r="G54">
            <v>4</v>
          </cell>
          <cell r="Y54">
            <v>16.451612903225808</v>
          </cell>
          <cell r="Z54">
            <v>6.4516129032258077E-2</v>
          </cell>
        </row>
        <row r="55">
          <cell r="A55" t="str">
            <v>Behandelgebouw</v>
          </cell>
          <cell r="E55" t="str">
            <v>Verkeersruimten</v>
          </cell>
          <cell r="G55">
            <v>38</v>
          </cell>
          <cell r="Y55">
            <v>18.815533980582526</v>
          </cell>
          <cell r="Z55">
            <v>7.3786407766990303E-2</v>
          </cell>
        </row>
        <row r="56">
          <cell r="A56" t="str">
            <v>Behandelgebouw</v>
          </cell>
          <cell r="E56" t="str">
            <v>Sanitair Bezoek</v>
          </cell>
          <cell r="G56">
            <v>4</v>
          </cell>
          <cell r="Y56">
            <v>16.451612903225808</v>
          </cell>
          <cell r="Z56">
            <v>6.4516129032258077E-2</v>
          </cell>
        </row>
        <row r="57">
          <cell r="A57" t="str">
            <v>Behandelgebouw</v>
          </cell>
          <cell r="E57" t="str">
            <v>Verkeersruimten</v>
          </cell>
          <cell r="G57">
            <v>3</v>
          </cell>
          <cell r="Y57">
            <v>1.4854368932038835</v>
          </cell>
          <cell r="Z57">
            <v>5.8252427184466021E-3</v>
          </cell>
        </row>
        <row r="58">
          <cell r="A58" t="str">
            <v>Behandelgebouw</v>
          </cell>
          <cell r="E58" t="str">
            <v>Sanitair</v>
          </cell>
          <cell r="G58">
            <v>6</v>
          </cell>
          <cell r="Y58">
            <v>22.5</v>
          </cell>
          <cell r="Z58">
            <v>8.8235294117647065E-2</v>
          </cell>
        </row>
        <row r="59">
          <cell r="A59" t="str">
            <v>Behandelgebouw</v>
          </cell>
          <cell r="E59" t="str">
            <v>Behandelruimten</v>
          </cell>
          <cell r="G59">
            <v>12</v>
          </cell>
          <cell r="Y59">
            <v>8.0526315789473681</v>
          </cell>
          <cell r="Z59">
            <v>3.1578947368421054E-2</v>
          </cell>
        </row>
        <row r="60">
          <cell r="A60" t="str">
            <v>Behandelgebouw</v>
          </cell>
          <cell r="E60" t="str">
            <v>Spreek-/Wachtruimten</v>
          </cell>
          <cell r="G60">
            <v>9</v>
          </cell>
          <cell r="Y60">
            <v>5.337209302325582</v>
          </cell>
          <cell r="Z60">
            <v>2.0930232558139538E-2</v>
          </cell>
        </row>
        <row r="61">
          <cell r="A61" t="str">
            <v>Behandelgebouw</v>
          </cell>
          <cell r="E61" t="str">
            <v>Behandelruimten</v>
          </cell>
          <cell r="G61">
            <v>26</v>
          </cell>
          <cell r="Y61">
            <v>17.44736842105263</v>
          </cell>
          <cell r="Z61">
            <v>6.8421052631578938E-2</v>
          </cell>
        </row>
        <row r="62">
          <cell r="A62" t="str">
            <v>Behandelgebouw</v>
          </cell>
          <cell r="E62" t="str">
            <v>Behandelruimten</v>
          </cell>
          <cell r="G62">
            <v>26</v>
          </cell>
          <cell r="Y62">
            <v>17.44736842105263</v>
          </cell>
          <cell r="Z62">
            <v>6.8421052631578938E-2</v>
          </cell>
        </row>
        <row r="63">
          <cell r="A63" t="str">
            <v>Behandelgebouw</v>
          </cell>
          <cell r="E63" t="str">
            <v>Kantoren</v>
          </cell>
          <cell r="G63">
            <v>15</v>
          </cell>
          <cell r="Y63">
            <v>9.1071428571428559</v>
          </cell>
          <cell r="Z63">
            <v>3.5714285714285712E-2</v>
          </cell>
        </row>
        <row r="64">
          <cell r="A64" t="str">
            <v>Behandelgebouw</v>
          </cell>
          <cell r="E64" t="str">
            <v>Overigen</v>
          </cell>
          <cell r="G64">
            <v>5</v>
          </cell>
          <cell r="Y64">
            <v>2.9310344827586206</v>
          </cell>
          <cell r="Z64">
            <v>1.1494252873563218E-2</v>
          </cell>
        </row>
        <row r="65">
          <cell r="A65" t="str">
            <v>Behandelgebouw</v>
          </cell>
          <cell r="E65" t="str">
            <v>Rookzones</v>
          </cell>
          <cell r="G65">
            <v>36</v>
          </cell>
          <cell r="Y65">
            <v>20.629213483146067</v>
          </cell>
          <cell r="Z65">
            <v>8.0898876404494377E-2</v>
          </cell>
        </row>
        <row r="66">
          <cell r="A66" t="str">
            <v>Behandelgebouw</v>
          </cell>
          <cell r="E66" t="str">
            <v>Trappen(huizen)</v>
          </cell>
          <cell r="G66">
            <v>16</v>
          </cell>
          <cell r="Y66">
            <v>8.2424242424242422</v>
          </cell>
          <cell r="Z66">
            <v>3.2323232323232323E-2</v>
          </cell>
        </row>
        <row r="67">
          <cell r="A67" t="str">
            <v>Behandelgebouw</v>
          </cell>
          <cell r="E67" t="str">
            <v>Lifthallen</v>
          </cell>
          <cell r="G67">
            <v>49</v>
          </cell>
          <cell r="Y67">
            <v>25.762886597938145</v>
          </cell>
          <cell r="Z67">
            <v>0.10103092783505155</v>
          </cell>
        </row>
        <row r="68">
          <cell r="A68" t="str">
            <v>Behandelgebouw</v>
          </cell>
          <cell r="E68" t="str">
            <v>Vergaderruimten</v>
          </cell>
          <cell r="G68">
            <v>41</v>
          </cell>
          <cell r="Y68">
            <v>23.494382022471907</v>
          </cell>
          <cell r="Z68">
            <v>9.2134831460674138E-2</v>
          </cell>
        </row>
        <row r="69">
          <cell r="A69" t="str">
            <v>Behandelgebouw</v>
          </cell>
          <cell r="E69" t="str">
            <v>Kantoren</v>
          </cell>
          <cell r="G69">
            <v>13</v>
          </cell>
          <cell r="Y69">
            <v>7.8928571428571423</v>
          </cell>
          <cell r="Z69">
            <v>3.095238095238095E-2</v>
          </cell>
        </row>
        <row r="70">
          <cell r="A70" t="str">
            <v>Behandelgebouw</v>
          </cell>
          <cell r="E70" t="str">
            <v>Kantoren</v>
          </cell>
          <cell r="G70">
            <v>13</v>
          </cell>
          <cell r="Y70">
            <v>7.8928571428571423</v>
          </cell>
          <cell r="Z70">
            <v>3.095238095238095E-2</v>
          </cell>
        </row>
        <row r="71">
          <cell r="A71" t="str">
            <v>Behandelgebouw</v>
          </cell>
          <cell r="E71" t="str">
            <v>Kantoren</v>
          </cell>
          <cell r="G71">
            <v>20</v>
          </cell>
          <cell r="Y71">
            <v>12.142857142857142</v>
          </cell>
          <cell r="Z71">
            <v>4.7619047619047616E-2</v>
          </cell>
        </row>
        <row r="72">
          <cell r="A72" t="str">
            <v>Behandelgebouw</v>
          </cell>
          <cell r="E72" t="str">
            <v>Kantoren</v>
          </cell>
          <cell r="G72">
            <v>18</v>
          </cell>
          <cell r="Y72">
            <v>10.928571428571427</v>
          </cell>
          <cell r="Z72">
            <v>4.2857142857142851E-2</v>
          </cell>
        </row>
        <row r="73">
          <cell r="A73" t="str">
            <v>Behandelgebouw</v>
          </cell>
          <cell r="E73" t="str">
            <v>Kantoren</v>
          </cell>
          <cell r="G73">
            <v>13</v>
          </cell>
          <cell r="Y73">
            <v>7.8928571428571423</v>
          </cell>
          <cell r="Z73">
            <v>3.095238095238095E-2</v>
          </cell>
        </row>
        <row r="74">
          <cell r="A74" t="str">
            <v>Behandelgebouw</v>
          </cell>
          <cell r="E74" t="str">
            <v>Kantoren</v>
          </cell>
          <cell r="G74">
            <v>13</v>
          </cell>
          <cell r="Y74">
            <v>7.8928571428571423</v>
          </cell>
          <cell r="Z74">
            <v>3.095238095238095E-2</v>
          </cell>
        </row>
        <row r="75">
          <cell r="A75" t="str">
            <v>Behandelgebouw</v>
          </cell>
          <cell r="E75" t="str">
            <v>Kantoren</v>
          </cell>
          <cell r="G75">
            <v>20</v>
          </cell>
          <cell r="Y75">
            <v>12.142857142857142</v>
          </cell>
          <cell r="Z75">
            <v>4.7619047619047616E-2</v>
          </cell>
        </row>
        <row r="76">
          <cell r="A76" t="str">
            <v>Behandelgebouw</v>
          </cell>
          <cell r="E76" t="str">
            <v>Kantoren</v>
          </cell>
          <cell r="G76">
            <v>20</v>
          </cell>
          <cell r="Y76">
            <v>12.142857142857142</v>
          </cell>
          <cell r="Z76">
            <v>4.7619047619047616E-2</v>
          </cell>
        </row>
        <row r="77">
          <cell r="A77" t="str">
            <v>Behandelgebouw</v>
          </cell>
          <cell r="E77" t="str">
            <v>Kantoren</v>
          </cell>
          <cell r="G77">
            <v>25</v>
          </cell>
          <cell r="Y77">
            <v>15.178571428571427</v>
          </cell>
          <cell r="Z77">
            <v>5.9523809523809521E-2</v>
          </cell>
        </row>
        <row r="78">
          <cell r="A78" t="str">
            <v>Behandelgebouw</v>
          </cell>
          <cell r="E78" t="str">
            <v>Kantoren</v>
          </cell>
          <cell r="G78">
            <v>25</v>
          </cell>
          <cell r="Y78">
            <v>15.178571428571427</v>
          </cell>
          <cell r="Z78">
            <v>5.9523809523809521E-2</v>
          </cell>
        </row>
        <row r="79">
          <cell r="A79" t="str">
            <v>Behandelgebouw</v>
          </cell>
          <cell r="E79" t="str">
            <v>Activiteitenruimten</v>
          </cell>
          <cell r="G79">
            <v>108</v>
          </cell>
          <cell r="Y79">
            <v>55.08</v>
          </cell>
          <cell r="Z79">
            <v>0.216</v>
          </cell>
        </row>
        <row r="80">
          <cell r="A80" t="str">
            <v>Behandelgebouw</v>
          </cell>
          <cell r="E80" t="str">
            <v>Kantoren</v>
          </cell>
          <cell r="G80">
            <v>16</v>
          </cell>
          <cell r="Y80">
            <v>9.7142857142857135</v>
          </cell>
          <cell r="Z80">
            <v>3.8095238095238092E-2</v>
          </cell>
        </row>
        <row r="81">
          <cell r="A81" t="str">
            <v>Behandelgebouw</v>
          </cell>
          <cell r="E81" t="str">
            <v>Trappen(huizen)</v>
          </cell>
          <cell r="G81">
            <v>12</v>
          </cell>
          <cell r="Y81">
            <v>6.1818181818181817</v>
          </cell>
          <cell r="Z81">
            <v>2.4242424242424242E-2</v>
          </cell>
        </row>
        <row r="82">
          <cell r="A82" t="str">
            <v>Behandelgebouw</v>
          </cell>
          <cell r="E82" t="str">
            <v>Archieven</v>
          </cell>
          <cell r="G82">
            <v>5</v>
          </cell>
          <cell r="Y82">
            <v>0</v>
          </cell>
          <cell r="Z82">
            <v>0</v>
          </cell>
        </row>
        <row r="83">
          <cell r="A83" t="str">
            <v>Behandelgebouw</v>
          </cell>
          <cell r="E83" t="str">
            <v>Archieven</v>
          </cell>
          <cell r="G83">
            <v>5</v>
          </cell>
          <cell r="Y83">
            <v>0</v>
          </cell>
          <cell r="Z83">
            <v>0</v>
          </cell>
        </row>
        <row r="84">
          <cell r="A84" t="str">
            <v>Behandelgebouw</v>
          </cell>
          <cell r="E84" t="str">
            <v>Sanitair</v>
          </cell>
          <cell r="G84">
            <v>5</v>
          </cell>
          <cell r="Y84">
            <v>18.75</v>
          </cell>
          <cell r="Z84">
            <v>7.3529411764705885E-2</v>
          </cell>
        </row>
        <row r="85">
          <cell r="A85" t="str">
            <v>Behandelgebouw</v>
          </cell>
          <cell r="E85" t="str">
            <v>Kantoren</v>
          </cell>
          <cell r="G85">
            <v>14</v>
          </cell>
          <cell r="Y85">
            <v>8.5</v>
          </cell>
          <cell r="Z85">
            <v>3.3333333333333333E-2</v>
          </cell>
        </row>
        <row r="86">
          <cell r="A86" t="str">
            <v>Behandelgebouw</v>
          </cell>
          <cell r="E86" t="str">
            <v>Verkeersruimten</v>
          </cell>
          <cell r="G86">
            <v>54</v>
          </cell>
          <cell r="Y86">
            <v>26.737864077669904</v>
          </cell>
          <cell r="Z86">
            <v>0.10485436893203884</v>
          </cell>
        </row>
        <row r="87">
          <cell r="A87" t="str">
            <v>Behandelgebouw</v>
          </cell>
          <cell r="E87" t="str">
            <v>Activiteitenruimten</v>
          </cell>
          <cell r="G87">
            <v>9</v>
          </cell>
          <cell r="Y87">
            <v>4.59</v>
          </cell>
          <cell r="Z87">
            <v>1.7999999999999999E-2</v>
          </cell>
        </row>
        <row r="88">
          <cell r="A88" t="str">
            <v>Behandelgebouw</v>
          </cell>
          <cell r="E88" t="str">
            <v>Kantoren</v>
          </cell>
          <cell r="G88">
            <v>20</v>
          </cell>
          <cell r="Y88">
            <v>12.142857142857142</v>
          </cell>
          <cell r="Z88">
            <v>4.7619047619047616E-2</v>
          </cell>
        </row>
        <row r="89">
          <cell r="A89" t="str">
            <v>Behandelgebouw</v>
          </cell>
          <cell r="E89" t="str">
            <v>Sanitair</v>
          </cell>
          <cell r="G89">
            <v>4</v>
          </cell>
          <cell r="Y89">
            <v>15</v>
          </cell>
          <cell r="Z89">
            <v>5.8823529411764705E-2</v>
          </cell>
        </row>
        <row r="90">
          <cell r="A90" t="str">
            <v>Behandelgebouw</v>
          </cell>
          <cell r="E90" t="str">
            <v>Sanitair</v>
          </cell>
          <cell r="G90">
            <v>4</v>
          </cell>
          <cell r="Y90">
            <v>15</v>
          </cell>
          <cell r="Z90">
            <v>5.8823529411764705E-2</v>
          </cell>
        </row>
        <row r="91">
          <cell r="A91" t="str">
            <v>Behandelgebouw</v>
          </cell>
          <cell r="E91" t="str">
            <v>Winkels</v>
          </cell>
          <cell r="G91">
            <v>18</v>
          </cell>
          <cell r="Y91">
            <v>10.314606741573034</v>
          </cell>
          <cell r="Z91">
            <v>4.0449438202247189E-2</v>
          </cell>
        </row>
        <row r="92">
          <cell r="A92" t="str">
            <v>Behandelgebouw</v>
          </cell>
          <cell r="E92" t="str">
            <v>Verkeersruimten</v>
          </cell>
          <cell r="G92">
            <v>42</v>
          </cell>
          <cell r="Y92">
            <v>20.796116504854368</v>
          </cell>
          <cell r="Z92">
            <v>8.1553398058252416E-2</v>
          </cell>
        </row>
        <row r="93">
          <cell r="A93" t="str">
            <v>Behandelgebouw</v>
          </cell>
          <cell r="E93" t="str">
            <v>Restaurants</v>
          </cell>
          <cell r="G93">
            <v>148</v>
          </cell>
          <cell r="Y93">
            <v>150.96</v>
          </cell>
          <cell r="Z93">
            <v>0.59200000000000008</v>
          </cell>
        </row>
        <row r="94">
          <cell r="A94" t="str">
            <v>Behandelgebouw</v>
          </cell>
          <cell r="E94" t="str">
            <v>Keukens</v>
          </cell>
          <cell r="G94">
            <v>16</v>
          </cell>
          <cell r="Y94">
            <v>23.314285714285713</v>
          </cell>
          <cell r="Z94">
            <v>9.1428571428571428E-2</v>
          </cell>
        </row>
        <row r="95">
          <cell r="A95" t="str">
            <v>Behandelgebouw</v>
          </cell>
          <cell r="E95" t="str">
            <v>Keukens</v>
          </cell>
          <cell r="G95">
            <v>6</v>
          </cell>
          <cell r="Y95">
            <v>8.742857142857142</v>
          </cell>
          <cell r="Z95">
            <v>3.428571428571428E-2</v>
          </cell>
        </row>
        <row r="96">
          <cell r="A96" t="str">
            <v>Behandelgebouw</v>
          </cell>
          <cell r="E96" t="str">
            <v>Lifthallen</v>
          </cell>
          <cell r="G96">
            <v>49</v>
          </cell>
          <cell r="Y96">
            <v>25.762886597938145</v>
          </cell>
          <cell r="Z96">
            <v>0.10103092783505155</v>
          </cell>
        </row>
        <row r="97">
          <cell r="A97" t="str">
            <v>Behandelgebouw</v>
          </cell>
          <cell r="E97" t="str">
            <v>Trappen(huizen)</v>
          </cell>
          <cell r="G97">
            <v>16</v>
          </cell>
          <cell r="Y97">
            <v>8.2424242424242422</v>
          </cell>
          <cell r="Z97">
            <v>3.2323232323232323E-2</v>
          </cell>
        </row>
        <row r="98">
          <cell r="A98" t="str">
            <v>Behandelgebouw</v>
          </cell>
          <cell r="E98" t="str">
            <v>Verkeersruimten</v>
          </cell>
          <cell r="G98">
            <v>65</v>
          </cell>
          <cell r="Y98">
            <v>32.184466019417478</v>
          </cell>
          <cell r="Z98">
            <v>0.12621359223300971</v>
          </cell>
        </row>
        <row r="99">
          <cell r="A99" t="str">
            <v>Behandelgebouw</v>
          </cell>
          <cell r="E99" t="str">
            <v>Huiskamers</v>
          </cell>
          <cell r="G99">
            <v>46</v>
          </cell>
          <cell r="Y99">
            <v>27.279069767441865</v>
          </cell>
          <cell r="Z99">
            <v>0.10697674418604652</v>
          </cell>
        </row>
        <row r="100">
          <cell r="A100" t="str">
            <v>Behandelgebouw</v>
          </cell>
          <cell r="E100" t="str">
            <v>Huiskamers</v>
          </cell>
          <cell r="G100">
            <v>54</v>
          </cell>
          <cell r="Y100">
            <v>32.02325581395349</v>
          </cell>
          <cell r="Z100">
            <v>0.12558139534883722</v>
          </cell>
        </row>
        <row r="101">
          <cell r="A101" t="str">
            <v>Behandelgebouw</v>
          </cell>
          <cell r="E101" t="str">
            <v>Sanitair Invaliden</v>
          </cell>
          <cell r="G101">
            <v>8</v>
          </cell>
          <cell r="Y101">
            <v>27.2</v>
          </cell>
          <cell r="Z101">
            <v>0.10666666666666666</v>
          </cell>
        </row>
        <row r="102">
          <cell r="A102" t="str">
            <v>Behandelgebouw</v>
          </cell>
          <cell r="E102" t="str">
            <v>Kantoren</v>
          </cell>
          <cell r="G102">
            <v>11</v>
          </cell>
          <cell r="Y102">
            <v>6.6785714285714279</v>
          </cell>
          <cell r="Z102">
            <v>2.6190476190476188E-2</v>
          </cell>
        </row>
        <row r="103">
          <cell r="A103" t="str">
            <v>Behandelgebouw</v>
          </cell>
          <cell r="E103" t="str">
            <v>Kantoren</v>
          </cell>
          <cell r="G103">
            <v>12</v>
          </cell>
          <cell r="Y103">
            <v>7.2857142857142847</v>
          </cell>
          <cell r="Z103">
            <v>2.8571428571428567E-2</v>
          </cell>
        </row>
        <row r="104">
          <cell r="A104" t="str">
            <v>Behandelgebouw</v>
          </cell>
          <cell r="E104" t="str">
            <v>Kantoren</v>
          </cell>
          <cell r="G104">
            <v>5</v>
          </cell>
          <cell r="Y104">
            <v>3.0357142857142856</v>
          </cell>
          <cell r="Z104">
            <v>1.1904761904761904E-2</v>
          </cell>
        </row>
        <row r="105">
          <cell r="A105" t="str">
            <v>Verpleeggebouw</v>
          </cell>
          <cell r="E105" t="str">
            <v>Patientenkamers-4</v>
          </cell>
          <cell r="G105">
            <v>132</v>
          </cell>
          <cell r="Y105">
            <v>112.2</v>
          </cell>
          <cell r="Z105">
            <v>0.44</v>
          </cell>
        </row>
        <row r="106">
          <cell r="A106" t="str">
            <v>Verpleeggebouw</v>
          </cell>
          <cell r="E106" t="str">
            <v>Patientenkamers-1</v>
          </cell>
          <cell r="G106">
            <v>13</v>
          </cell>
          <cell r="Y106">
            <v>11.237288135593221</v>
          </cell>
          <cell r="Z106">
            <v>4.4067796610169498E-2</v>
          </cell>
        </row>
        <row r="107">
          <cell r="A107" t="str">
            <v>Verpleeggebouw</v>
          </cell>
          <cell r="E107" t="str">
            <v>Patientenkamers-4</v>
          </cell>
          <cell r="G107">
            <v>66</v>
          </cell>
          <cell r="Y107">
            <v>56.1</v>
          </cell>
          <cell r="Z107">
            <v>0.22</v>
          </cell>
        </row>
        <row r="108">
          <cell r="A108" t="str">
            <v>Verpleeggebouw</v>
          </cell>
          <cell r="E108" t="str">
            <v>Verkeersruimten</v>
          </cell>
          <cell r="G108">
            <v>266</v>
          </cell>
          <cell r="Y108">
            <v>131.70873786407768</v>
          </cell>
          <cell r="Z108">
            <v>0.51650485436893201</v>
          </cell>
        </row>
        <row r="109">
          <cell r="A109" t="str">
            <v>Verpleeggebouw</v>
          </cell>
          <cell r="E109" t="str">
            <v>Patientenkamers-2</v>
          </cell>
          <cell r="G109">
            <v>40</v>
          </cell>
          <cell r="Y109">
            <v>34.576271186440678</v>
          </cell>
          <cell r="Z109">
            <v>0.13559322033898305</v>
          </cell>
        </row>
        <row r="110">
          <cell r="A110" t="str">
            <v>Verpleeggebouw</v>
          </cell>
          <cell r="E110" t="str">
            <v>Trappen(huizen)</v>
          </cell>
          <cell r="G110">
            <v>9</v>
          </cell>
          <cell r="Y110">
            <v>4.6363636363636367</v>
          </cell>
          <cell r="Z110">
            <v>1.8181818181818184E-2</v>
          </cell>
        </row>
        <row r="111">
          <cell r="A111" t="str">
            <v>Verpleeggebouw</v>
          </cell>
          <cell r="E111" t="str">
            <v>Entrees</v>
          </cell>
          <cell r="G111">
            <v>15</v>
          </cell>
          <cell r="Y111">
            <v>8.5</v>
          </cell>
          <cell r="Z111">
            <v>3.3333333333333333E-2</v>
          </cell>
        </row>
        <row r="112">
          <cell r="A112" t="str">
            <v>Verpleeggebouw</v>
          </cell>
          <cell r="E112" t="str">
            <v>Wasruimten</v>
          </cell>
          <cell r="G112">
            <v>13</v>
          </cell>
          <cell r="Y112">
            <v>22.099999999999998</v>
          </cell>
          <cell r="Z112">
            <v>8.6666666666666656E-2</v>
          </cell>
        </row>
        <row r="113">
          <cell r="A113" t="str">
            <v>Verpleeggebouw</v>
          </cell>
          <cell r="E113" t="str">
            <v>Spoelkeukens</v>
          </cell>
          <cell r="G113">
            <v>13</v>
          </cell>
          <cell r="Y113">
            <v>18.942857142857143</v>
          </cell>
          <cell r="Z113">
            <v>7.4285714285714288E-2</v>
          </cell>
        </row>
        <row r="114">
          <cell r="A114" t="str">
            <v>Verpleeggebouw</v>
          </cell>
          <cell r="E114" t="str">
            <v>Sanitair Invaliden</v>
          </cell>
          <cell r="G114">
            <v>4</v>
          </cell>
          <cell r="Y114">
            <v>13.6</v>
          </cell>
          <cell r="Z114">
            <v>5.333333333333333E-2</v>
          </cell>
        </row>
        <row r="115">
          <cell r="A115" t="str">
            <v>Verpleeggebouw</v>
          </cell>
          <cell r="E115" t="str">
            <v>Patientenkamers-1</v>
          </cell>
          <cell r="G115">
            <v>12</v>
          </cell>
          <cell r="Y115">
            <v>10.372881355932204</v>
          </cell>
          <cell r="Z115">
            <v>4.0677966101694919E-2</v>
          </cell>
        </row>
        <row r="116">
          <cell r="A116" t="str">
            <v>Verpleeggebouw</v>
          </cell>
          <cell r="E116" t="str">
            <v>Patientenkamers-1</v>
          </cell>
          <cell r="G116">
            <v>12</v>
          </cell>
          <cell r="Y116">
            <v>10.372881355932204</v>
          </cell>
          <cell r="Z116">
            <v>4.0677966101694919E-2</v>
          </cell>
        </row>
        <row r="117">
          <cell r="A117" t="str">
            <v>Verpleeggebouw</v>
          </cell>
          <cell r="E117" t="str">
            <v>Patientenkamers-1</v>
          </cell>
          <cell r="G117">
            <v>13</v>
          </cell>
          <cell r="Y117">
            <v>11.237288135593221</v>
          </cell>
          <cell r="Z117">
            <v>4.4067796610169498E-2</v>
          </cell>
        </row>
        <row r="118">
          <cell r="A118" t="str">
            <v>Verpleeggebouw</v>
          </cell>
          <cell r="E118" t="str">
            <v>Wasruimten</v>
          </cell>
          <cell r="G118">
            <v>12</v>
          </cell>
          <cell r="Y118">
            <v>20.399999999999999</v>
          </cell>
          <cell r="Z118">
            <v>7.9999999999999988E-2</v>
          </cell>
        </row>
        <row r="119">
          <cell r="A119" t="str">
            <v>Verpleeggebouw</v>
          </cell>
          <cell r="E119" t="str">
            <v>Werkkasten</v>
          </cell>
          <cell r="G119">
            <v>2</v>
          </cell>
          <cell r="Y119">
            <v>0</v>
          </cell>
          <cell r="Z119">
            <v>0</v>
          </cell>
        </row>
        <row r="120">
          <cell r="A120" t="str">
            <v>Verpleeggebouw</v>
          </cell>
          <cell r="E120" t="str">
            <v>Garderobes</v>
          </cell>
          <cell r="G120">
            <v>13</v>
          </cell>
          <cell r="Y120">
            <v>7.6206896551724128</v>
          </cell>
          <cell r="Z120">
            <v>2.9885057471264364E-2</v>
          </cell>
        </row>
        <row r="121">
          <cell r="A121" t="str">
            <v>Verpleeggebouw</v>
          </cell>
          <cell r="E121" t="str">
            <v>Activiteitenruimten</v>
          </cell>
          <cell r="G121">
            <v>23</v>
          </cell>
          <cell r="Y121">
            <v>11.73</v>
          </cell>
          <cell r="Z121">
            <v>4.5999999999999999E-2</v>
          </cell>
        </row>
        <row r="122">
          <cell r="A122" t="str">
            <v>Verpleeggebouw</v>
          </cell>
          <cell r="E122" t="str">
            <v>Sanitair Bezoek</v>
          </cell>
          <cell r="G122">
            <v>3</v>
          </cell>
          <cell r="Y122">
            <v>12.338709677419356</v>
          </cell>
          <cell r="Z122">
            <v>4.8387096774193554E-2</v>
          </cell>
        </row>
        <row r="123">
          <cell r="A123" t="str">
            <v>Verpleeggebouw</v>
          </cell>
          <cell r="E123" t="str">
            <v>Sanitair Invaliden</v>
          </cell>
          <cell r="G123">
            <v>8</v>
          </cell>
          <cell r="Y123">
            <v>27.2</v>
          </cell>
          <cell r="Z123">
            <v>0.10666666666666666</v>
          </cell>
        </row>
        <row r="124">
          <cell r="A124" t="str">
            <v>Verpleeggebouw</v>
          </cell>
          <cell r="E124" t="str">
            <v>Garderobes</v>
          </cell>
          <cell r="G124">
            <v>5</v>
          </cell>
          <cell r="Y124">
            <v>2.9310344827586206</v>
          </cell>
          <cell r="Z124">
            <v>1.1494252873563218E-2</v>
          </cell>
        </row>
        <row r="125">
          <cell r="A125" t="str">
            <v>Verpleeggebouw</v>
          </cell>
          <cell r="E125" t="str">
            <v>Kantoren</v>
          </cell>
          <cell r="G125">
            <v>14</v>
          </cell>
          <cell r="Y125">
            <v>8.5</v>
          </cell>
          <cell r="Z125">
            <v>3.3333333333333333E-2</v>
          </cell>
        </row>
        <row r="126">
          <cell r="A126" t="str">
            <v>Verpleeggebouw</v>
          </cell>
          <cell r="E126" t="str">
            <v>Huiskamers</v>
          </cell>
          <cell r="G126">
            <v>22</v>
          </cell>
          <cell r="Y126">
            <v>13.046511627906979</v>
          </cell>
          <cell r="Z126">
            <v>5.1162790697674425E-2</v>
          </cell>
        </row>
        <row r="127">
          <cell r="A127" t="str">
            <v>Verpleeggebouw</v>
          </cell>
          <cell r="E127" t="str">
            <v>Pantrys</v>
          </cell>
          <cell r="G127">
            <v>12</v>
          </cell>
          <cell r="Y127">
            <v>11.127272727272727</v>
          </cell>
          <cell r="Z127">
            <v>4.3636363636363633E-2</v>
          </cell>
        </row>
        <row r="128">
          <cell r="A128" t="str">
            <v>Verpleeggebouw</v>
          </cell>
          <cell r="E128" t="str">
            <v>Sanitair Invaliden</v>
          </cell>
          <cell r="G128">
            <v>6</v>
          </cell>
          <cell r="Y128">
            <v>20.399999999999999</v>
          </cell>
          <cell r="Z128">
            <v>7.9999999999999988E-2</v>
          </cell>
        </row>
        <row r="129">
          <cell r="A129" t="str">
            <v>Verpleeggebouw</v>
          </cell>
          <cell r="E129" t="str">
            <v>Kantoren</v>
          </cell>
          <cell r="G129">
            <v>14</v>
          </cell>
          <cell r="Y129">
            <v>8.5</v>
          </cell>
          <cell r="Z129">
            <v>3.3333333333333333E-2</v>
          </cell>
        </row>
        <row r="130">
          <cell r="A130" t="str">
            <v>Verpleeggebouw</v>
          </cell>
          <cell r="E130" t="str">
            <v>Bergingen</v>
          </cell>
          <cell r="G130">
            <v>2</v>
          </cell>
          <cell r="Y130">
            <v>1.1086956521739131</v>
          </cell>
          <cell r="Z130">
            <v>4.3478260869565218E-3</v>
          </cell>
        </row>
        <row r="131">
          <cell r="A131" t="str">
            <v>Verpleeggebouw</v>
          </cell>
          <cell r="E131" t="str">
            <v>Patientenkamers-1</v>
          </cell>
          <cell r="G131">
            <v>13</v>
          </cell>
          <cell r="Y131">
            <v>11.237288135593221</v>
          </cell>
          <cell r="Z131">
            <v>4.4067796610169498E-2</v>
          </cell>
        </row>
        <row r="132">
          <cell r="A132" t="str">
            <v>Verpleeggebouw</v>
          </cell>
          <cell r="E132" t="str">
            <v>Patientenkamers-4</v>
          </cell>
          <cell r="G132">
            <v>43</v>
          </cell>
          <cell r="Y132">
            <v>36.549999999999997</v>
          </cell>
          <cell r="Z132">
            <v>0.14333333333333331</v>
          </cell>
        </row>
        <row r="133">
          <cell r="A133" t="str">
            <v>Verpleeggebouw</v>
          </cell>
          <cell r="E133" t="str">
            <v>Behandelruimten</v>
          </cell>
          <cell r="G133">
            <v>156</v>
          </cell>
          <cell r="Y133">
            <v>104.68421052631578</v>
          </cell>
          <cell r="Z133">
            <v>0.41052631578947363</v>
          </cell>
        </row>
        <row r="134">
          <cell r="A134" t="str">
            <v>Verpleeggebouw</v>
          </cell>
          <cell r="E134" t="str">
            <v>Patientenkamers-4</v>
          </cell>
          <cell r="G134">
            <v>165</v>
          </cell>
          <cell r="Y134">
            <v>140.25</v>
          </cell>
          <cell r="Z134">
            <v>0.55000000000000004</v>
          </cell>
        </row>
        <row r="135">
          <cell r="A135" t="str">
            <v>Verpleeggebouw</v>
          </cell>
          <cell r="E135" t="str">
            <v>Patientenkamers-1</v>
          </cell>
          <cell r="G135">
            <v>13</v>
          </cell>
          <cell r="Y135">
            <v>11.237288135593221</v>
          </cell>
          <cell r="Z135">
            <v>4.4067796610169498E-2</v>
          </cell>
        </row>
        <row r="136">
          <cell r="A136" t="str">
            <v>Verpleeggebouw</v>
          </cell>
          <cell r="E136" t="str">
            <v>Patientenkamers-4</v>
          </cell>
          <cell r="G136">
            <v>66</v>
          </cell>
          <cell r="Y136">
            <v>56.1</v>
          </cell>
          <cell r="Z136">
            <v>0.22</v>
          </cell>
        </row>
        <row r="137">
          <cell r="A137" t="str">
            <v>Verpleeggebouw</v>
          </cell>
          <cell r="E137" t="str">
            <v>Huiskamers</v>
          </cell>
          <cell r="G137">
            <v>42</v>
          </cell>
          <cell r="Y137">
            <v>24.90697674418605</v>
          </cell>
          <cell r="Z137">
            <v>9.7674418604651175E-2</v>
          </cell>
        </row>
        <row r="138">
          <cell r="A138" t="str">
            <v>Verpleeggebouw</v>
          </cell>
          <cell r="E138" t="str">
            <v>Verkeersruimten</v>
          </cell>
          <cell r="G138">
            <v>198</v>
          </cell>
          <cell r="Y138">
            <v>98.038834951456309</v>
          </cell>
          <cell r="Z138">
            <v>0.38446601941747571</v>
          </cell>
        </row>
        <row r="139">
          <cell r="A139" t="str">
            <v>Verpleeggebouw</v>
          </cell>
          <cell r="E139" t="str">
            <v>Patientenkamers-2</v>
          </cell>
          <cell r="G139">
            <v>40</v>
          </cell>
          <cell r="Y139">
            <v>34.576271186440678</v>
          </cell>
          <cell r="Z139">
            <v>0.13559322033898305</v>
          </cell>
        </row>
        <row r="140">
          <cell r="A140" t="str">
            <v>Verpleeggebouw</v>
          </cell>
          <cell r="E140" t="str">
            <v>Trappen(huizen)</v>
          </cell>
          <cell r="G140">
            <v>9</v>
          </cell>
          <cell r="Y140">
            <v>4.6363636363636367</v>
          </cell>
          <cell r="Z140">
            <v>1.8181818181818184E-2</v>
          </cell>
        </row>
        <row r="141">
          <cell r="A141" t="str">
            <v>Verpleeggebouw</v>
          </cell>
          <cell r="E141" t="str">
            <v>Wasruimten</v>
          </cell>
          <cell r="G141">
            <v>7</v>
          </cell>
          <cell r="Y141">
            <v>11.9</v>
          </cell>
          <cell r="Z141">
            <v>4.6666666666666669E-2</v>
          </cell>
        </row>
        <row r="142">
          <cell r="A142" t="str">
            <v>Verpleeggebouw</v>
          </cell>
          <cell r="E142" t="str">
            <v>Wasruimten</v>
          </cell>
          <cell r="G142">
            <v>13</v>
          </cell>
          <cell r="Y142">
            <v>22.099999999999998</v>
          </cell>
          <cell r="Z142">
            <v>8.6666666666666656E-2</v>
          </cell>
        </row>
        <row r="143">
          <cell r="A143" t="str">
            <v>Verpleeggebouw</v>
          </cell>
          <cell r="E143" t="str">
            <v>Sanitair Invaliden</v>
          </cell>
          <cell r="G143">
            <v>4</v>
          </cell>
          <cell r="Y143">
            <v>13.6</v>
          </cell>
          <cell r="Z143">
            <v>5.333333333333333E-2</v>
          </cell>
        </row>
        <row r="144">
          <cell r="A144" t="str">
            <v>Verpleeggebouw</v>
          </cell>
          <cell r="E144" t="str">
            <v>Spoelkeukens</v>
          </cell>
          <cell r="G144">
            <v>9</v>
          </cell>
          <cell r="Y144">
            <v>13.114285714285714</v>
          </cell>
          <cell r="Z144">
            <v>5.1428571428571428E-2</v>
          </cell>
        </row>
        <row r="145">
          <cell r="A145" t="str">
            <v>Verpleeggebouw</v>
          </cell>
          <cell r="E145" t="str">
            <v>Patientenkamers-2</v>
          </cell>
          <cell r="G145">
            <v>26</v>
          </cell>
          <cell r="Y145">
            <v>22.474576271186443</v>
          </cell>
          <cell r="Z145">
            <v>8.8135593220338995E-2</v>
          </cell>
        </row>
        <row r="146">
          <cell r="A146" t="str">
            <v>Verpleeggebouw</v>
          </cell>
          <cell r="E146" t="str">
            <v>Patientenkamers-1</v>
          </cell>
          <cell r="G146">
            <v>12</v>
          </cell>
          <cell r="Y146">
            <v>10.372881355932204</v>
          </cell>
          <cell r="Z146">
            <v>4.0677966101694919E-2</v>
          </cell>
        </row>
        <row r="147">
          <cell r="A147" t="str">
            <v>Verpleeggebouw</v>
          </cell>
          <cell r="E147" t="str">
            <v>Patientenkamers-1</v>
          </cell>
          <cell r="G147">
            <v>13</v>
          </cell>
          <cell r="Y147">
            <v>11.237288135593221</v>
          </cell>
          <cell r="Z147">
            <v>4.4067796610169498E-2</v>
          </cell>
        </row>
        <row r="148">
          <cell r="A148" t="str">
            <v>Verpleeggebouw</v>
          </cell>
          <cell r="E148" t="str">
            <v>Wasruimten</v>
          </cell>
          <cell r="G148">
            <v>12</v>
          </cell>
          <cell r="Y148">
            <v>20.399999999999999</v>
          </cell>
          <cell r="Z148">
            <v>7.9999999999999988E-2</v>
          </cell>
        </row>
        <row r="149">
          <cell r="A149" t="str">
            <v>Verpleeggebouw</v>
          </cell>
          <cell r="E149" t="str">
            <v>Werkkasten</v>
          </cell>
          <cell r="G149">
            <v>2</v>
          </cell>
          <cell r="Y149">
            <v>0</v>
          </cell>
          <cell r="Z149">
            <v>0</v>
          </cell>
        </row>
        <row r="150">
          <cell r="A150" t="str">
            <v>Verpleeggebouw</v>
          </cell>
          <cell r="E150" t="str">
            <v>Patientenkamers-1</v>
          </cell>
          <cell r="G150">
            <v>12</v>
          </cell>
          <cell r="Y150">
            <v>10.372881355932204</v>
          </cell>
          <cell r="Z150">
            <v>4.0677966101694919E-2</v>
          </cell>
        </row>
        <row r="151">
          <cell r="A151" t="str">
            <v>Verpleeggebouw</v>
          </cell>
          <cell r="E151" t="str">
            <v>Huiskamers</v>
          </cell>
          <cell r="G151">
            <v>28</v>
          </cell>
          <cell r="Y151">
            <v>16.604651162790699</v>
          </cell>
          <cell r="Z151">
            <v>6.5116279069767441E-2</v>
          </cell>
        </row>
        <row r="152">
          <cell r="A152" t="str">
            <v>Verpleeggebouw</v>
          </cell>
          <cell r="E152" t="str">
            <v>Sanitair Invaliden</v>
          </cell>
          <cell r="G152">
            <v>12</v>
          </cell>
          <cell r="Y152">
            <v>40.799999999999997</v>
          </cell>
          <cell r="Z152">
            <v>0.15999999999999998</v>
          </cell>
        </row>
        <row r="153">
          <cell r="A153" t="str">
            <v>Verpleeggebouw</v>
          </cell>
          <cell r="E153" t="str">
            <v>Garderobes</v>
          </cell>
          <cell r="G153">
            <v>13</v>
          </cell>
          <cell r="Y153">
            <v>7.6206896551724128</v>
          </cell>
          <cell r="Z153">
            <v>2.9885057471264364E-2</v>
          </cell>
        </row>
        <row r="154">
          <cell r="A154" t="str">
            <v>Verpleeggebouw</v>
          </cell>
          <cell r="E154" t="str">
            <v>Bergingen</v>
          </cell>
          <cell r="G154">
            <v>2</v>
          </cell>
          <cell r="Y154">
            <v>1.1086956521739131</v>
          </cell>
          <cell r="Z154">
            <v>4.3478260869565218E-3</v>
          </cell>
        </row>
        <row r="155">
          <cell r="A155" t="str">
            <v>Verpleeggebouw</v>
          </cell>
          <cell r="E155" t="str">
            <v>Pantrys</v>
          </cell>
          <cell r="G155">
            <v>27</v>
          </cell>
          <cell r="Y155">
            <v>25.036363636363635</v>
          </cell>
          <cell r="Z155">
            <v>9.8181818181818176E-2</v>
          </cell>
        </row>
        <row r="156">
          <cell r="A156" t="str">
            <v>Verpleeggebouw</v>
          </cell>
          <cell r="E156" t="str">
            <v>Patientenkamers-4</v>
          </cell>
          <cell r="G156">
            <v>132</v>
          </cell>
          <cell r="Y156">
            <v>112.2</v>
          </cell>
          <cell r="Z156">
            <v>0.44</v>
          </cell>
        </row>
        <row r="157">
          <cell r="A157" t="str">
            <v>Verpleeggebouw</v>
          </cell>
          <cell r="E157" t="str">
            <v>Patientenkamers-1</v>
          </cell>
          <cell r="G157">
            <v>30</v>
          </cell>
          <cell r="Y157">
            <v>25.932203389830509</v>
          </cell>
          <cell r="Z157">
            <v>0.10169491525423729</v>
          </cell>
        </row>
        <row r="158">
          <cell r="A158" t="str">
            <v>Verpleeggebouw</v>
          </cell>
          <cell r="E158" t="str">
            <v>Patientenkamers-4</v>
          </cell>
          <cell r="G158">
            <v>66</v>
          </cell>
          <cell r="Y158">
            <v>56.1</v>
          </cell>
          <cell r="Z158">
            <v>0.22</v>
          </cell>
        </row>
        <row r="159">
          <cell r="A159" t="str">
            <v>Verpleeggebouw</v>
          </cell>
          <cell r="E159" t="str">
            <v>Huiskamers</v>
          </cell>
          <cell r="G159">
            <v>56</v>
          </cell>
          <cell r="Y159">
            <v>33.209302325581397</v>
          </cell>
          <cell r="Z159">
            <v>0.13023255813953488</v>
          </cell>
        </row>
        <row r="160">
          <cell r="A160" t="str">
            <v>Verpleeggebouw</v>
          </cell>
          <cell r="E160" t="str">
            <v>Verkeersruimten</v>
          </cell>
          <cell r="G160">
            <v>153</v>
          </cell>
          <cell r="Y160">
            <v>75.757281553398059</v>
          </cell>
          <cell r="Z160">
            <v>0.29708737864077672</v>
          </cell>
        </row>
        <row r="161">
          <cell r="A161" t="str">
            <v>Verpleeggebouw</v>
          </cell>
          <cell r="E161" t="str">
            <v>Patientenkamers-2</v>
          </cell>
          <cell r="G161">
            <v>40</v>
          </cell>
          <cell r="Y161">
            <v>34.576271186440678</v>
          </cell>
          <cell r="Z161">
            <v>0.13559322033898305</v>
          </cell>
        </row>
        <row r="162">
          <cell r="A162" t="str">
            <v>Verpleeggebouw</v>
          </cell>
          <cell r="E162" t="str">
            <v>Trappen(huizen)</v>
          </cell>
          <cell r="G162">
            <v>9</v>
          </cell>
          <cell r="Y162">
            <v>4.6363636363636367</v>
          </cell>
          <cell r="Z162">
            <v>1.8181818181818184E-2</v>
          </cell>
        </row>
        <row r="163">
          <cell r="A163" t="str">
            <v>Verpleeggebouw</v>
          </cell>
          <cell r="E163" t="str">
            <v>Wasruimten</v>
          </cell>
          <cell r="G163">
            <v>13</v>
          </cell>
          <cell r="Y163">
            <v>22.099999999999998</v>
          </cell>
          <cell r="Z163">
            <v>8.6666666666666656E-2</v>
          </cell>
        </row>
        <row r="164">
          <cell r="A164" t="str">
            <v>Verpleeggebouw</v>
          </cell>
          <cell r="E164" t="str">
            <v>Sanitair Invaliden</v>
          </cell>
          <cell r="G164">
            <v>4</v>
          </cell>
          <cell r="Y164">
            <v>13.6</v>
          </cell>
          <cell r="Z164">
            <v>5.333333333333333E-2</v>
          </cell>
        </row>
        <row r="165">
          <cell r="A165" t="str">
            <v>Verpleeggebouw</v>
          </cell>
          <cell r="E165" t="str">
            <v>Spoelkeukens</v>
          </cell>
          <cell r="G165">
            <v>9</v>
          </cell>
          <cell r="Y165">
            <v>13.114285714285714</v>
          </cell>
          <cell r="Z165">
            <v>5.1428571428571428E-2</v>
          </cell>
        </row>
        <row r="166">
          <cell r="A166" t="str">
            <v>Verpleeggebouw</v>
          </cell>
          <cell r="E166" t="str">
            <v>Patientenkamers-1</v>
          </cell>
          <cell r="G166">
            <v>13</v>
          </cell>
          <cell r="Y166">
            <v>11.237288135593221</v>
          </cell>
          <cell r="Z166">
            <v>4.4067796610169498E-2</v>
          </cell>
        </row>
        <row r="167">
          <cell r="A167" t="str">
            <v>Verpleeggebouw</v>
          </cell>
          <cell r="E167" t="str">
            <v>Kantoren</v>
          </cell>
          <cell r="G167">
            <v>14</v>
          </cell>
          <cell r="Y167">
            <v>8.5</v>
          </cell>
          <cell r="Z167">
            <v>3.3333333333333333E-2</v>
          </cell>
        </row>
        <row r="168">
          <cell r="A168" t="str">
            <v>Verpleeggebouw</v>
          </cell>
          <cell r="E168" t="str">
            <v>Patientenkamers-1</v>
          </cell>
          <cell r="G168">
            <v>12</v>
          </cell>
          <cell r="Y168">
            <v>10.372881355932204</v>
          </cell>
          <cell r="Z168">
            <v>4.0677966101694919E-2</v>
          </cell>
        </row>
        <row r="169">
          <cell r="A169" t="str">
            <v>Verpleeggebouw</v>
          </cell>
          <cell r="E169" t="str">
            <v>Patientenkamers-1</v>
          </cell>
          <cell r="G169">
            <v>12</v>
          </cell>
          <cell r="Y169">
            <v>10.372881355932204</v>
          </cell>
          <cell r="Z169">
            <v>4.0677966101694919E-2</v>
          </cell>
        </row>
        <row r="170">
          <cell r="A170" t="str">
            <v>Verpleeggebouw</v>
          </cell>
          <cell r="E170" t="str">
            <v>Wasruimten</v>
          </cell>
          <cell r="G170">
            <v>12</v>
          </cell>
          <cell r="Y170">
            <v>20.399999999999999</v>
          </cell>
          <cell r="Z170">
            <v>7.9999999999999988E-2</v>
          </cell>
        </row>
        <row r="171">
          <cell r="A171" t="str">
            <v>Verpleeggebouw</v>
          </cell>
          <cell r="E171" t="str">
            <v>Werkkasten</v>
          </cell>
          <cell r="G171">
            <v>2</v>
          </cell>
          <cell r="Y171">
            <v>0</v>
          </cell>
          <cell r="Z171">
            <v>0</v>
          </cell>
        </row>
        <row r="172">
          <cell r="A172" t="str">
            <v>Verpleeggebouw</v>
          </cell>
          <cell r="E172" t="str">
            <v>Wasruimten</v>
          </cell>
          <cell r="G172">
            <v>13</v>
          </cell>
          <cell r="Y172">
            <v>22.099999999999998</v>
          </cell>
          <cell r="Z172">
            <v>8.6666666666666656E-2</v>
          </cell>
        </row>
        <row r="173">
          <cell r="A173" t="str">
            <v>Verpleeggebouw</v>
          </cell>
          <cell r="E173" t="str">
            <v>Wasruimten</v>
          </cell>
          <cell r="G173">
            <v>13</v>
          </cell>
          <cell r="Y173">
            <v>22.099999999999998</v>
          </cell>
          <cell r="Z173">
            <v>8.6666666666666656E-2</v>
          </cell>
        </row>
        <row r="174">
          <cell r="A174" t="str">
            <v>Verpleeggebouw</v>
          </cell>
          <cell r="E174" t="str">
            <v>Sanitair Invaliden</v>
          </cell>
          <cell r="G174">
            <v>12</v>
          </cell>
          <cell r="Y174">
            <v>40.799999999999997</v>
          </cell>
          <cell r="Z174">
            <v>0.15999999999999998</v>
          </cell>
        </row>
        <row r="175">
          <cell r="A175" t="str">
            <v>Verpleeggebouw</v>
          </cell>
          <cell r="E175" t="str">
            <v>Huiskamers</v>
          </cell>
          <cell r="G175">
            <v>28</v>
          </cell>
          <cell r="Y175">
            <v>16.604651162790699</v>
          </cell>
          <cell r="Z175">
            <v>6.5116279069767441E-2</v>
          </cell>
        </row>
        <row r="176">
          <cell r="A176" t="str">
            <v>Verpleeggebouw</v>
          </cell>
          <cell r="E176" t="str">
            <v>Pantrys</v>
          </cell>
          <cell r="G176">
            <v>27</v>
          </cell>
          <cell r="Y176">
            <v>25.036363636363635</v>
          </cell>
          <cell r="Z176">
            <v>9.8181818181818176E-2</v>
          </cell>
        </row>
        <row r="177">
          <cell r="A177" t="str">
            <v>Verpleeggebouw</v>
          </cell>
          <cell r="E177" t="str">
            <v>Garderobes</v>
          </cell>
          <cell r="G177">
            <v>5</v>
          </cell>
          <cell r="Y177">
            <v>2.9310344827586206</v>
          </cell>
          <cell r="Z177">
            <v>1.1494252873563218E-2</v>
          </cell>
        </row>
        <row r="178">
          <cell r="A178" t="str">
            <v>Verpleeggebouw</v>
          </cell>
          <cell r="E178" t="str">
            <v>Lifthallen</v>
          </cell>
          <cell r="G178">
            <v>48</v>
          </cell>
          <cell r="Y178">
            <v>25.237113402061858</v>
          </cell>
          <cell r="Z178">
            <v>9.8969072164948463E-2</v>
          </cell>
        </row>
        <row r="179">
          <cell r="A179" t="str">
            <v>Verpleeggebouw</v>
          </cell>
          <cell r="E179" t="str">
            <v>Trappen(huizen)</v>
          </cell>
          <cell r="G179">
            <v>13</v>
          </cell>
          <cell r="Y179">
            <v>6.6969696969696972</v>
          </cell>
          <cell r="Z179">
            <v>2.6262626262626265E-2</v>
          </cell>
        </row>
        <row r="180">
          <cell r="A180" t="str">
            <v>Verpleeggebouw</v>
          </cell>
          <cell r="E180" t="str">
            <v>Kantoren</v>
          </cell>
          <cell r="G180">
            <v>14</v>
          </cell>
          <cell r="Y180">
            <v>8.5</v>
          </cell>
          <cell r="Z180">
            <v>3.3333333333333333E-2</v>
          </cell>
        </row>
        <row r="181">
          <cell r="A181" t="str">
            <v>Verpleeggebouw</v>
          </cell>
          <cell r="E181" t="str">
            <v>Bergingen</v>
          </cell>
          <cell r="G181">
            <v>2</v>
          </cell>
          <cell r="Y181">
            <v>1.1086956521739131</v>
          </cell>
          <cell r="Z181">
            <v>4.3478260869565218E-3</v>
          </cell>
        </row>
        <row r="182">
          <cell r="A182" t="str">
            <v>Verpleeggebouw</v>
          </cell>
          <cell r="E182" t="str">
            <v>Patientenkamers-4</v>
          </cell>
          <cell r="G182">
            <v>132</v>
          </cell>
          <cell r="Y182">
            <v>112.2</v>
          </cell>
          <cell r="Z182">
            <v>0.44</v>
          </cell>
        </row>
        <row r="183">
          <cell r="A183" t="str">
            <v>Verpleeggebouw</v>
          </cell>
          <cell r="E183" t="str">
            <v>Patientenkamers-1</v>
          </cell>
          <cell r="G183">
            <v>26</v>
          </cell>
          <cell r="Y183">
            <v>22.474576271186443</v>
          </cell>
          <cell r="Z183">
            <v>8.8135593220338995E-2</v>
          </cell>
        </row>
        <row r="184">
          <cell r="A184" t="str">
            <v>Verpleeggebouw</v>
          </cell>
          <cell r="E184" t="str">
            <v>Patientenkamers-4</v>
          </cell>
          <cell r="G184">
            <v>66</v>
          </cell>
          <cell r="Y184">
            <v>56.1</v>
          </cell>
          <cell r="Z184">
            <v>0.22</v>
          </cell>
        </row>
        <row r="185">
          <cell r="A185" t="str">
            <v>Verpleeggebouw</v>
          </cell>
          <cell r="E185" t="str">
            <v>Rookzones</v>
          </cell>
          <cell r="G185">
            <v>21</v>
          </cell>
          <cell r="Y185">
            <v>12.033707865168539</v>
          </cell>
          <cell r="Z185">
            <v>4.7191011235955059E-2</v>
          </cell>
        </row>
        <row r="186">
          <cell r="A186" t="str">
            <v>Verpleeggebouw</v>
          </cell>
          <cell r="E186" t="str">
            <v>Verkeersruimten</v>
          </cell>
          <cell r="G186">
            <v>148</v>
          </cell>
          <cell r="Y186">
            <v>73.28155339805825</v>
          </cell>
          <cell r="Z186">
            <v>0.287378640776699</v>
          </cell>
        </row>
        <row r="187">
          <cell r="A187" t="str">
            <v>Verpleeggebouw</v>
          </cell>
          <cell r="E187" t="str">
            <v>Patientenkamers-2</v>
          </cell>
          <cell r="G187">
            <v>40</v>
          </cell>
          <cell r="Y187">
            <v>34.576271186440678</v>
          </cell>
          <cell r="Z187">
            <v>0.13559322033898305</v>
          </cell>
        </row>
        <row r="188">
          <cell r="A188" t="str">
            <v>Verpleeggebouw</v>
          </cell>
          <cell r="E188" t="str">
            <v>Trappen(huizen)</v>
          </cell>
          <cell r="G188">
            <v>9</v>
          </cell>
          <cell r="Y188">
            <v>4.6363636363636367</v>
          </cell>
          <cell r="Z188">
            <v>1.8181818181818184E-2</v>
          </cell>
        </row>
        <row r="189">
          <cell r="A189" t="str">
            <v>Verpleeggebouw</v>
          </cell>
          <cell r="E189" t="str">
            <v>Sanitair</v>
          </cell>
          <cell r="G189">
            <v>5</v>
          </cell>
          <cell r="Y189">
            <v>18.75</v>
          </cell>
          <cell r="Z189">
            <v>7.3529411764705885E-2</v>
          </cell>
        </row>
        <row r="190">
          <cell r="A190" t="str">
            <v>Verpleeggebouw</v>
          </cell>
          <cell r="E190" t="str">
            <v>Garderobes</v>
          </cell>
          <cell r="G190">
            <v>13</v>
          </cell>
          <cell r="Y190">
            <v>7.6206896551724128</v>
          </cell>
          <cell r="Z190">
            <v>2.9885057471264364E-2</v>
          </cell>
        </row>
        <row r="191">
          <cell r="A191" t="str">
            <v>Verpleeggebouw</v>
          </cell>
          <cell r="E191" t="str">
            <v>Sanitair Invaliden</v>
          </cell>
          <cell r="G191">
            <v>4</v>
          </cell>
          <cell r="Y191">
            <v>13.6</v>
          </cell>
          <cell r="Z191">
            <v>5.333333333333333E-2</v>
          </cell>
        </row>
        <row r="192">
          <cell r="A192" t="str">
            <v>Verpleeggebouw</v>
          </cell>
          <cell r="E192" t="str">
            <v>Spoelkeukens</v>
          </cell>
          <cell r="G192">
            <v>9</v>
          </cell>
          <cell r="Y192">
            <v>13.114285714285714</v>
          </cell>
          <cell r="Z192">
            <v>5.1428571428571428E-2</v>
          </cell>
        </row>
        <row r="193">
          <cell r="A193" t="str">
            <v>Verpleeggebouw</v>
          </cell>
          <cell r="E193" t="str">
            <v>Patientenkamers-1</v>
          </cell>
          <cell r="G193">
            <v>13</v>
          </cell>
          <cell r="Y193">
            <v>11.237288135593221</v>
          </cell>
          <cell r="Z193">
            <v>4.4067796610169498E-2</v>
          </cell>
        </row>
        <row r="194">
          <cell r="A194" t="str">
            <v>Verpleeggebouw</v>
          </cell>
          <cell r="E194" t="str">
            <v>Kantoren</v>
          </cell>
          <cell r="G194">
            <v>14</v>
          </cell>
          <cell r="Y194">
            <v>8.5</v>
          </cell>
          <cell r="Z194">
            <v>3.3333333333333333E-2</v>
          </cell>
        </row>
        <row r="195">
          <cell r="A195" t="str">
            <v>Verpleeggebouw</v>
          </cell>
          <cell r="E195" t="str">
            <v>Kantoren</v>
          </cell>
          <cell r="G195">
            <v>14</v>
          </cell>
          <cell r="Y195">
            <v>8.5</v>
          </cell>
          <cell r="Z195">
            <v>3.3333333333333333E-2</v>
          </cell>
        </row>
        <row r="196">
          <cell r="A196" t="str">
            <v>Verpleeggebouw</v>
          </cell>
          <cell r="E196" t="str">
            <v>Patientenkamers-1</v>
          </cell>
          <cell r="G196">
            <v>12</v>
          </cell>
          <cell r="Y196">
            <v>10.372881355932204</v>
          </cell>
          <cell r="Z196">
            <v>4.0677966101694919E-2</v>
          </cell>
        </row>
        <row r="197">
          <cell r="A197" t="str">
            <v>Verpleeggebouw</v>
          </cell>
          <cell r="E197" t="str">
            <v>Wasruimten</v>
          </cell>
          <cell r="G197">
            <v>12</v>
          </cell>
          <cell r="Y197">
            <v>20.399999999999999</v>
          </cell>
          <cell r="Z197">
            <v>7.9999999999999988E-2</v>
          </cell>
        </row>
        <row r="198">
          <cell r="A198" t="str">
            <v>Verpleeggebouw</v>
          </cell>
          <cell r="E198" t="str">
            <v>Werkkasten</v>
          </cell>
          <cell r="G198">
            <v>2</v>
          </cell>
          <cell r="Y198">
            <v>0</v>
          </cell>
          <cell r="Z198">
            <v>0</v>
          </cell>
        </row>
        <row r="199">
          <cell r="A199" t="str">
            <v>Verpleeggebouw</v>
          </cell>
          <cell r="E199" t="str">
            <v>Wasruimten</v>
          </cell>
          <cell r="G199">
            <v>13</v>
          </cell>
          <cell r="Y199">
            <v>22.099999999999998</v>
          </cell>
          <cell r="Z199">
            <v>8.6666666666666656E-2</v>
          </cell>
        </row>
        <row r="200">
          <cell r="A200" t="str">
            <v>Verpleeggebouw</v>
          </cell>
          <cell r="E200" t="str">
            <v>Behandelruimten</v>
          </cell>
          <cell r="G200">
            <v>13</v>
          </cell>
          <cell r="Y200">
            <v>8.723684210526315</v>
          </cell>
          <cell r="Z200">
            <v>3.4210526315789469E-2</v>
          </cell>
        </row>
        <row r="201">
          <cell r="A201" t="str">
            <v>Verpleeggebouw</v>
          </cell>
          <cell r="E201" t="str">
            <v>Huiskamers</v>
          </cell>
          <cell r="G201">
            <v>28</v>
          </cell>
          <cell r="Y201">
            <v>16.604651162790699</v>
          </cell>
          <cell r="Z201">
            <v>6.5116279069767441E-2</v>
          </cell>
        </row>
        <row r="202">
          <cell r="A202" t="str">
            <v>Verpleeggebouw</v>
          </cell>
          <cell r="E202" t="str">
            <v>Sanitair Invaliden</v>
          </cell>
          <cell r="G202">
            <v>12</v>
          </cell>
          <cell r="Y202">
            <v>40.799999999999997</v>
          </cell>
          <cell r="Z202">
            <v>0.15999999999999998</v>
          </cell>
        </row>
        <row r="203">
          <cell r="A203" t="str">
            <v>Verpleeggebouw</v>
          </cell>
          <cell r="E203" t="str">
            <v>Pantrys</v>
          </cell>
          <cell r="G203">
            <v>27</v>
          </cell>
          <cell r="Y203">
            <v>25.036363636363635</v>
          </cell>
          <cell r="Z203">
            <v>9.8181818181818176E-2</v>
          </cell>
        </row>
        <row r="204">
          <cell r="A204" t="str">
            <v>Verpleeggebouw</v>
          </cell>
          <cell r="E204" t="str">
            <v>Lifthallen</v>
          </cell>
          <cell r="G204">
            <v>48</v>
          </cell>
          <cell r="Y204">
            <v>25.237113402061858</v>
          </cell>
          <cell r="Z204">
            <v>9.8969072164948463E-2</v>
          </cell>
        </row>
        <row r="205">
          <cell r="A205" t="str">
            <v>Verpleeggebouw</v>
          </cell>
          <cell r="E205" t="str">
            <v>Trappen(huizen)</v>
          </cell>
          <cell r="G205">
            <v>13</v>
          </cell>
          <cell r="Y205">
            <v>6.6969696969696972</v>
          </cell>
          <cell r="Z205">
            <v>2.6262626262626265E-2</v>
          </cell>
        </row>
        <row r="206">
          <cell r="A206" t="str">
            <v>Verpleeggebouw</v>
          </cell>
          <cell r="E206" t="str">
            <v>Huiskamers</v>
          </cell>
          <cell r="G206">
            <v>34</v>
          </cell>
          <cell r="Y206">
            <v>20.162790697674421</v>
          </cell>
          <cell r="Z206">
            <v>7.9069767441860478E-2</v>
          </cell>
        </row>
        <row r="207">
          <cell r="A207" t="str">
            <v>Verpleeggebouw</v>
          </cell>
          <cell r="E207" t="str">
            <v>Bergingen</v>
          </cell>
          <cell r="G207">
            <v>2</v>
          </cell>
          <cell r="Y207">
            <v>1.1086956521739131</v>
          </cell>
          <cell r="Z207">
            <v>4.3478260869565218E-3</v>
          </cell>
        </row>
        <row r="208">
          <cell r="A208" t="str">
            <v>Verpleeggebouw</v>
          </cell>
          <cell r="E208" t="str">
            <v>Patientenkamers-1</v>
          </cell>
          <cell r="G208">
            <v>12</v>
          </cell>
          <cell r="Y208">
            <v>10.372881355932204</v>
          </cell>
          <cell r="Z208">
            <v>4.0677966101694919E-2</v>
          </cell>
        </row>
        <row r="209">
          <cell r="A209" t="str">
            <v>Verpleeggebouw</v>
          </cell>
          <cell r="E209" t="str">
            <v>Patientenkamers-4</v>
          </cell>
          <cell r="G209">
            <v>132</v>
          </cell>
          <cell r="Y209">
            <v>112.2</v>
          </cell>
          <cell r="Z209">
            <v>0.44</v>
          </cell>
        </row>
        <row r="210">
          <cell r="A210" t="str">
            <v>Verpleeggebouw</v>
          </cell>
          <cell r="E210" t="str">
            <v>Patientenkamers-1</v>
          </cell>
          <cell r="G210">
            <v>26</v>
          </cell>
          <cell r="Y210">
            <v>22.474576271186443</v>
          </cell>
          <cell r="Z210">
            <v>8.8135593220338995E-2</v>
          </cell>
        </row>
        <row r="211">
          <cell r="A211" t="str">
            <v>Verpleeggebouw</v>
          </cell>
          <cell r="E211" t="str">
            <v>Patientenkamers-4</v>
          </cell>
          <cell r="G211">
            <v>66</v>
          </cell>
          <cell r="Y211">
            <v>56.1</v>
          </cell>
          <cell r="Z211">
            <v>0.22</v>
          </cell>
        </row>
        <row r="212">
          <cell r="A212" t="str">
            <v>Verpleeggebouw</v>
          </cell>
          <cell r="E212" t="str">
            <v>Huiskamers</v>
          </cell>
          <cell r="G212">
            <v>56</v>
          </cell>
          <cell r="Y212">
            <v>33.209302325581397</v>
          </cell>
          <cell r="Z212">
            <v>0.13023255813953488</v>
          </cell>
        </row>
        <row r="213">
          <cell r="A213" t="str">
            <v>Verpleeggebouw</v>
          </cell>
          <cell r="E213" t="str">
            <v>Verkeersruimten</v>
          </cell>
          <cell r="G213">
            <v>148</v>
          </cell>
          <cell r="Y213">
            <v>73.28155339805825</v>
          </cell>
          <cell r="Z213">
            <v>0.287378640776699</v>
          </cell>
        </row>
        <row r="214">
          <cell r="A214" t="str">
            <v>Verpleeggebouw</v>
          </cell>
          <cell r="E214" t="str">
            <v>Patientenkamers-2</v>
          </cell>
          <cell r="G214">
            <v>40</v>
          </cell>
          <cell r="Y214">
            <v>34.576271186440678</v>
          </cell>
          <cell r="Z214">
            <v>0.13559322033898305</v>
          </cell>
        </row>
        <row r="215">
          <cell r="A215" t="str">
            <v>Verpleeggebouw</v>
          </cell>
          <cell r="E215" t="str">
            <v>Trappen(huizen)</v>
          </cell>
          <cell r="G215">
            <v>9</v>
          </cell>
          <cell r="Y215">
            <v>4.6363636363636367</v>
          </cell>
          <cell r="Z215">
            <v>1.8181818181818184E-2</v>
          </cell>
        </row>
        <row r="216">
          <cell r="A216" t="str">
            <v>Verpleeggebouw</v>
          </cell>
          <cell r="E216" t="str">
            <v>Sanitair</v>
          </cell>
          <cell r="G216">
            <v>5</v>
          </cell>
          <cell r="Y216">
            <v>18.75</v>
          </cell>
          <cell r="Z216">
            <v>7.3529411764705885E-2</v>
          </cell>
        </row>
        <row r="217">
          <cell r="A217" t="str">
            <v>Verpleeggebouw</v>
          </cell>
          <cell r="E217" t="str">
            <v>Wasruimten</v>
          </cell>
          <cell r="G217">
            <v>13</v>
          </cell>
          <cell r="Y217">
            <v>22.099999999999998</v>
          </cell>
          <cell r="Z217">
            <v>8.6666666666666656E-2</v>
          </cell>
        </row>
        <row r="218">
          <cell r="A218" t="str">
            <v>Verpleeggebouw</v>
          </cell>
          <cell r="E218" t="str">
            <v>Sanitair Invaliden</v>
          </cell>
          <cell r="G218">
            <v>4</v>
          </cell>
          <cell r="Y218">
            <v>13.6</v>
          </cell>
          <cell r="Z218">
            <v>5.333333333333333E-2</v>
          </cell>
        </row>
        <row r="219">
          <cell r="A219" t="str">
            <v>Verpleeggebouw</v>
          </cell>
          <cell r="E219" t="str">
            <v>Spoelkeukens</v>
          </cell>
          <cell r="G219">
            <v>9</v>
          </cell>
          <cell r="Y219">
            <v>13.114285714285714</v>
          </cell>
          <cell r="Z219">
            <v>5.1428571428571428E-2</v>
          </cell>
        </row>
        <row r="220">
          <cell r="A220" t="str">
            <v>Verpleeggebouw</v>
          </cell>
          <cell r="E220" t="str">
            <v>Patientenkamers-1</v>
          </cell>
          <cell r="G220">
            <v>12</v>
          </cell>
          <cell r="Y220">
            <v>10.372881355932204</v>
          </cell>
          <cell r="Z220">
            <v>4.0677966101694919E-2</v>
          </cell>
        </row>
        <row r="221">
          <cell r="A221" t="str">
            <v>Verpleeggebouw</v>
          </cell>
          <cell r="E221" t="str">
            <v>Kantoren</v>
          </cell>
          <cell r="G221">
            <v>14</v>
          </cell>
          <cell r="Y221">
            <v>8.5</v>
          </cell>
          <cell r="Z221">
            <v>3.3333333333333333E-2</v>
          </cell>
        </row>
        <row r="222">
          <cell r="A222" t="str">
            <v>Verpleeggebouw</v>
          </cell>
          <cell r="E222" t="str">
            <v>Patientenkamers-1</v>
          </cell>
          <cell r="G222">
            <v>13</v>
          </cell>
          <cell r="Y222">
            <v>11.237288135593221</v>
          </cell>
          <cell r="Z222">
            <v>4.4067796610169498E-2</v>
          </cell>
        </row>
        <row r="223">
          <cell r="A223" t="str">
            <v>Verpleeggebouw</v>
          </cell>
          <cell r="E223" t="str">
            <v>Patientenkamers-1</v>
          </cell>
          <cell r="G223">
            <v>12</v>
          </cell>
          <cell r="Y223">
            <v>10.372881355932204</v>
          </cell>
          <cell r="Z223">
            <v>4.0677966101694919E-2</v>
          </cell>
        </row>
        <row r="224">
          <cell r="A224" t="str">
            <v>Verpleeggebouw</v>
          </cell>
          <cell r="E224" t="str">
            <v>Wasruimten</v>
          </cell>
          <cell r="G224">
            <v>12</v>
          </cell>
          <cell r="Y224">
            <v>20.399999999999999</v>
          </cell>
          <cell r="Z224">
            <v>7.9999999999999988E-2</v>
          </cell>
        </row>
        <row r="225">
          <cell r="A225" t="str">
            <v>Verpleeggebouw</v>
          </cell>
          <cell r="E225" t="str">
            <v>Werkkasten</v>
          </cell>
          <cell r="G225">
            <v>2</v>
          </cell>
          <cell r="Y225">
            <v>0</v>
          </cell>
          <cell r="Z225">
            <v>0</v>
          </cell>
        </row>
        <row r="226">
          <cell r="A226" t="str">
            <v>Verpleeggebouw</v>
          </cell>
          <cell r="E226" t="str">
            <v>Wasruimten</v>
          </cell>
          <cell r="G226">
            <v>13</v>
          </cell>
          <cell r="Y226">
            <v>22.099999999999998</v>
          </cell>
          <cell r="Z226">
            <v>8.6666666666666656E-2</v>
          </cell>
        </row>
        <row r="227">
          <cell r="A227" t="str">
            <v>Verpleeggebouw</v>
          </cell>
          <cell r="E227" t="str">
            <v>Patientenkamers</v>
          </cell>
          <cell r="G227">
            <v>13</v>
          </cell>
          <cell r="Y227">
            <v>11.237288135593221</v>
          </cell>
          <cell r="Z227">
            <v>4.4067796610169498E-2</v>
          </cell>
        </row>
        <row r="228">
          <cell r="A228" t="str">
            <v>Verpleeggebouw</v>
          </cell>
          <cell r="E228" t="str">
            <v>Huiskamers</v>
          </cell>
          <cell r="G228">
            <v>28</v>
          </cell>
          <cell r="Y228">
            <v>16.604651162790699</v>
          </cell>
          <cell r="Z228">
            <v>6.5116279069767441E-2</v>
          </cell>
        </row>
        <row r="229">
          <cell r="A229" t="str">
            <v>Verpleeggebouw</v>
          </cell>
          <cell r="E229" t="str">
            <v>Sanitair Invaliden</v>
          </cell>
          <cell r="G229">
            <v>12</v>
          </cell>
          <cell r="Y229">
            <v>40.799999999999997</v>
          </cell>
          <cell r="Z229">
            <v>0.15999999999999998</v>
          </cell>
        </row>
        <row r="230">
          <cell r="A230" t="str">
            <v>Verpleeggebouw</v>
          </cell>
          <cell r="E230" t="str">
            <v>Pantrys</v>
          </cell>
          <cell r="G230">
            <v>27</v>
          </cell>
          <cell r="Y230">
            <v>25.036363636363635</v>
          </cell>
          <cell r="Z230">
            <v>9.8181818181818176E-2</v>
          </cell>
        </row>
        <row r="231">
          <cell r="A231" t="str">
            <v>Verpleeggebouw</v>
          </cell>
          <cell r="E231" t="str">
            <v>Lifthallen</v>
          </cell>
          <cell r="G231">
            <v>48</v>
          </cell>
          <cell r="Y231">
            <v>25.237113402061858</v>
          </cell>
          <cell r="Z231">
            <v>9.8969072164948463E-2</v>
          </cell>
        </row>
        <row r="232">
          <cell r="A232" t="str">
            <v>Verpleeggebouw</v>
          </cell>
          <cell r="E232" t="str">
            <v>Trappen(huizen)</v>
          </cell>
          <cell r="G232">
            <v>13</v>
          </cell>
          <cell r="Y232">
            <v>6.6969696969696972</v>
          </cell>
          <cell r="Z232">
            <v>2.6262626262626265E-2</v>
          </cell>
        </row>
        <row r="233">
          <cell r="A233" t="str">
            <v>Verpleeggebouw</v>
          </cell>
          <cell r="E233" t="str">
            <v>Kantoren</v>
          </cell>
          <cell r="G233">
            <v>14</v>
          </cell>
          <cell r="Y233">
            <v>8.5</v>
          </cell>
          <cell r="Z233">
            <v>3.3333333333333333E-2</v>
          </cell>
        </row>
        <row r="234">
          <cell r="A234" t="str">
            <v>Verpleeggebouw</v>
          </cell>
          <cell r="E234" t="str">
            <v>Bergingen</v>
          </cell>
          <cell r="G234">
            <v>2</v>
          </cell>
          <cell r="Y234">
            <v>1.1086956521739131</v>
          </cell>
          <cell r="Z234">
            <v>4.3478260869565218E-3</v>
          </cell>
        </row>
        <row r="235">
          <cell r="A235" t="str">
            <v>Verpleeggebouw</v>
          </cell>
          <cell r="E235" t="str">
            <v>Patientenkamers-4</v>
          </cell>
          <cell r="G235">
            <v>132</v>
          </cell>
          <cell r="Y235">
            <v>112.2</v>
          </cell>
          <cell r="Z235">
            <v>0.44</v>
          </cell>
        </row>
        <row r="236">
          <cell r="A236" t="str">
            <v>Verpleeggebouw</v>
          </cell>
          <cell r="E236" t="str">
            <v>Patientenkamers-1</v>
          </cell>
          <cell r="G236">
            <v>26</v>
          </cell>
          <cell r="Y236">
            <v>22.474576271186443</v>
          </cell>
          <cell r="Z236">
            <v>8.8135593220338995E-2</v>
          </cell>
        </row>
        <row r="237">
          <cell r="A237" t="str">
            <v>Verpleeggebouw</v>
          </cell>
          <cell r="E237" t="str">
            <v>Patientenkamers-4</v>
          </cell>
          <cell r="G237">
            <v>66</v>
          </cell>
          <cell r="Y237">
            <v>56.1</v>
          </cell>
          <cell r="Z237">
            <v>0.22</v>
          </cell>
        </row>
        <row r="238">
          <cell r="A238" t="str">
            <v>Verpleeggebouw</v>
          </cell>
          <cell r="E238" t="str">
            <v>Huiskamers</v>
          </cell>
          <cell r="G238">
            <v>56</v>
          </cell>
          <cell r="Y238">
            <v>33.209302325581397</v>
          </cell>
          <cell r="Z238">
            <v>0.13023255813953488</v>
          </cell>
        </row>
        <row r="239">
          <cell r="A239" t="str">
            <v>Verpleeggebouw</v>
          </cell>
          <cell r="E239" t="str">
            <v>Verkeersruimten</v>
          </cell>
          <cell r="G239">
            <v>148</v>
          </cell>
          <cell r="Y239">
            <v>73.28155339805825</v>
          </cell>
          <cell r="Z239">
            <v>0.287378640776699</v>
          </cell>
        </row>
        <row r="240">
          <cell r="A240" t="str">
            <v>Verpleeggebouw</v>
          </cell>
          <cell r="E240" t="str">
            <v>Patientenkamers-2</v>
          </cell>
          <cell r="G240">
            <v>40</v>
          </cell>
          <cell r="Y240">
            <v>34.576271186440678</v>
          </cell>
          <cell r="Z240">
            <v>0.13559322033898305</v>
          </cell>
        </row>
        <row r="241">
          <cell r="A241" t="str">
            <v>Verpleeggebouw</v>
          </cell>
          <cell r="E241" t="str">
            <v>Trappen(huizen)</v>
          </cell>
          <cell r="G241">
            <v>9</v>
          </cell>
          <cell r="Y241">
            <v>4.6363636363636367</v>
          </cell>
          <cell r="Z241">
            <v>1.8181818181818184E-2</v>
          </cell>
        </row>
        <row r="242">
          <cell r="A242" t="str">
            <v>Verpleeggebouw</v>
          </cell>
          <cell r="E242" t="str">
            <v>Wasruimten</v>
          </cell>
          <cell r="G242">
            <v>7</v>
          </cell>
          <cell r="Y242">
            <v>11.9</v>
          </cell>
          <cell r="Z242">
            <v>4.6666666666666669E-2</v>
          </cell>
        </row>
        <row r="243">
          <cell r="A243" t="str">
            <v>Verpleeggebouw</v>
          </cell>
          <cell r="E243" t="str">
            <v>Bergingen</v>
          </cell>
          <cell r="G243">
            <v>17</v>
          </cell>
          <cell r="Y243">
            <v>9.4239130434782616</v>
          </cell>
          <cell r="Z243">
            <v>3.6956521739130437E-2</v>
          </cell>
        </row>
        <row r="244">
          <cell r="A244" t="str">
            <v>Verpleeggebouw</v>
          </cell>
          <cell r="E244" t="str">
            <v>Sanitair Invaliden</v>
          </cell>
          <cell r="G244">
            <v>4</v>
          </cell>
          <cell r="Y244">
            <v>13.6</v>
          </cell>
          <cell r="Z244">
            <v>5.333333333333333E-2</v>
          </cell>
        </row>
        <row r="245">
          <cell r="A245" t="str">
            <v>Verpleeggebouw</v>
          </cell>
          <cell r="E245" t="str">
            <v>Spoelkeukens</v>
          </cell>
          <cell r="G245">
            <v>9</v>
          </cell>
          <cell r="Y245">
            <v>13.114285714285714</v>
          </cell>
          <cell r="Z245">
            <v>5.1428571428571428E-2</v>
          </cell>
        </row>
        <row r="246">
          <cell r="A246" t="str">
            <v>Verpleeggebouw</v>
          </cell>
          <cell r="E246" t="str">
            <v>Kantoren</v>
          </cell>
          <cell r="G246">
            <v>14</v>
          </cell>
          <cell r="Y246">
            <v>8.5</v>
          </cell>
          <cell r="Z246">
            <v>3.3333333333333333E-2</v>
          </cell>
        </row>
        <row r="247">
          <cell r="A247" t="str">
            <v>Verpleeggebouw</v>
          </cell>
          <cell r="E247" t="str">
            <v>Kantoren</v>
          </cell>
          <cell r="G247">
            <v>14</v>
          </cell>
          <cell r="Y247">
            <v>8.5</v>
          </cell>
          <cell r="Z247">
            <v>3.3333333333333333E-2</v>
          </cell>
        </row>
        <row r="248">
          <cell r="A248" t="str">
            <v>Verpleeggebouw</v>
          </cell>
          <cell r="E248" t="str">
            <v>Patientenkamers-1</v>
          </cell>
          <cell r="G248">
            <v>13</v>
          </cell>
          <cell r="Y248">
            <v>11.237288135593221</v>
          </cell>
          <cell r="Z248">
            <v>4.4067796610169498E-2</v>
          </cell>
        </row>
        <row r="249">
          <cell r="A249" t="str">
            <v>Verpleeggebouw</v>
          </cell>
          <cell r="E249" t="str">
            <v>Patientenkamers-1</v>
          </cell>
          <cell r="G249">
            <v>12</v>
          </cell>
          <cell r="Y249">
            <v>10.372881355932204</v>
          </cell>
          <cell r="Z249">
            <v>4.0677966101694919E-2</v>
          </cell>
        </row>
        <row r="250">
          <cell r="A250" t="str">
            <v>Verpleeggebouw</v>
          </cell>
          <cell r="E250" t="str">
            <v>Wasruimten</v>
          </cell>
          <cell r="G250">
            <v>12</v>
          </cell>
          <cell r="Y250">
            <v>20.399999999999999</v>
          </cell>
          <cell r="Z250">
            <v>7.9999999999999988E-2</v>
          </cell>
        </row>
        <row r="251">
          <cell r="A251" t="str">
            <v>Verpleeggebouw</v>
          </cell>
          <cell r="E251" t="str">
            <v>Werkkasten</v>
          </cell>
          <cell r="G251">
            <v>2</v>
          </cell>
          <cell r="Y251">
            <v>0</v>
          </cell>
          <cell r="Z251">
            <v>0</v>
          </cell>
        </row>
        <row r="252">
          <cell r="A252" t="str">
            <v>Verpleeggebouw</v>
          </cell>
          <cell r="E252" t="str">
            <v>Garderobes</v>
          </cell>
          <cell r="G252">
            <v>13</v>
          </cell>
          <cell r="Y252">
            <v>7.6206896551724128</v>
          </cell>
          <cell r="Z252">
            <v>2.9885057471264364E-2</v>
          </cell>
        </row>
        <row r="253">
          <cell r="A253" t="str">
            <v>Verpleeggebouw</v>
          </cell>
          <cell r="E253" t="str">
            <v>Spoelkeukens</v>
          </cell>
          <cell r="G253">
            <v>11</v>
          </cell>
          <cell r="Y253">
            <v>16.028571428571428</v>
          </cell>
          <cell r="Z253">
            <v>6.2857142857142861E-2</v>
          </cell>
        </row>
        <row r="254">
          <cell r="A254" t="str">
            <v>Verpleeggebouw</v>
          </cell>
          <cell r="E254" t="str">
            <v>Behandelruimten</v>
          </cell>
          <cell r="G254">
            <v>13</v>
          </cell>
          <cell r="Y254">
            <v>8.723684210526315</v>
          </cell>
          <cell r="Z254">
            <v>3.4210526315789469E-2</v>
          </cell>
        </row>
        <row r="255">
          <cell r="A255" t="str">
            <v>Verpleeggebouw</v>
          </cell>
          <cell r="E255" t="str">
            <v>Huiskamers</v>
          </cell>
          <cell r="G255">
            <v>28</v>
          </cell>
          <cell r="Y255">
            <v>16.604651162790699</v>
          </cell>
          <cell r="Z255">
            <v>6.5116279069767441E-2</v>
          </cell>
        </row>
        <row r="256">
          <cell r="A256" t="str">
            <v>Verpleeggebouw</v>
          </cell>
          <cell r="E256" t="str">
            <v>Sanitair Invaliden</v>
          </cell>
          <cell r="G256">
            <v>12</v>
          </cell>
          <cell r="Y256">
            <v>40.799999999999997</v>
          </cell>
          <cell r="Z256">
            <v>0.15999999999999998</v>
          </cell>
        </row>
        <row r="257">
          <cell r="A257" t="str">
            <v>Verpleeggebouw</v>
          </cell>
          <cell r="E257" t="str">
            <v>Huiskamers</v>
          </cell>
          <cell r="G257">
            <v>27</v>
          </cell>
          <cell r="Y257">
            <v>16.011627906976745</v>
          </cell>
          <cell r="Z257">
            <v>6.2790697674418611E-2</v>
          </cell>
        </row>
        <row r="258">
          <cell r="A258" t="str">
            <v>Verpleeggebouw</v>
          </cell>
          <cell r="E258" t="str">
            <v>Lifthallen</v>
          </cell>
          <cell r="G258">
            <v>48</v>
          </cell>
          <cell r="Y258">
            <v>25.237113402061858</v>
          </cell>
          <cell r="Z258">
            <v>9.8969072164948463E-2</v>
          </cell>
        </row>
        <row r="259">
          <cell r="A259" t="str">
            <v>Verpleeggebouw</v>
          </cell>
          <cell r="E259" t="str">
            <v>Trappen(huizen)</v>
          </cell>
          <cell r="G259">
            <v>13</v>
          </cell>
          <cell r="Y259">
            <v>6.6969696969696972</v>
          </cell>
          <cell r="Z259">
            <v>2.6262626262626265E-2</v>
          </cell>
        </row>
        <row r="260">
          <cell r="A260" t="str">
            <v>Verpleeggebouw</v>
          </cell>
          <cell r="E260" t="str">
            <v>Bergingen</v>
          </cell>
          <cell r="G260">
            <v>2</v>
          </cell>
          <cell r="Y260">
            <v>1.1086956521739131</v>
          </cell>
          <cell r="Z260">
            <v>4.3478260869565218E-3</v>
          </cell>
        </row>
        <row r="261">
          <cell r="A261" t="str">
            <v>Verpleeggebouw</v>
          </cell>
          <cell r="E261" t="str">
            <v>Patientenkamers</v>
          </cell>
          <cell r="G261">
            <v>12</v>
          </cell>
          <cell r="Y261">
            <v>10.372881355932204</v>
          </cell>
          <cell r="Z261">
            <v>4.0677966101694919E-2</v>
          </cell>
        </row>
        <row r="262">
          <cell r="A262" t="str">
            <v>Dagbehandeling</v>
          </cell>
          <cell r="E262" t="str">
            <v>Huiskamers</v>
          </cell>
          <cell r="G262">
            <v>90</v>
          </cell>
          <cell r="Y262">
            <v>53.372093023255822</v>
          </cell>
          <cell r="Z262">
            <v>0.20930232558139539</v>
          </cell>
        </row>
        <row r="263">
          <cell r="A263" t="str">
            <v>Dagbehandeling</v>
          </cell>
          <cell r="E263" t="str">
            <v>Rustkamers</v>
          </cell>
          <cell r="G263">
            <v>13</v>
          </cell>
          <cell r="Y263">
            <v>7.5340909090909101</v>
          </cell>
          <cell r="Z263">
            <v>2.9545454545454548E-2</v>
          </cell>
        </row>
        <row r="264">
          <cell r="A264" t="str">
            <v>Dagbehandeling</v>
          </cell>
          <cell r="E264" t="str">
            <v>Sanitair</v>
          </cell>
          <cell r="G264">
            <v>5</v>
          </cell>
          <cell r="Y264">
            <v>18.75</v>
          </cell>
          <cell r="Z264">
            <v>7.3529411764705885E-2</v>
          </cell>
        </row>
        <row r="265">
          <cell r="A265" t="str">
            <v>Dagbehandeling</v>
          </cell>
          <cell r="E265" t="str">
            <v>Kantoren</v>
          </cell>
          <cell r="G265">
            <v>14</v>
          </cell>
          <cell r="Y265">
            <v>8.5</v>
          </cell>
          <cell r="Z265">
            <v>3.3333333333333333E-2</v>
          </cell>
        </row>
        <row r="266">
          <cell r="A266" t="str">
            <v>Dagbehandeling</v>
          </cell>
          <cell r="E266" t="str">
            <v>Entrees</v>
          </cell>
          <cell r="G266">
            <v>8</v>
          </cell>
          <cell r="Y266">
            <v>4.5333333333333332</v>
          </cell>
          <cell r="Z266">
            <v>1.7777777777777778E-2</v>
          </cell>
        </row>
        <row r="267">
          <cell r="A267" t="str">
            <v>Dagbehandeling</v>
          </cell>
          <cell r="E267" t="str">
            <v>Verkeersruimten</v>
          </cell>
          <cell r="G267">
            <v>50</v>
          </cell>
          <cell r="Y267">
            <v>24.757281553398059</v>
          </cell>
          <cell r="Z267">
            <v>9.7087378640776698E-2</v>
          </cell>
        </row>
        <row r="268">
          <cell r="A268" t="str">
            <v>Dagbehandeling</v>
          </cell>
          <cell r="E268" t="str">
            <v>Sanitair</v>
          </cell>
          <cell r="G268">
            <v>5</v>
          </cell>
          <cell r="Y268">
            <v>18.75</v>
          </cell>
          <cell r="Z268">
            <v>7.3529411764705885E-2</v>
          </cell>
        </row>
        <row r="269">
          <cell r="A269" t="str">
            <v>Dagbehandeling</v>
          </cell>
          <cell r="E269" t="str">
            <v>Sanitair Invaliden</v>
          </cell>
          <cell r="G269">
            <v>7</v>
          </cell>
          <cell r="Y269">
            <v>23.8</v>
          </cell>
          <cell r="Z269">
            <v>9.3333333333333338E-2</v>
          </cell>
        </row>
        <row r="270">
          <cell r="A270" t="str">
            <v>Dagbehandeling</v>
          </cell>
          <cell r="E270" t="str">
            <v>Activiteitenruimten</v>
          </cell>
          <cell r="G270">
            <v>14</v>
          </cell>
          <cell r="Y270">
            <v>7.1400000000000006</v>
          </cell>
          <cell r="Z270">
            <v>2.8000000000000001E-2</v>
          </cell>
        </row>
        <row r="271">
          <cell r="A271" t="str">
            <v>Dagbehandeling</v>
          </cell>
          <cell r="E271" t="str">
            <v>Sanitair</v>
          </cell>
          <cell r="G271">
            <v>5</v>
          </cell>
          <cell r="Y271">
            <v>18.75</v>
          </cell>
          <cell r="Z271">
            <v>7.3529411764705885E-2</v>
          </cell>
        </row>
        <row r="272">
          <cell r="A272" t="str">
            <v>Dagbehandeling</v>
          </cell>
          <cell r="E272" t="str">
            <v>Kantoren</v>
          </cell>
          <cell r="G272">
            <v>15</v>
          </cell>
          <cell r="Y272">
            <v>9.1071428571428559</v>
          </cell>
          <cell r="Z272">
            <v>3.5714285714285712E-2</v>
          </cell>
        </row>
        <row r="273">
          <cell r="A273" t="str">
            <v>Dagbehandeling</v>
          </cell>
          <cell r="E273" t="str">
            <v>Kantoren</v>
          </cell>
          <cell r="G273">
            <v>13</v>
          </cell>
          <cell r="Y273">
            <v>7.8928571428571423</v>
          </cell>
          <cell r="Z273">
            <v>3.095238095238095E-2</v>
          </cell>
        </row>
        <row r="274">
          <cell r="A274" t="str">
            <v>Dagbehandeling</v>
          </cell>
          <cell r="E274" t="str">
            <v>Sanitair Invaliden</v>
          </cell>
          <cell r="G274">
            <v>10</v>
          </cell>
          <cell r="Y274">
            <v>34</v>
          </cell>
          <cell r="Z274">
            <v>0.13333333333333333</v>
          </cell>
        </row>
        <row r="278">
          <cell r="E278" t="str">
            <v>Restaurants-110</v>
          </cell>
          <cell r="G278">
            <v>190</v>
          </cell>
          <cell r="Y278">
            <v>66.349206349206341</v>
          </cell>
          <cell r="Z278">
            <v>0.60317460317460314</v>
          </cell>
        </row>
        <row r="279">
          <cell r="E279" t="str">
            <v>Sanitair-110</v>
          </cell>
          <cell r="G279">
            <v>6</v>
          </cell>
          <cell r="Y279">
            <v>8.25</v>
          </cell>
          <cell r="Z279">
            <v>7.4999999999999997E-2</v>
          </cell>
        </row>
        <row r="280">
          <cell r="E280" t="str">
            <v>Sanitair Bezoek-110</v>
          </cell>
          <cell r="G280">
            <v>4</v>
          </cell>
          <cell r="Y280">
            <v>5.8666666666666663</v>
          </cell>
          <cell r="Z280">
            <v>5.333333333333333E-2</v>
          </cell>
        </row>
        <row r="281">
          <cell r="E281" t="str">
            <v>Sanitair Bezoek-110</v>
          </cell>
          <cell r="G281">
            <v>4</v>
          </cell>
          <cell r="Y281">
            <v>5.8666666666666663</v>
          </cell>
          <cell r="Z281">
            <v>5.333333333333333E-2</v>
          </cell>
        </row>
        <row r="282">
          <cell r="E282" t="str">
            <v>Sanitair-110</v>
          </cell>
          <cell r="G282">
            <v>6</v>
          </cell>
          <cell r="Y282">
            <v>8.25</v>
          </cell>
          <cell r="Z282">
            <v>7.4999999999999997E-2</v>
          </cell>
        </row>
        <row r="283">
          <cell r="E283" t="str">
            <v>Sanitair Invaliden-110</v>
          </cell>
          <cell r="G283">
            <v>4</v>
          </cell>
          <cell r="Y283">
            <v>4.6808510638297873</v>
          </cell>
          <cell r="Z283">
            <v>4.2553191489361701E-2</v>
          </cell>
        </row>
        <row r="284">
          <cell r="E284" t="str">
            <v>Sanitair Bezoek-110</v>
          </cell>
          <cell r="G284">
            <v>3</v>
          </cell>
          <cell r="Y284">
            <v>4.3999999999999995</v>
          </cell>
          <cell r="Z284">
            <v>3.9999999999999994E-2</v>
          </cell>
        </row>
        <row r="285">
          <cell r="E285" t="str">
            <v>Sanitair Invaliden-110</v>
          </cell>
          <cell r="G285">
            <v>8</v>
          </cell>
          <cell r="Y285">
            <v>9.3617021276595747</v>
          </cell>
          <cell r="Z285">
            <v>8.5106382978723402E-2</v>
          </cell>
        </row>
        <row r="286">
          <cell r="E286" t="str">
            <v>Sanitair Invaliden-110</v>
          </cell>
          <cell r="G286">
            <v>4</v>
          </cell>
          <cell r="Y286">
            <v>4.6808510638297873</v>
          </cell>
          <cell r="Z286">
            <v>4.2553191489361701E-2</v>
          </cell>
        </row>
        <row r="287">
          <cell r="E287" t="str">
            <v>Sanitair Invaliden-110</v>
          </cell>
          <cell r="G287">
            <v>12</v>
          </cell>
          <cell r="Y287">
            <v>14.042553191489361</v>
          </cell>
          <cell r="Z287">
            <v>0.1276595744680851</v>
          </cell>
        </row>
        <row r="288">
          <cell r="E288" t="str">
            <v>Sanitair Invaliden-110</v>
          </cell>
          <cell r="G288">
            <v>4</v>
          </cell>
          <cell r="Y288">
            <v>4.6808510638297873</v>
          </cell>
          <cell r="Z288">
            <v>4.2553191489361701E-2</v>
          </cell>
        </row>
        <row r="289">
          <cell r="E289" t="str">
            <v>Sanitair Invaliden-110</v>
          </cell>
          <cell r="G289">
            <v>12</v>
          </cell>
          <cell r="Y289">
            <v>14.042553191489361</v>
          </cell>
          <cell r="Z289">
            <v>0.1276595744680851</v>
          </cell>
        </row>
        <row r="290">
          <cell r="E290" t="str">
            <v>Sanitair-110</v>
          </cell>
          <cell r="G290">
            <v>5</v>
          </cell>
          <cell r="Y290">
            <v>6.875</v>
          </cell>
          <cell r="Z290">
            <v>6.25E-2</v>
          </cell>
        </row>
        <row r="291">
          <cell r="E291" t="str">
            <v>Sanitair Invaliden-110</v>
          </cell>
          <cell r="G291">
            <v>4</v>
          </cell>
          <cell r="Y291">
            <v>4.6808510638297873</v>
          </cell>
          <cell r="Z291">
            <v>4.2553191489361701E-2</v>
          </cell>
        </row>
        <row r="292">
          <cell r="E292" t="str">
            <v>Sanitair Invaliden-110</v>
          </cell>
          <cell r="G292">
            <v>12</v>
          </cell>
          <cell r="Y292">
            <v>14.042553191489361</v>
          </cell>
          <cell r="Z292">
            <v>0.1276595744680851</v>
          </cell>
        </row>
        <row r="293">
          <cell r="E293" t="str">
            <v>Sanitair-110</v>
          </cell>
          <cell r="G293">
            <v>5</v>
          </cell>
          <cell r="Y293">
            <v>6.875</v>
          </cell>
          <cell r="Z293">
            <v>6.25E-2</v>
          </cell>
        </row>
        <row r="294">
          <cell r="E294" t="str">
            <v>Sanitair Invaliden-110</v>
          </cell>
          <cell r="G294">
            <v>4</v>
          </cell>
          <cell r="Y294">
            <v>4.6808510638297873</v>
          </cell>
          <cell r="Z294">
            <v>4.2553191489361701E-2</v>
          </cell>
        </row>
        <row r="295">
          <cell r="E295" t="str">
            <v>Sanitair Invaliden-110</v>
          </cell>
          <cell r="G295">
            <v>12</v>
          </cell>
          <cell r="Y295">
            <v>14.042553191489361</v>
          </cell>
          <cell r="Z295">
            <v>0.1276595744680851</v>
          </cell>
        </row>
        <row r="296">
          <cell r="E296" t="str">
            <v>Sanitair Invaliden-110</v>
          </cell>
          <cell r="G296">
            <v>4</v>
          </cell>
          <cell r="Y296">
            <v>4.6808510638297873</v>
          </cell>
          <cell r="Z296">
            <v>4.2553191489361701E-2</v>
          </cell>
        </row>
        <row r="297">
          <cell r="E297" t="str">
            <v>Sanitair Invaliden-110</v>
          </cell>
          <cell r="G297">
            <v>12</v>
          </cell>
          <cell r="Y297">
            <v>14.042553191489361</v>
          </cell>
          <cell r="Z297">
            <v>0.1276595744680851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K50"/>
  <sheetViews>
    <sheetView showGridLines="0" topLeftCell="A36" workbookViewId="0">
      <selection activeCell="A2" sqref="A2:E2"/>
    </sheetView>
  </sheetViews>
  <sheetFormatPr baseColWidth="10" defaultColWidth="9.3984375" defaultRowHeight="15"/>
  <cols>
    <col min="1" max="2" width="18.3984375" style="23" customWidth="1"/>
    <col min="3" max="3" width="9.3984375" style="23"/>
    <col min="4" max="4" width="20.796875" style="23" customWidth="1"/>
    <col min="5" max="5" width="44.796875" style="23" customWidth="1"/>
    <col min="6" max="6" width="39.796875" style="23" customWidth="1"/>
    <col min="7" max="8" width="15.59765625" style="23" customWidth="1"/>
    <col min="9" max="9" width="12.796875" style="23" bestFit="1" customWidth="1"/>
    <col min="10" max="10" width="2.19921875" style="23" customWidth="1"/>
    <col min="11" max="11" width="7.796875" style="23" customWidth="1"/>
    <col min="12" max="12" width="27" style="23" bestFit="1" customWidth="1"/>
    <col min="13" max="16384" width="9.3984375" style="23"/>
  </cols>
  <sheetData>
    <row r="1" spans="1:11" ht="24" customHeight="1">
      <c r="A1" s="490" t="s">
        <v>61</v>
      </c>
      <c r="B1" s="491"/>
      <c r="C1" s="492"/>
      <c r="D1" s="492"/>
      <c r="E1" s="493"/>
      <c r="G1" s="482"/>
      <c r="H1" s="482"/>
      <c r="I1" s="482"/>
      <c r="J1" s="482"/>
      <c r="K1" s="482"/>
    </row>
    <row r="2" spans="1:11" s="375" customFormat="1" ht="45.75" customHeight="1">
      <c r="A2" s="514" t="s">
        <v>799</v>
      </c>
      <c r="B2" s="515"/>
      <c r="C2" s="515"/>
      <c r="D2" s="515"/>
      <c r="E2" s="516"/>
      <c r="G2" s="467"/>
      <c r="I2" s="468"/>
      <c r="J2" s="468"/>
      <c r="K2" s="469"/>
    </row>
    <row r="3" spans="1:11">
      <c r="A3" s="484" t="s">
        <v>545</v>
      </c>
      <c r="B3" s="466" t="s">
        <v>548</v>
      </c>
      <c r="C3" s="466"/>
      <c r="D3" s="466"/>
      <c r="E3" s="470"/>
    </row>
    <row r="4" spans="1:11">
      <c r="A4" s="485" t="s">
        <v>546</v>
      </c>
      <c r="B4" s="512" t="s">
        <v>547</v>
      </c>
      <c r="C4" s="512"/>
      <c r="D4" s="512"/>
      <c r="E4" s="513"/>
    </row>
    <row r="5" spans="1:11" ht="25.5" customHeight="1">
      <c r="A5" s="501" t="s">
        <v>794</v>
      </c>
      <c r="B5" s="502"/>
      <c r="C5" s="502"/>
      <c r="D5" s="502"/>
      <c r="E5" s="503"/>
      <c r="H5" s="471"/>
      <c r="I5" s="472"/>
      <c r="J5" s="472"/>
      <c r="K5" s="472"/>
    </row>
    <row r="6" spans="1:11" s="375" customFormat="1" ht="45.75" customHeight="1">
      <c r="A6" s="506" t="s">
        <v>544</v>
      </c>
      <c r="B6" s="507"/>
      <c r="C6" s="507"/>
      <c r="D6" s="507"/>
      <c r="E6" s="508"/>
      <c r="G6" s="467"/>
      <c r="I6" s="468"/>
      <c r="J6" s="468"/>
      <c r="K6" s="469"/>
    </row>
    <row r="7" spans="1:11" s="375" customFormat="1" ht="29" customHeight="1">
      <c r="A7" s="517" t="s">
        <v>610</v>
      </c>
      <c r="B7" s="518"/>
      <c r="C7" s="518"/>
      <c r="D7" s="518"/>
      <c r="E7" s="519"/>
      <c r="G7" s="467"/>
      <c r="I7" s="468"/>
      <c r="J7" s="468"/>
      <c r="K7" s="469"/>
    </row>
    <row r="8" spans="1:11" s="375" customFormat="1" ht="45.75" customHeight="1">
      <c r="A8" s="514" t="s">
        <v>795</v>
      </c>
      <c r="B8" s="515"/>
      <c r="C8" s="515"/>
      <c r="D8" s="515"/>
      <c r="E8" s="516"/>
      <c r="G8" s="467"/>
      <c r="I8" s="468"/>
      <c r="J8" s="468"/>
      <c r="K8" s="469"/>
    </row>
    <row r="9" spans="1:11" s="375" customFormat="1" ht="29" customHeight="1">
      <c r="A9" s="498" t="s">
        <v>626</v>
      </c>
      <c r="B9" s="499"/>
      <c r="C9" s="499"/>
      <c r="D9" s="499"/>
      <c r="E9" s="500"/>
      <c r="G9" s="467"/>
      <c r="I9" s="468"/>
      <c r="J9" s="468"/>
      <c r="K9" s="469"/>
    </row>
    <row r="10" spans="1:11" s="375" customFormat="1" ht="45.75" customHeight="1">
      <c r="A10" s="514" t="s">
        <v>796</v>
      </c>
      <c r="B10" s="515"/>
      <c r="C10" s="515"/>
      <c r="D10" s="515"/>
      <c r="E10" s="516"/>
      <c r="G10" s="467"/>
      <c r="I10" s="468"/>
      <c r="J10" s="468"/>
      <c r="K10" s="469"/>
    </row>
    <row r="11" spans="1:11" s="375" customFormat="1" ht="29" customHeight="1">
      <c r="A11" s="498" t="s">
        <v>782</v>
      </c>
      <c r="B11" s="499"/>
      <c r="C11" s="499"/>
      <c r="D11" s="499"/>
      <c r="E11" s="500"/>
      <c r="G11" s="467"/>
      <c r="I11" s="468"/>
      <c r="J11" s="468"/>
      <c r="K11" s="469"/>
    </row>
    <row r="12" spans="1:11" s="375" customFormat="1" ht="45.75" customHeight="1">
      <c r="A12" s="514" t="s">
        <v>784</v>
      </c>
      <c r="B12" s="515"/>
      <c r="C12" s="515"/>
      <c r="D12" s="515"/>
      <c r="E12" s="516"/>
      <c r="G12" s="467"/>
      <c r="I12" s="468"/>
      <c r="J12" s="468"/>
      <c r="K12" s="469"/>
    </row>
    <row r="13" spans="1:11" s="375" customFormat="1" ht="29" customHeight="1">
      <c r="A13" s="498" t="s">
        <v>783</v>
      </c>
      <c r="B13" s="499"/>
      <c r="C13" s="499"/>
      <c r="D13" s="499"/>
      <c r="E13" s="500"/>
      <c r="G13" s="467"/>
      <c r="I13" s="468"/>
      <c r="J13" s="468"/>
      <c r="K13" s="469"/>
    </row>
    <row r="14" spans="1:11" s="375" customFormat="1" ht="49" customHeight="1">
      <c r="A14" s="514" t="s">
        <v>785</v>
      </c>
      <c r="B14" s="515"/>
      <c r="C14" s="515"/>
      <c r="D14" s="515"/>
      <c r="E14" s="516"/>
      <c r="G14" s="467"/>
      <c r="I14" s="468"/>
      <c r="J14" s="468"/>
      <c r="K14" s="469"/>
    </row>
    <row r="15" spans="1:11" ht="29" customHeight="1">
      <c r="A15" s="464" t="s">
        <v>781</v>
      </c>
      <c r="B15" s="465"/>
      <c r="C15" s="465"/>
      <c r="D15" s="465"/>
      <c r="E15" s="486"/>
      <c r="G15" s="473"/>
      <c r="I15" s="474"/>
      <c r="J15" s="474"/>
      <c r="K15" s="472"/>
    </row>
    <row r="16" spans="1:11" s="375" customFormat="1" ht="49.5" customHeight="1">
      <c r="A16" s="506" t="s">
        <v>797</v>
      </c>
      <c r="B16" s="507"/>
      <c r="C16" s="507"/>
      <c r="D16" s="507"/>
      <c r="E16" s="508"/>
      <c r="H16" s="475"/>
      <c r="I16" s="468"/>
      <c r="J16" s="468"/>
      <c r="K16" s="469"/>
    </row>
    <row r="17" spans="1:11" s="375" customFormat="1" ht="45.75" customHeight="1">
      <c r="A17" s="506" t="s">
        <v>544</v>
      </c>
      <c r="B17" s="507"/>
      <c r="C17" s="507"/>
      <c r="D17" s="507"/>
      <c r="E17" s="508"/>
      <c r="G17" s="467"/>
      <c r="I17" s="468"/>
      <c r="J17" s="468"/>
      <c r="K17" s="469"/>
    </row>
    <row r="18" spans="1:11" ht="22" customHeight="1">
      <c r="A18" s="92" t="s">
        <v>464</v>
      </c>
      <c r="B18" s="509" t="s">
        <v>58</v>
      </c>
      <c r="C18" s="510"/>
      <c r="D18" s="510"/>
      <c r="E18" s="511"/>
      <c r="G18" s="473"/>
      <c r="I18" s="476"/>
      <c r="J18" s="477"/>
      <c r="K18" s="478"/>
    </row>
    <row r="19" spans="1:11" ht="22" customHeight="1">
      <c r="A19" s="374" t="s">
        <v>522</v>
      </c>
      <c r="B19" s="504" t="s">
        <v>241</v>
      </c>
      <c r="C19" s="504"/>
      <c r="D19" s="504"/>
      <c r="E19" s="504"/>
      <c r="G19" s="473"/>
      <c r="I19" s="476"/>
      <c r="J19" s="477"/>
      <c r="K19" s="478"/>
    </row>
    <row r="20" spans="1:11" ht="22" customHeight="1">
      <c r="A20" s="374" t="s">
        <v>521</v>
      </c>
      <c r="B20" s="504" t="s">
        <v>62</v>
      </c>
      <c r="C20" s="504"/>
      <c r="D20" s="504"/>
      <c r="E20" s="504"/>
      <c r="G20" s="473"/>
      <c r="I20" s="476"/>
      <c r="J20" s="477"/>
      <c r="K20" s="479"/>
    </row>
    <row r="21" spans="1:11" ht="22" customHeight="1">
      <c r="A21" s="374" t="s">
        <v>74</v>
      </c>
      <c r="B21" s="504" t="s">
        <v>745</v>
      </c>
      <c r="C21" s="504"/>
      <c r="D21" s="504"/>
      <c r="E21" s="504"/>
      <c r="H21" s="480"/>
      <c r="I21" s="481"/>
      <c r="J21" s="477"/>
      <c r="K21" s="482"/>
    </row>
    <row r="22" spans="1:11" ht="22" customHeight="1">
      <c r="A22" s="374" t="s">
        <v>73</v>
      </c>
      <c r="B22" s="504" t="s">
        <v>63</v>
      </c>
      <c r="C22" s="504"/>
      <c r="D22" s="504"/>
      <c r="E22" s="504"/>
      <c r="H22" s="487"/>
      <c r="I22" s="488"/>
      <c r="J22" s="477"/>
      <c r="K22" s="482"/>
    </row>
    <row r="23" spans="1:11" ht="22" customHeight="1">
      <c r="A23" s="374" t="s">
        <v>80</v>
      </c>
      <c r="B23" s="504" t="s">
        <v>76</v>
      </c>
      <c r="C23" s="504"/>
      <c r="D23" s="504"/>
      <c r="E23" s="504"/>
      <c r="G23" s="489"/>
      <c r="H23" s="489"/>
      <c r="I23" s="489"/>
      <c r="J23" s="482"/>
      <c r="K23" s="482"/>
    </row>
    <row r="24" spans="1:11" ht="22" customHeight="1">
      <c r="A24" s="374" t="s">
        <v>71</v>
      </c>
      <c r="B24" s="504" t="s">
        <v>77</v>
      </c>
      <c r="C24" s="504"/>
      <c r="D24" s="504"/>
      <c r="E24" s="504"/>
      <c r="G24" s="489"/>
      <c r="H24" s="489"/>
      <c r="I24" s="489"/>
      <c r="J24" s="482"/>
      <c r="K24" s="482"/>
    </row>
    <row r="25" spans="1:11" ht="22" customHeight="1">
      <c r="A25" s="374" t="s">
        <v>198</v>
      </c>
      <c r="B25" s="504" t="s">
        <v>542</v>
      </c>
      <c r="C25" s="504"/>
      <c r="D25" s="504"/>
      <c r="E25" s="504"/>
      <c r="H25" s="480"/>
      <c r="I25" s="481"/>
      <c r="J25" s="477"/>
      <c r="K25" s="482"/>
    </row>
    <row r="26" spans="1:11" ht="22" customHeight="1">
      <c r="A26" s="374" t="s">
        <v>743</v>
      </c>
      <c r="B26" s="504" t="s">
        <v>744</v>
      </c>
      <c r="C26" s="504"/>
      <c r="D26" s="504"/>
      <c r="E26" s="504"/>
      <c r="G26" s="482"/>
      <c r="H26" s="482"/>
      <c r="I26" s="482"/>
      <c r="J26" s="482"/>
      <c r="K26" s="482"/>
    </row>
    <row r="27" spans="1:11" ht="22" customHeight="1">
      <c r="A27" s="374" t="s">
        <v>774</v>
      </c>
      <c r="B27" s="504" t="s">
        <v>775</v>
      </c>
      <c r="C27" s="504"/>
      <c r="D27" s="504"/>
      <c r="E27" s="504"/>
      <c r="H27" s="487"/>
      <c r="I27" s="488"/>
      <c r="J27" s="477"/>
      <c r="K27" s="482"/>
    </row>
    <row r="28" spans="1:11" ht="22" customHeight="1">
      <c r="A28" s="374" t="s">
        <v>643</v>
      </c>
      <c r="B28" s="504" t="s">
        <v>746</v>
      </c>
      <c r="C28" s="504"/>
      <c r="D28" s="504"/>
      <c r="E28" s="504"/>
    </row>
    <row r="29" spans="1:11" ht="22" customHeight="1">
      <c r="A29" s="374" t="s">
        <v>72</v>
      </c>
      <c r="B29" s="504" t="s">
        <v>78</v>
      </c>
      <c r="C29" s="504"/>
      <c r="D29" s="504"/>
      <c r="E29" s="504"/>
    </row>
    <row r="30" spans="1:11" ht="22" customHeight="1">
      <c r="A30" s="374" t="s">
        <v>747</v>
      </c>
      <c r="B30" s="504" t="s">
        <v>513</v>
      </c>
      <c r="C30" s="504"/>
      <c r="D30" s="504"/>
      <c r="E30" s="504"/>
    </row>
    <row r="31" spans="1:11" ht="22" customHeight="1">
      <c r="A31" s="374" t="s">
        <v>748</v>
      </c>
      <c r="B31" s="495" t="s">
        <v>419</v>
      </c>
      <c r="C31" s="496"/>
      <c r="D31" s="496"/>
      <c r="E31" s="497"/>
    </row>
    <row r="32" spans="1:11" ht="22" customHeight="1">
      <c r="A32" s="374" t="s">
        <v>232</v>
      </c>
      <c r="B32" s="504" t="s">
        <v>423</v>
      </c>
      <c r="C32" s="505"/>
      <c r="D32" s="505"/>
      <c r="E32" s="505"/>
    </row>
    <row r="33" spans="1:11" ht="22" customHeight="1">
      <c r="A33" s="374" t="s">
        <v>75</v>
      </c>
      <c r="B33" s="504" t="s">
        <v>79</v>
      </c>
      <c r="C33" s="504"/>
      <c r="D33" s="504"/>
      <c r="E33" s="504"/>
    </row>
    <row r="34" spans="1:11" ht="22" customHeight="1">
      <c r="A34" s="374" t="s">
        <v>776</v>
      </c>
      <c r="B34" s="504" t="s">
        <v>420</v>
      </c>
      <c r="C34" s="505"/>
      <c r="D34" s="505"/>
      <c r="E34" s="505"/>
    </row>
    <row r="35" spans="1:11" ht="22" customHeight="1">
      <c r="A35" s="374" t="s">
        <v>777</v>
      </c>
      <c r="B35" s="504" t="s">
        <v>780</v>
      </c>
      <c r="C35" s="505"/>
      <c r="D35" s="505"/>
      <c r="E35" s="505"/>
    </row>
    <row r="36" spans="1:11" ht="22" customHeight="1">
      <c r="A36" s="374" t="s">
        <v>82</v>
      </c>
      <c r="B36" s="504" t="s">
        <v>421</v>
      </c>
      <c r="C36" s="505"/>
      <c r="D36" s="505"/>
      <c r="E36" s="505"/>
    </row>
    <row r="37" spans="1:11" ht="22" customHeight="1">
      <c r="A37" s="374" t="s">
        <v>231</v>
      </c>
      <c r="B37" s="504" t="s">
        <v>778</v>
      </c>
      <c r="C37" s="505"/>
      <c r="D37" s="505"/>
      <c r="E37" s="505"/>
    </row>
    <row r="38" spans="1:11" ht="22" customHeight="1">
      <c r="A38" s="374" t="s">
        <v>425</v>
      </c>
      <c r="B38" s="504" t="s">
        <v>422</v>
      </c>
      <c r="C38" s="505"/>
      <c r="D38" s="505"/>
      <c r="E38" s="505"/>
    </row>
    <row r="39" spans="1:11" ht="22" customHeight="1">
      <c r="A39" s="374" t="s">
        <v>193</v>
      </c>
      <c r="B39" s="504" t="s">
        <v>422</v>
      </c>
      <c r="C39" s="505"/>
      <c r="D39" s="505"/>
      <c r="E39" s="505"/>
    </row>
    <row r="40" spans="1:11" ht="22" customHeight="1">
      <c r="A40" s="374" t="s">
        <v>81</v>
      </c>
      <c r="B40" s="504" t="s">
        <v>422</v>
      </c>
      <c r="C40" s="505"/>
      <c r="D40" s="505"/>
      <c r="E40" s="505"/>
    </row>
    <row r="41" spans="1:11" ht="22" customHeight="1">
      <c r="A41" s="374" t="s">
        <v>779</v>
      </c>
      <c r="B41" s="504" t="s">
        <v>422</v>
      </c>
      <c r="C41" s="505"/>
      <c r="D41" s="505"/>
      <c r="E41" s="505"/>
    </row>
    <row r="42" spans="1:11" ht="29" customHeight="1">
      <c r="A42" s="464" t="s">
        <v>786</v>
      </c>
      <c r="B42" s="465"/>
      <c r="C42" s="465"/>
      <c r="D42" s="465"/>
      <c r="E42" s="486"/>
      <c r="G42" s="473"/>
      <c r="I42" s="474"/>
      <c r="J42" s="474"/>
      <c r="K42" s="472"/>
    </row>
    <row r="43" spans="1:11" ht="39" customHeight="1">
      <c r="A43" s="495" t="s">
        <v>787</v>
      </c>
      <c r="B43" s="496"/>
      <c r="C43" s="496"/>
      <c r="D43" s="496"/>
      <c r="E43" s="497"/>
      <c r="G43" s="483"/>
      <c r="I43" s="474"/>
      <c r="J43" s="474"/>
      <c r="K43" s="472"/>
    </row>
    <row r="44" spans="1:11" ht="29" customHeight="1">
      <c r="A44" s="498" t="s">
        <v>788</v>
      </c>
      <c r="B44" s="499"/>
      <c r="C44" s="499"/>
      <c r="D44" s="499"/>
      <c r="E44" s="500"/>
      <c r="G44" s="483"/>
      <c r="I44" s="474"/>
      <c r="J44" s="474"/>
      <c r="K44" s="472"/>
    </row>
    <row r="45" spans="1:11" ht="60" customHeight="1">
      <c r="A45" s="495" t="s">
        <v>789</v>
      </c>
      <c r="B45" s="496"/>
      <c r="C45" s="496"/>
      <c r="D45" s="496"/>
      <c r="E45" s="497"/>
      <c r="G45" s="483"/>
      <c r="I45" s="474"/>
      <c r="J45" s="474"/>
      <c r="K45" s="472"/>
    </row>
    <row r="46" spans="1:11" ht="29" customHeight="1">
      <c r="A46" s="498" t="s">
        <v>790</v>
      </c>
      <c r="B46" s="499"/>
      <c r="C46" s="499"/>
      <c r="D46" s="499"/>
      <c r="E46" s="500"/>
      <c r="G46" s="483"/>
      <c r="I46" s="474"/>
      <c r="J46" s="474"/>
      <c r="K46" s="472"/>
    </row>
    <row r="47" spans="1:11" ht="46" customHeight="1">
      <c r="A47" s="495" t="s">
        <v>792</v>
      </c>
      <c r="B47" s="496"/>
      <c r="C47" s="496"/>
      <c r="D47" s="496"/>
      <c r="E47" s="497"/>
      <c r="G47" s="483"/>
      <c r="I47" s="474"/>
      <c r="J47" s="474"/>
      <c r="K47" s="472"/>
    </row>
    <row r="48" spans="1:11" ht="29" customHeight="1">
      <c r="A48" s="498" t="s">
        <v>793</v>
      </c>
      <c r="B48" s="499"/>
      <c r="C48" s="499"/>
      <c r="D48" s="499"/>
      <c r="E48" s="500"/>
      <c r="G48" s="483"/>
      <c r="I48" s="474"/>
      <c r="J48" s="474"/>
      <c r="K48" s="472"/>
    </row>
    <row r="49" spans="1:11" ht="46" customHeight="1">
      <c r="A49" s="495" t="s">
        <v>798</v>
      </c>
      <c r="B49" s="496"/>
      <c r="C49" s="496"/>
      <c r="D49" s="496"/>
      <c r="E49" s="497"/>
      <c r="G49" s="483"/>
      <c r="I49" s="474"/>
      <c r="J49" s="474"/>
      <c r="K49" s="472"/>
    </row>
    <row r="50" spans="1:11">
      <c r="A50" s="375"/>
      <c r="B50" s="375"/>
      <c r="C50" s="375"/>
      <c r="D50" s="375"/>
      <c r="E50" s="375"/>
    </row>
  </sheetData>
  <mergeCells count="45">
    <mergeCell ref="A2:E2"/>
    <mergeCell ref="A47:E47"/>
    <mergeCell ref="A48:E48"/>
    <mergeCell ref="A49:E49"/>
    <mergeCell ref="A16:E16"/>
    <mergeCell ref="A17:E17"/>
    <mergeCell ref="A13:E13"/>
    <mergeCell ref="A12:E12"/>
    <mergeCell ref="A14:E14"/>
    <mergeCell ref="A43:E43"/>
    <mergeCell ref="A44:E44"/>
    <mergeCell ref="A7:E7"/>
    <mergeCell ref="A8:E8"/>
    <mergeCell ref="A9:E9"/>
    <mergeCell ref="A10:E10"/>
    <mergeCell ref="A11:E11"/>
    <mergeCell ref="B24:E24"/>
    <mergeCell ref="B28:E28"/>
    <mergeCell ref="B4:E4"/>
    <mergeCell ref="B33:E33"/>
    <mergeCell ref="B36:E36"/>
    <mergeCell ref="B40:E40"/>
    <mergeCell ref="B41:E41"/>
    <mergeCell ref="B34:E34"/>
    <mergeCell ref="B27:E27"/>
    <mergeCell ref="B37:E37"/>
    <mergeCell ref="B38:E38"/>
    <mergeCell ref="B39:E39"/>
    <mergeCell ref="B29:E29"/>
    <mergeCell ref="A45:E45"/>
    <mergeCell ref="A46:E46"/>
    <mergeCell ref="A5:E5"/>
    <mergeCell ref="B35:E35"/>
    <mergeCell ref="B30:E30"/>
    <mergeCell ref="B20:E20"/>
    <mergeCell ref="B21:E21"/>
    <mergeCell ref="B19:E19"/>
    <mergeCell ref="B31:E31"/>
    <mergeCell ref="A6:E6"/>
    <mergeCell ref="B23:E23"/>
    <mergeCell ref="B26:E26"/>
    <mergeCell ref="B25:E25"/>
    <mergeCell ref="B18:E18"/>
    <mergeCell ref="B22:E22"/>
    <mergeCell ref="B32:E32"/>
  </mergeCells>
  <phoneticPr fontId="0" type="noConversion"/>
  <pageMargins left="0.70866141732283472" right="0.70866141732283472" top="0.74803149606299213" bottom="0.74803149606299213" header="0.31496062992125984" footer="0.31496062992125984"/>
  <pageSetup paperSize="9" scale="51"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78C2F-C87A-D541-BE4E-2DFE1EE9F82A}">
  <sheetPr>
    <tabColor rgb="FFFFC000"/>
  </sheetPr>
  <dimension ref="A1:I12"/>
  <sheetViews>
    <sheetView zoomScale="150" workbookViewId="0">
      <pane ySplit="1" topLeftCell="A2" activePane="bottomLeft" state="frozen"/>
      <selection pane="bottomLeft" activeCell="E9" sqref="E9"/>
    </sheetView>
  </sheetViews>
  <sheetFormatPr baseColWidth="10" defaultColWidth="11.3984375" defaultRowHeight="13"/>
  <cols>
    <col min="1" max="1" width="11" bestFit="1" customWidth="1"/>
    <col min="2" max="2" width="38.19921875" bestFit="1" customWidth="1"/>
    <col min="3" max="3" width="12.19921875" customWidth="1"/>
    <col min="4" max="4" width="13.19921875" customWidth="1"/>
    <col min="5" max="5" width="10.796875" style="13"/>
    <col min="7" max="7" width="36.19921875" customWidth="1"/>
  </cols>
  <sheetData>
    <row r="1" spans="1:9" ht="32.25" customHeight="1">
      <c r="A1" s="291" t="s">
        <v>538</v>
      </c>
      <c r="B1" s="291" t="s">
        <v>512</v>
      </c>
      <c r="C1" s="11" t="s">
        <v>449</v>
      </c>
      <c r="D1" s="276" t="s">
        <v>450</v>
      </c>
      <c r="E1" s="12" t="s">
        <v>451</v>
      </c>
    </row>
    <row r="2" spans="1:9" ht="16" customHeight="1">
      <c r="A2" s="366" t="s">
        <v>645</v>
      </c>
      <c r="B2" s="366" t="s">
        <v>646</v>
      </c>
      <c r="C2" s="14">
        <f>_xlfn.MAXIFS('4-Basis ruimtestaat'!$K:$K,'4-Basis ruimtestaat'!$A:$A,$A2)</f>
        <v>52</v>
      </c>
      <c r="D2" s="15">
        <f>SUMIF('4-Basis ruimtestaat'!A:A,A2,'4-Basis ruimtestaat'!M:M)</f>
        <v>0</v>
      </c>
      <c r="E2" s="15">
        <f>IF(C2=0,0,IF(D2/C2&lt;1,(1-(D2/C2))*C2,0))</f>
        <v>52</v>
      </c>
    </row>
    <row r="3" spans="1:9" ht="16" customHeight="1">
      <c r="A3" s="367" t="s">
        <v>649</v>
      </c>
      <c r="B3" s="367" t="s">
        <v>650</v>
      </c>
      <c r="C3" s="368">
        <f>_xlfn.MAXIFS('4-Basis ruimtestaat'!$K:$K,'4-Basis ruimtestaat'!$A:$A,$A3)</f>
        <v>255</v>
      </c>
      <c r="D3" s="369">
        <f>SUMIF('4-Basis ruimtestaat'!A:A,A3,'4-Basis ruimtestaat'!M:M)</f>
        <v>0</v>
      </c>
      <c r="E3" s="369">
        <v>0</v>
      </c>
    </row>
    <row r="4" spans="1:9" ht="16" customHeight="1">
      <c r="A4" s="367" t="s">
        <v>654</v>
      </c>
      <c r="B4" s="367" t="s">
        <v>655</v>
      </c>
      <c r="C4" s="368">
        <f>_xlfn.MAXIFS('4-Basis ruimtestaat'!$K:$K,'4-Basis ruimtestaat'!$A:$A,$A4)</f>
        <v>255</v>
      </c>
      <c r="D4" s="369">
        <f>SUMIF('4-Basis ruimtestaat'!A:A,A4,'4-Basis ruimtestaat'!M:M)</f>
        <v>0</v>
      </c>
      <c r="E4" s="369">
        <v>0</v>
      </c>
      <c r="G4" s="212" t="s">
        <v>93</v>
      </c>
      <c r="H4" s="213"/>
      <c r="I4" s="214"/>
    </row>
    <row r="5" spans="1:9" ht="16" customHeight="1">
      <c r="A5" s="367" t="s">
        <v>664</v>
      </c>
      <c r="B5" s="367" t="s">
        <v>665</v>
      </c>
      <c r="C5" s="368">
        <f>_xlfn.MAXIFS('4-Basis ruimtestaat'!$K:$K,'4-Basis ruimtestaat'!$A:$A,$A5)</f>
        <v>255</v>
      </c>
      <c r="D5" s="369">
        <f>SUMIF('4-Basis ruimtestaat'!A:A,A5,'4-Basis ruimtestaat'!M:M)</f>
        <v>0</v>
      </c>
      <c r="E5" s="369">
        <v>0</v>
      </c>
      <c r="G5" s="563" t="s">
        <v>503</v>
      </c>
      <c r="H5" s="564"/>
      <c r="I5" s="565"/>
    </row>
    <row r="6" spans="1:9" ht="16" customHeight="1">
      <c r="A6" s="367" t="s">
        <v>667</v>
      </c>
      <c r="B6" s="367" t="s">
        <v>668</v>
      </c>
      <c r="C6" s="368">
        <f>_xlfn.MAXIFS('4-Basis ruimtestaat'!$K:$K,'4-Basis ruimtestaat'!$A:$A,$A6)</f>
        <v>255</v>
      </c>
      <c r="D6" s="369">
        <f>SUMIF('4-Basis ruimtestaat'!A:A,A6,'4-Basis ruimtestaat'!M:M)</f>
        <v>0</v>
      </c>
      <c r="E6" s="369">
        <f t="shared" ref="E6:E9" si="0">IF(C6=0,0,IF(D6/C6&lt;1,(1-(D6/C6))*C6,0))</f>
        <v>255</v>
      </c>
      <c r="G6" s="566" t="s">
        <v>751</v>
      </c>
      <c r="H6" s="567"/>
      <c r="I6" s="568"/>
    </row>
    <row r="7" spans="1:9" ht="16" customHeight="1">
      <c r="A7" s="367" t="s">
        <v>671</v>
      </c>
      <c r="B7" s="367" t="s">
        <v>672</v>
      </c>
      <c r="C7" s="368">
        <f>_xlfn.MAXIFS('4-Basis ruimtestaat'!$K:$K,'4-Basis ruimtestaat'!$A:$A,$A7)</f>
        <v>255</v>
      </c>
      <c r="D7" s="369">
        <f>SUMIF('4-Basis ruimtestaat'!A:A,A7,'4-Basis ruimtestaat'!M:M)</f>
        <v>0</v>
      </c>
      <c r="E7" s="369">
        <f t="shared" si="0"/>
        <v>255</v>
      </c>
      <c r="G7" s="566"/>
      <c r="H7" s="567"/>
      <c r="I7" s="568"/>
    </row>
    <row r="8" spans="1:9" ht="16" customHeight="1">
      <c r="A8" s="367" t="s">
        <v>677</v>
      </c>
      <c r="B8" s="367" t="s">
        <v>678</v>
      </c>
      <c r="C8" s="368">
        <f>_xlfn.MAXIFS('4-Basis ruimtestaat'!$K:$K,'4-Basis ruimtestaat'!$A:$A,$A8)</f>
        <v>510</v>
      </c>
      <c r="D8" s="369">
        <f>SUMIF('4-Basis ruimtestaat'!A:A,A8,'4-Basis ruimtestaat'!M:M)</f>
        <v>0</v>
      </c>
      <c r="E8" s="369">
        <v>0</v>
      </c>
      <c r="G8" s="566"/>
      <c r="H8" s="567"/>
      <c r="I8" s="568"/>
    </row>
    <row r="9" spans="1:9" ht="16" customHeight="1">
      <c r="A9" s="367" t="s">
        <v>702</v>
      </c>
      <c r="B9" s="367" t="s">
        <v>719</v>
      </c>
      <c r="C9" s="368">
        <f>_xlfn.MAXIFS('4-Basis ruimtestaat'!$K:$K,'4-Basis ruimtestaat'!$A:$A,$A9)</f>
        <v>255</v>
      </c>
      <c r="D9" s="369">
        <f>SUMIF('4-Basis ruimtestaat'!A:A,A9,'4-Basis ruimtestaat'!M:M)</f>
        <v>0</v>
      </c>
      <c r="E9" s="369">
        <f t="shared" si="0"/>
        <v>255</v>
      </c>
      <c r="G9" s="569"/>
      <c r="H9" s="570"/>
      <c r="I9" s="571"/>
    </row>
    <row r="10" spans="1:9" ht="16" customHeight="1">
      <c r="A10" s="367" t="s">
        <v>703</v>
      </c>
      <c r="B10" s="367" t="s">
        <v>678</v>
      </c>
      <c r="C10" s="368">
        <f>_xlfn.MAXIFS('4-Basis ruimtestaat'!$K:$K,'4-Basis ruimtestaat'!$A:$A,$A10)</f>
        <v>52</v>
      </c>
      <c r="D10" s="369">
        <f>SUMIF('4-Basis ruimtestaat'!A:A,A10,'4-Basis ruimtestaat'!M:M)</f>
        <v>0</v>
      </c>
      <c r="E10" s="369">
        <v>0</v>
      </c>
    </row>
    <row r="11" spans="1:9">
      <c r="A11" s="367" t="s">
        <v>704</v>
      </c>
      <c r="B11" s="367" t="s">
        <v>678</v>
      </c>
      <c r="C11" s="368">
        <f>_xlfn.MAXIFS('4-Basis ruimtestaat'!$K:$K,'4-Basis ruimtestaat'!$A:$A,$A11)</f>
        <v>0</v>
      </c>
      <c r="D11" s="369">
        <f>SUMIF('4-Basis ruimtestaat'!A:A,A11,'4-Basis ruimtestaat'!M:M)</f>
        <v>0</v>
      </c>
      <c r="E11" s="369">
        <v>0</v>
      </c>
    </row>
    <row r="12" spans="1:9">
      <c r="A12" s="370" t="s">
        <v>706</v>
      </c>
      <c r="B12" s="370" t="s">
        <v>678</v>
      </c>
      <c r="C12" s="371">
        <f>_xlfn.MAXIFS('4-Basis ruimtestaat'!$K:$K,'4-Basis ruimtestaat'!$A:$A,$A12)</f>
        <v>255</v>
      </c>
      <c r="D12" s="372">
        <f>SUMIF('4-Basis ruimtestaat'!A:A,A12,'4-Basis ruimtestaat'!M:M)</f>
        <v>0</v>
      </c>
      <c r="E12" s="372">
        <v>0</v>
      </c>
    </row>
  </sheetData>
  <autoFilter ref="A1:E10" xr:uid="{98178C2F-C87A-D541-BE4E-2DFE1EE9F82A}"/>
  <mergeCells count="2">
    <mergeCell ref="G5:I5"/>
    <mergeCell ref="G6:I9"/>
  </mergeCells>
  <phoneticPr fontId="38"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F04EE-5EF6-F445-B8FB-875E1FBFDDBE}">
  <sheetPr>
    <tabColor rgb="FFFFF56F"/>
    <pageSetUpPr fitToPage="1"/>
  </sheetPr>
  <dimension ref="A1:J174"/>
  <sheetViews>
    <sheetView zoomScale="150" zoomScaleNormal="100" zoomScaleSheetLayoutView="100" workbookViewId="0">
      <selection activeCell="D9" sqref="D9"/>
    </sheetView>
  </sheetViews>
  <sheetFormatPr baseColWidth="10" defaultColWidth="7.59765625" defaultRowHeight="13"/>
  <cols>
    <col min="1" max="1" width="15.59765625" style="396" bestFit="1" customWidth="1"/>
    <col min="2" max="6" width="12.3984375" style="396" customWidth="1"/>
    <col min="7" max="8" width="15.19921875" style="396" customWidth="1"/>
    <col min="9" max="9" width="14" style="396" customWidth="1"/>
    <col min="10" max="12" width="9.19921875" style="396" bestFit="1" customWidth="1"/>
    <col min="13" max="13" width="6.796875" style="396" bestFit="1" customWidth="1"/>
    <col min="14" max="14" width="8" style="396" bestFit="1" customWidth="1"/>
    <col min="15" max="16" width="9.19921875" style="396" bestFit="1" customWidth="1"/>
    <col min="17" max="16384" width="7.59765625" style="396"/>
  </cols>
  <sheetData>
    <row r="1" spans="1:9" ht="30" customHeight="1">
      <c r="A1" s="394" t="s">
        <v>752</v>
      </c>
      <c r="B1" s="394"/>
      <c r="C1" s="394"/>
      <c r="D1" s="394"/>
      <c r="E1" s="394"/>
      <c r="F1" s="394"/>
      <c r="G1" s="394"/>
      <c r="H1" s="394"/>
      <c r="I1" s="395"/>
    </row>
    <row r="2" spans="1:9" ht="30" customHeight="1">
      <c r="A2" s="397" t="s">
        <v>753</v>
      </c>
      <c r="B2" s="397" t="s">
        <v>754</v>
      </c>
      <c r="C2" s="397" t="s">
        <v>755</v>
      </c>
      <c r="D2" s="397" t="s">
        <v>756</v>
      </c>
      <c r="E2" s="397" t="s">
        <v>757</v>
      </c>
      <c r="F2" s="398" t="s">
        <v>758</v>
      </c>
      <c r="G2" s="398" t="s">
        <v>759</v>
      </c>
      <c r="H2" s="398" t="s">
        <v>760</v>
      </c>
      <c r="I2" s="395"/>
    </row>
    <row r="3" spans="1:9" ht="20" customHeight="1">
      <c r="A3" s="399" t="s">
        <v>761</v>
      </c>
      <c r="B3" s="400"/>
      <c r="C3" s="400"/>
      <c r="D3" s="400"/>
      <c r="E3" s="400"/>
      <c r="F3" s="400"/>
      <c r="G3" s="400"/>
      <c r="H3" s="400"/>
      <c r="I3" s="395"/>
    </row>
    <row r="4" spans="1:9" ht="20" customHeight="1">
      <c r="A4" s="401" t="s">
        <v>762</v>
      </c>
      <c r="B4" s="402"/>
      <c r="C4" s="402"/>
      <c r="D4" s="402"/>
      <c r="E4" s="402"/>
      <c r="F4" s="402"/>
      <c r="G4" s="402"/>
      <c r="H4" s="402"/>
      <c r="I4" s="395"/>
    </row>
    <row r="5" spans="1:9" ht="20" customHeight="1">
      <c r="A5" s="401" t="s">
        <v>763</v>
      </c>
      <c r="B5" s="402"/>
      <c r="C5" s="402"/>
      <c r="D5" s="402"/>
      <c r="E5" s="402"/>
      <c r="F5" s="402"/>
      <c r="G5" s="402"/>
      <c r="H5" s="402"/>
      <c r="I5" s="395"/>
    </row>
    <row r="6" spans="1:9" ht="20" customHeight="1">
      <c r="A6" s="401" t="s">
        <v>764</v>
      </c>
      <c r="B6" s="402"/>
      <c r="C6" s="402"/>
      <c r="D6" s="402"/>
      <c r="E6" s="402"/>
      <c r="F6" s="402"/>
      <c r="G6" s="402"/>
      <c r="H6" s="402"/>
      <c r="I6" s="395"/>
    </row>
    <row r="7" spans="1:9" ht="20" customHeight="1">
      <c r="A7" s="403" t="s">
        <v>765</v>
      </c>
      <c r="B7" s="404"/>
      <c r="C7" s="404"/>
      <c r="D7" s="404"/>
      <c r="E7" s="404"/>
      <c r="F7" s="404"/>
      <c r="G7" s="404"/>
      <c r="H7" s="404"/>
      <c r="I7" s="395"/>
    </row>
    <row r="8" spans="1:9">
      <c r="A8" s="395"/>
      <c r="B8" s="395"/>
      <c r="C8" s="395"/>
      <c r="D8" s="395"/>
      <c r="E8" s="395"/>
      <c r="F8" s="395"/>
      <c r="G8" s="395"/>
      <c r="H8" s="395"/>
      <c r="I8" s="395"/>
    </row>
    <row r="9" spans="1:9" ht="15" customHeight="1">
      <c r="A9" s="405" t="s">
        <v>766</v>
      </c>
      <c r="B9" s="406"/>
      <c r="C9" s="407"/>
      <c r="D9" s="408">
        <f>'5-Opbouw uurtarieven'!N41</f>
        <v>0</v>
      </c>
      <c r="E9" s="395"/>
      <c r="F9" s="395"/>
      <c r="G9" s="395"/>
      <c r="H9" s="395"/>
      <c r="I9" s="395"/>
    </row>
    <row r="10" spans="1:9">
      <c r="A10" s="395"/>
      <c r="B10" s="395"/>
      <c r="C10" s="395"/>
      <c r="D10" s="395"/>
      <c r="E10" s="395"/>
      <c r="F10" s="395"/>
      <c r="G10" s="395"/>
      <c r="H10" s="395"/>
      <c r="I10" s="395"/>
    </row>
    <row r="11" spans="1:9" ht="20" customHeight="1">
      <c r="A11" s="394" t="s">
        <v>767</v>
      </c>
      <c r="B11" s="394"/>
      <c r="C11" s="394"/>
      <c r="D11" s="394"/>
      <c r="E11" s="394"/>
      <c r="F11" s="394"/>
      <c r="G11" s="394"/>
      <c r="H11" s="394"/>
      <c r="I11" s="395"/>
    </row>
    <row r="12" spans="1:9" ht="37" customHeight="1">
      <c r="A12" s="397" t="s">
        <v>753</v>
      </c>
      <c r="B12" s="397" t="s">
        <v>754</v>
      </c>
      <c r="C12" s="397" t="s">
        <v>755</v>
      </c>
      <c r="D12" s="397" t="s">
        <v>756</v>
      </c>
      <c r="E12" s="397" t="s">
        <v>757</v>
      </c>
      <c r="F12" s="398" t="s">
        <v>758</v>
      </c>
      <c r="G12" s="398" t="s">
        <v>759</v>
      </c>
      <c r="H12" s="398" t="s">
        <v>760</v>
      </c>
      <c r="I12" s="395"/>
    </row>
    <row r="13" spans="1:9" ht="20" customHeight="1">
      <c r="A13" s="399" t="s">
        <v>761</v>
      </c>
      <c r="B13" s="409">
        <f t="shared" ref="B13:H17" si="0">IF(AND(B3&gt;0,$D$9&gt;0),$D$9/B3,0)</f>
        <v>0</v>
      </c>
      <c r="C13" s="409">
        <f t="shared" si="0"/>
        <v>0</v>
      </c>
      <c r="D13" s="409">
        <f t="shared" si="0"/>
        <v>0</v>
      </c>
      <c r="E13" s="409">
        <f t="shared" si="0"/>
        <v>0</v>
      </c>
      <c r="F13" s="409">
        <f t="shared" si="0"/>
        <v>0</v>
      </c>
      <c r="G13" s="409">
        <f t="shared" si="0"/>
        <v>0</v>
      </c>
      <c r="H13" s="409">
        <f t="shared" si="0"/>
        <v>0</v>
      </c>
      <c r="I13" s="395"/>
    </row>
    <row r="14" spans="1:9" ht="20" customHeight="1">
      <c r="A14" s="401" t="s">
        <v>762</v>
      </c>
      <c r="B14" s="410">
        <f t="shared" si="0"/>
        <v>0</v>
      </c>
      <c r="C14" s="410">
        <f t="shared" si="0"/>
        <v>0</v>
      </c>
      <c r="D14" s="410">
        <f t="shared" si="0"/>
        <v>0</v>
      </c>
      <c r="E14" s="410">
        <f t="shared" si="0"/>
        <v>0</v>
      </c>
      <c r="F14" s="410">
        <f t="shared" si="0"/>
        <v>0</v>
      </c>
      <c r="G14" s="410">
        <f t="shared" si="0"/>
        <v>0</v>
      </c>
      <c r="H14" s="410">
        <f t="shared" si="0"/>
        <v>0</v>
      </c>
      <c r="I14" s="395"/>
    </row>
    <row r="15" spans="1:9" ht="20" customHeight="1">
      <c r="A15" s="401" t="s">
        <v>763</v>
      </c>
      <c r="B15" s="410">
        <f t="shared" si="0"/>
        <v>0</v>
      </c>
      <c r="C15" s="410">
        <f t="shared" si="0"/>
        <v>0</v>
      </c>
      <c r="D15" s="410">
        <f t="shared" si="0"/>
        <v>0</v>
      </c>
      <c r="E15" s="410">
        <f t="shared" si="0"/>
        <v>0</v>
      </c>
      <c r="F15" s="410">
        <f t="shared" si="0"/>
        <v>0</v>
      </c>
      <c r="G15" s="410">
        <f t="shared" si="0"/>
        <v>0</v>
      </c>
      <c r="H15" s="410">
        <f t="shared" si="0"/>
        <v>0</v>
      </c>
      <c r="I15" s="395"/>
    </row>
    <row r="16" spans="1:9" ht="20" customHeight="1">
      <c r="A16" s="401" t="s">
        <v>764</v>
      </c>
      <c r="B16" s="410">
        <f t="shared" si="0"/>
        <v>0</v>
      </c>
      <c r="C16" s="410">
        <f t="shared" si="0"/>
        <v>0</v>
      </c>
      <c r="D16" s="410">
        <f t="shared" si="0"/>
        <v>0</v>
      </c>
      <c r="E16" s="410">
        <f t="shared" si="0"/>
        <v>0</v>
      </c>
      <c r="F16" s="410">
        <f t="shared" si="0"/>
        <v>0</v>
      </c>
      <c r="G16" s="410">
        <f t="shared" si="0"/>
        <v>0</v>
      </c>
      <c r="H16" s="410">
        <f t="shared" si="0"/>
        <v>0</v>
      </c>
      <c r="I16" s="395"/>
    </row>
    <row r="17" spans="1:10" ht="20" customHeight="1">
      <c r="A17" s="403" t="s">
        <v>765</v>
      </c>
      <c r="B17" s="411">
        <f>IF(AND(B7&gt;0,$D$9&gt;0),$D$9/B7,0)</f>
        <v>0</v>
      </c>
      <c r="C17" s="411">
        <f>IF(AND(C7&gt;0,$D$9&gt;0),$D$9/C7,0)</f>
        <v>0</v>
      </c>
      <c r="D17" s="411">
        <f>IF(AND(D7&gt;0,$D$9&gt;0),$D$9/D7,0)</f>
        <v>0</v>
      </c>
      <c r="E17" s="411">
        <f>IF(AND(E7&gt;0,$D$9&gt;0),$D$9/E7,0)</f>
        <v>0</v>
      </c>
      <c r="F17" s="411">
        <f>IF(AND(F7&gt;0,$D$9&gt;0),$D$9/F7,0)</f>
        <v>0</v>
      </c>
      <c r="G17" s="411">
        <f t="shared" si="0"/>
        <v>0</v>
      </c>
      <c r="H17" s="411">
        <f>IF(AND(H7&gt;0,$D$9&gt;0),$D$9/H7,0)</f>
        <v>0</v>
      </c>
      <c r="I17" s="395"/>
    </row>
    <row r="18" spans="1:10" ht="13.5" customHeight="1">
      <c r="A18" s="395"/>
      <c r="B18" s="395"/>
      <c r="C18" s="395"/>
      <c r="D18" s="395"/>
      <c r="E18" s="395"/>
      <c r="F18" s="395"/>
      <c r="G18" s="395"/>
      <c r="H18" s="395"/>
      <c r="I18" s="395"/>
    </row>
    <row r="20" spans="1:10">
      <c r="A20" s="396" t="s">
        <v>769</v>
      </c>
    </row>
    <row r="22" spans="1:10" ht="42">
      <c r="A22" s="397" t="s">
        <v>753</v>
      </c>
      <c r="B22" s="397" t="s">
        <v>754</v>
      </c>
      <c r="C22" s="397" t="s">
        <v>755</v>
      </c>
      <c r="D22" s="397" t="s">
        <v>756</v>
      </c>
      <c r="E22" s="397" t="s">
        <v>757</v>
      </c>
      <c r="F22" s="398" t="s">
        <v>758</v>
      </c>
      <c r="G22" s="398" t="s">
        <v>759</v>
      </c>
      <c r="H22" s="398" t="s">
        <v>760</v>
      </c>
    </row>
    <row r="23" spans="1:10" ht="20" customHeight="1">
      <c r="A23" s="399" t="s">
        <v>761</v>
      </c>
      <c r="B23" s="409">
        <f>B13*650</f>
        <v>0</v>
      </c>
      <c r="C23" s="409">
        <f>C13*400</f>
        <v>0</v>
      </c>
      <c r="D23" s="409">
        <f>D13*300</f>
        <v>0</v>
      </c>
      <c r="E23" s="409">
        <f>E13*5</f>
        <v>0</v>
      </c>
      <c r="F23" s="409">
        <f>F13*10</f>
        <v>0</v>
      </c>
      <c r="G23" s="409">
        <f>G13*260</f>
        <v>0</v>
      </c>
      <c r="H23" s="409">
        <f>H13*200</f>
        <v>0</v>
      </c>
      <c r="I23" s="395"/>
    </row>
    <row r="24" spans="1:10" ht="20" customHeight="1">
      <c r="A24" s="399" t="s">
        <v>762</v>
      </c>
      <c r="B24" s="410">
        <f>B14*100</f>
        <v>0</v>
      </c>
      <c r="C24" s="410">
        <f>C14*400</f>
        <v>0</v>
      </c>
      <c r="D24" s="410">
        <f>D14*25</f>
        <v>0</v>
      </c>
      <c r="E24" s="410">
        <f>E14*5</f>
        <v>0</v>
      </c>
      <c r="F24" s="410">
        <f>F14*0</f>
        <v>0</v>
      </c>
      <c r="G24" s="410">
        <f t="shared" ref="G24:H24" si="1">G14*0</f>
        <v>0</v>
      </c>
      <c r="H24" s="410">
        <f t="shared" si="1"/>
        <v>0</v>
      </c>
      <c r="I24" s="395"/>
    </row>
    <row r="25" spans="1:10" ht="20" customHeight="1">
      <c r="A25" s="399" t="s">
        <v>763</v>
      </c>
      <c r="B25" s="410">
        <f t="shared" ref="B25:H25" si="2">B15*0</f>
        <v>0</v>
      </c>
      <c r="C25" s="410">
        <f>C15*250</f>
        <v>0</v>
      </c>
      <c r="D25" s="410">
        <f t="shared" si="2"/>
        <v>0</v>
      </c>
      <c r="E25" s="410">
        <f t="shared" si="2"/>
        <v>0</v>
      </c>
      <c r="F25" s="410">
        <f>F15*0</f>
        <v>0</v>
      </c>
      <c r="G25" s="410">
        <f t="shared" si="2"/>
        <v>0</v>
      </c>
      <c r="H25" s="410">
        <f t="shared" si="2"/>
        <v>0</v>
      </c>
      <c r="I25" s="395"/>
    </row>
    <row r="26" spans="1:10" ht="20" customHeight="1">
      <c r="A26" s="399" t="s">
        <v>764</v>
      </c>
      <c r="B26" s="410">
        <f>B16*5</f>
        <v>0</v>
      </c>
      <c r="C26" s="410">
        <f>C16*10</f>
        <v>0</v>
      </c>
      <c r="D26" s="410">
        <f>D16*5</f>
        <v>0</v>
      </c>
      <c r="E26" s="410">
        <f>E16*1</f>
        <v>0</v>
      </c>
      <c r="F26" s="410">
        <f t="shared" ref="F26:H26" si="3">F16*0</f>
        <v>0</v>
      </c>
      <c r="G26" s="410">
        <f t="shared" si="3"/>
        <v>0</v>
      </c>
      <c r="H26" s="410">
        <f t="shared" si="3"/>
        <v>0</v>
      </c>
      <c r="I26" s="395"/>
    </row>
    <row r="27" spans="1:10" ht="20" customHeight="1">
      <c r="A27" s="399" t="s">
        <v>765</v>
      </c>
      <c r="B27" s="411">
        <f t="shared" ref="B27:G27" si="4">B17*0</f>
        <v>0</v>
      </c>
      <c r="C27" s="411">
        <f>C17*50</f>
        <v>0</v>
      </c>
      <c r="D27" s="411">
        <f>D17*0</f>
        <v>0</v>
      </c>
      <c r="E27" s="411">
        <f t="shared" si="4"/>
        <v>0</v>
      </c>
      <c r="F27" s="411">
        <f t="shared" si="4"/>
        <v>0</v>
      </c>
      <c r="G27" s="411">
        <f t="shared" si="4"/>
        <v>0</v>
      </c>
      <c r="H27" s="411">
        <f>H17*200</f>
        <v>0</v>
      </c>
      <c r="I27" s="395"/>
      <c r="J27" s="412"/>
    </row>
    <row r="29" spans="1:10">
      <c r="A29" s="396" t="s">
        <v>770</v>
      </c>
    </row>
    <row r="30" spans="1:10" ht="14" thickBot="1"/>
    <row r="31" spans="1:10" s="412" customFormat="1" ht="19" customHeight="1" thickBot="1">
      <c r="A31" s="413" t="s">
        <v>771</v>
      </c>
      <c r="B31" s="414"/>
      <c r="C31" s="414"/>
      <c r="D31" s="414"/>
      <c r="E31" s="414"/>
      <c r="F31" s="414"/>
      <c r="G31" s="414"/>
      <c r="H31" s="415" cm="1">
        <f t="array" ref="H31">SUM(B23:H27*2)</f>
        <v>0</v>
      </c>
    </row>
    <row r="174" spans="2:2">
      <c r="B174" s="396" t="s">
        <v>768</v>
      </c>
    </row>
  </sheetData>
  <conditionalFormatting sqref="B3:H7">
    <cfRule type="cellIs" dxfId="29" priority="2" stopIfTrue="1" operator="equal">
      <formula>0</formula>
    </cfRule>
  </conditionalFormatting>
  <conditionalFormatting sqref="B23:H27">
    <cfRule type="cellIs" dxfId="28" priority="1" stopIfTrue="1" operator="equal">
      <formula>0</formula>
    </cfRule>
  </conditionalFormatting>
  <conditionalFormatting sqref="D9 B13:H17">
    <cfRule type="cellIs" dxfId="27" priority="3" stopIfTrue="1" operator="equal">
      <formula>0</formula>
    </cfRule>
  </conditionalFormatting>
  <pageMargins left="0.71" right="0.54" top="0.56999999999999995" bottom="0.75" header="0.31" footer="0.31"/>
  <pageSetup paperSize="9" scale="84" orientation="portrait" r:id="rId1"/>
  <headerFooter alignWithMargins="0">
    <oddHeader>&amp;R&amp;"Verdana,Standaard"&amp;6&amp;A</oddHeader>
    <oddFooter>&amp;R&amp;6Pagina &amp;P &amp;N</oddFooter>
  </headerFooter>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FFFF00"/>
  </sheetPr>
  <dimension ref="A1:V76"/>
  <sheetViews>
    <sheetView showGridLines="0" showZeros="0" showOutlineSymbols="0" zoomScale="110" zoomScaleNormal="110" zoomScalePageLayoutView="80" workbookViewId="0">
      <pane xSplit="3" ySplit="1" topLeftCell="D17" activePane="bottomRight" state="frozen"/>
      <selection sqref="A1:D1"/>
      <selection pane="topRight" sqref="A1:D1"/>
      <selection pane="bottomLeft" sqref="A1:D1"/>
      <selection pane="bottomRight" activeCell="N2" sqref="N2"/>
    </sheetView>
  </sheetViews>
  <sheetFormatPr baseColWidth="10" defaultColWidth="11.3984375" defaultRowHeight="15"/>
  <cols>
    <col min="1" max="1" width="35.796875" style="19" customWidth="1"/>
    <col min="2" max="2" width="22.3984375" style="19" customWidth="1"/>
    <col min="3" max="3" width="19.3984375" style="19" bestFit="1" customWidth="1"/>
    <col min="4" max="4" width="2" style="19" customWidth="1"/>
    <col min="5" max="5" width="14.3984375" style="19" customWidth="1"/>
    <col min="6" max="6" width="10.59765625" style="19" customWidth="1"/>
    <col min="7" max="7" width="2" style="19" customWidth="1"/>
    <col min="8" max="8" width="15.3984375" style="19" bestFit="1" customWidth="1"/>
    <col min="9" max="9" width="10.19921875" style="19" bestFit="1" customWidth="1"/>
    <col min="10" max="10" width="2.19921875" style="19" customWidth="1"/>
    <col min="11" max="11" width="15.3984375" style="19" bestFit="1" customWidth="1"/>
    <col min="12" max="12" width="10.3984375" style="19" bestFit="1" customWidth="1"/>
    <col min="13" max="13" width="2.19921875" style="19" customWidth="1"/>
    <col min="14" max="14" width="15.3984375" style="19" bestFit="1" customWidth="1"/>
    <col min="15" max="15" width="10" style="19" customWidth="1"/>
    <col min="16" max="16" width="2.3984375" style="19" customWidth="1"/>
    <col min="17" max="17" width="15.59765625" style="19" bestFit="1" customWidth="1"/>
    <col min="18" max="18" width="10.3984375" style="19" bestFit="1" customWidth="1"/>
    <col min="19" max="19" width="2.19921875" style="19" customWidth="1"/>
    <col min="20" max="20" width="15.3984375" style="19" bestFit="1" customWidth="1"/>
    <col min="21" max="21" width="10" style="19" bestFit="1" customWidth="1"/>
    <col min="22" max="22" width="2.19921875" style="19" customWidth="1"/>
    <col min="23" max="23" width="1.19921875" style="19" bestFit="1" customWidth="1"/>
    <col min="24" max="24" width="2.3984375" style="19" bestFit="1" customWidth="1"/>
    <col min="25" max="25" width="1.19921875" style="19" bestFit="1" customWidth="1"/>
    <col min="26" max="16384" width="11.3984375" style="19"/>
  </cols>
  <sheetData>
    <row r="1" spans="1:22" s="217" customFormat="1" ht="49" customHeight="1">
      <c r="A1" s="574" t="s">
        <v>30</v>
      </c>
      <c r="B1" s="575"/>
      <c r="C1" s="576"/>
      <c r="D1" s="216"/>
      <c r="E1" s="572" t="s">
        <v>549</v>
      </c>
      <c r="F1" s="577"/>
      <c r="H1" s="572" t="s">
        <v>550</v>
      </c>
      <c r="I1" s="573"/>
      <c r="K1" s="572" t="s">
        <v>551</v>
      </c>
      <c r="L1" s="573"/>
      <c r="M1" s="218"/>
      <c r="N1" s="572" t="s">
        <v>791</v>
      </c>
      <c r="O1" s="573"/>
      <c r="P1" s="216"/>
      <c r="Q1" s="572" t="s">
        <v>741</v>
      </c>
      <c r="R1" s="573"/>
      <c r="S1" s="218"/>
      <c r="T1" s="572" t="s">
        <v>742</v>
      </c>
      <c r="U1" s="573"/>
      <c r="V1" s="218"/>
    </row>
    <row r="2" spans="1:22">
      <c r="A2" s="219"/>
      <c r="B2" s="220" t="s">
        <v>45</v>
      </c>
      <c r="C2" s="221" t="s">
        <v>45</v>
      </c>
      <c r="D2" s="222"/>
      <c r="E2" s="223"/>
      <c r="F2" s="231"/>
      <c r="H2" s="223"/>
      <c r="I2" s="231"/>
      <c r="K2" s="224"/>
      <c r="L2" s="231"/>
      <c r="N2" s="224"/>
      <c r="O2" s="231"/>
      <c r="Q2" s="223"/>
      <c r="R2" s="231"/>
      <c r="T2" s="224"/>
      <c r="U2" s="231"/>
    </row>
    <row r="3" spans="1:22">
      <c r="A3" s="219" t="s">
        <v>36</v>
      </c>
      <c r="B3" s="226"/>
      <c r="C3" s="227"/>
      <c r="D3" s="222"/>
      <c r="E3" s="230"/>
      <c r="F3" s="231"/>
      <c r="H3" s="230"/>
      <c r="I3" s="231"/>
      <c r="K3" s="230"/>
      <c r="L3" s="231"/>
      <c r="N3" s="230"/>
      <c r="O3" s="231"/>
      <c r="Q3" s="230"/>
      <c r="R3" s="231"/>
      <c r="T3" s="230"/>
      <c r="U3" s="231"/>
    </row>
    <row r="4" spans="1:22">
      <c r="A4" s="219" t="s">
        <v>27</v>
      </c>
      <c r="B4" s="228"/>
      <c r="C4" s="229"/>
      <c r="D4" s="222"/>
      <c r="E4" s="230">
        <v>0</v>
      </c>
      <c r="F4" s="231"/>
      <c r="H4" s="230">
        <v>0</v>
      </c>
      <c r="I4" s="231"/>
      <c r="K4" s="230">
        <v>0</v>
      </c>
      <c r="L4" s="231"/>
      <c r="N4" s="230">
        <v>0</v>
      </c>
      <c r="O4" s="231"/>
      <c r="Q4" s="230">
        <v>0</v>
      </c>
      <c r="R4" s="231"/>
      <c r="T4" s="230">
        <v>0</v>
      </c>
      <c r="U4" s="231"/>
    </row>
    <row r="5" spans="1:22">
      <c r="A5" s="219" t="s">
        <v>37</v>
      </c>
      <c r="B5" s="228"/>
      <c r="C5" s="229"/>
      <c r="D5" s="222"/>
      <c r="E5" s="230">
        <v>0</v>
      </c>
      <c r="F5" s="231"/>
      <c r="H5" s="230">
        <v>0</v>
      </c>
      <c r="I5" s="231"/>
      <c r="K5" s="230">
        <v>0</v>
      </c>
      <c r="L5" s="231"/>
      <c r="N5" s="230">
        <v>0</v>
      </c>
      <c r="O5" s="231"/>
      <c r="Q5" s="230">
        <v>0</v>
      </c>
      <c r="R5" s="231"/>
      <c r="T5" s="230">
        <v>0</v>
      </c>
      <c r="U5" s="231"/>
    </row>
    <row r="6" spans="1:22">
      <c r="A6" s="233" t="s">
        <v>33</v>
      </c>
      <c r="B6" s="234"/>
      <c r="C6" s="235"/>
      <c r="D6" s="222"/>
      <c r="E6" s="236"/>
      <c r="F6" s="231"/>
      <c r="H6" s="236"/>
      <c r="I6" s="231"/>
      <c r="K6" s="236"/>
      <c r="L6" s="231"/>
      <c r="N6" s="236"/>
      <c r="O6" s="231"/>
      <c r="Q6" s="236"/>
      <c r="R6" s="231"/>
      <c r="T6" s="236"/>
      <c r="U6" s="231"/>
    </row>
    <row r="7" spans="1:22">
      <c r="A7" s="237" t="s">
        <v>26</v>
      </c>
      <c r="B7" s="234"/>
      <c r="C7" s="235"/>
      <c r="D7" s="222"/>
      <c r="E7" s="238">
        <f>SUM(E3:E6)</f>
        <v>0</v>
      </c>
      <c r="F7" s="231"/>
      <c r="H7" s="238">
        <f>SUM(H3:H6)</f>
        <v>0</v>
      </c>
      <c r="I7" s="231"/>
      <c r="K7" s="238">
        <f>SUM(K3:K6)</f>
        <v>0</v>
      </c>
      <c r="L7" s="231"/>
      <c r="N7" s="238">
        <f>SUM(N3:N6)</f>
        <v>0</v>
      </c>
      <c r="O7" s="231"/>
      <c r="Q7" s="238">
        <f>SUM(Q3:Q6)</f>
        <v>0</v>
      </c>
      <c r="R7" s="231"/>
      <c r="T7" s="238">
        <f>SUM(T3:T6)</f>
        <v>0</v>
      </c>
      <c r="U7" s="231"/>
    </row>
    <row r="8" spans="1:22" ht="10" customHeight="1">
      <c r="A8" s="233"/>
      <c r="B8" s="239"/>
      <c r="C8" s="240"/>
      <c r="D8" s="222"/>
      <c r="E8" s="241"/>
      <c r="F8" s="231"/>
      <c r="H8" s="241"/>
      <c r="I8" s="231"/>
      <c r="K8" s="241"/>
      <c r="L8" s="231"/>
      <c r="N8" s="241"/>
      <c r="O8" s="231"/>
      <c r="Q8" s="241"/>
      <c r="R8" s="231"/>
      <c r="T8" s="241"/>
      <c r="U8" s="231"/>
    </row>
    <row r="9" spans="1:22">
      <c r="A9" s="242" t="s">
        <v>42</v>
      </c>
      <c r="B9" s="243"/>
      <c r="C9" s="244"/>
      <c r="D9" s="222"/>
      <c r="E9" s="245">
        <f>$C$9*E7</f>
        <v>0</v>
      </c>
      <c r="F9" s="246"/>
      <c r="G9" s="22"/>
      <c r="H9" s="245">
        <f>$C$9*H7</f>
        <v>0</v>
      </c>
      <c r="I9" s="246"/>
      <c r="J9" s="22"/>
      <c r="K9" s="245">
        <f>$C$9*K7</f>
        <v>0</v>
      </c>
      <c r="L9" s="246"/>
      <c r="M9" s="22"/>
      <c r="N9" s="245">
        <f>$C$9*N7</f>
        <v>0</v>
      </c>
      <c r="O9" s="246"/>
      <c r="P9" s="22"/>
      <c r="Q9" s="245">
        <f>$C$9*Q7</f>
        <v>0</v>
      </c>
      <c r="R9" s="246"/>
      <c r="S9" s="22"/>
      <c r="T9" s="245">
        <f>$C$9*T7</f>
        <v>0</v>
      </c>
      <c r="U9" s="246"/>
      <c r="V9" s="22"/>
    </row>
    <row r="10" spans="1:22">
      <c r="A10" s="242" t="s">
        <v>60</v>
      </c>
      <c r="B10" s="243"/>
      <c r="C10" s="244"/>
      <c r="D10" s="222"/>
      <c r="E10" s="245">
        <f>$C$10*E7</f>
        <v>0</v>
      </c>
      <c r="F10" s="246"/>
      <c r="G10" s="210"/>
      <c r="H10" s="245">
        <f>$C$10*H7</f>
        <v>0</v>
      </c>
      <c r="I10" s="246"/>
      <c r="J10" s="210"/>
      <c r="K10" s="245">
        <f>$C$10*K7</f>
        <v>0</v>
      </c>
      <c r="L10" s="246"/>
      <c r="M10" s="210"/>
      <c r="N10" s="245">
        <f>$C$10*N7</f>
        <v>0</v>
      </c>
      <c r="O10" s="246"/>
      <c r="P10" s="210"/>
      <c r="Q10" s="245">
        <f>$C$10*Q7</f>
        <v>0</v>
      </c>
      <c r="R10" s="246"/>
      <c r="S10" s="210"/>
      <c r="T10" s="245">
        <f>$C$10*T7</f>
        <v>0</v>
      </c>
      <c r="U10" s="246"/>
      <c r="V10" s="210"/>
    </row>
    <row r="11" spans="1:22">
      <c r="A11" s="237" t="s">
        <v>40</v>
      </c>
      <c r="B11" s="249"/>
      <c r="C11" s="235"/>
      <c r="D11" s="222"/>
      <c r="E11" s="238">
        <f>E7+E9+E10</f>
        <v>0</v>
      </c>
      <c r="F11" s="250">
        <f>IF(E11=0,0,E11/E$41)</f>
        <v>0</v>
      </c>
      <c r="H11" s="238">
        <f>H7+H9+H10</f>
        <v>0</v>
      </c>
      <c r="I11" s="250">
        <f>IF(H11=0,0,H11/H$41)</f>
        <v>0</v>
      </c>
      <c r="K11" s="238">
        <f>K7+K9+K10</f>
        <v>0</v>
      </c>
      <c r="L11" s="250">
        <f>IF(K11=0,0,K11/K$41)</f>
        <v>0</v>
      </c>
      <c r="M11" s="232"/>
      <c r="N11" s="238">
        <f>N7+N9+N10</f>
        <v>0</v>
      </c>
      <c r="O11" s="250">
        <f>IF(N11=0,0,N11/N$41)</f>
        <v>0</v>
      </c>
      <c r="P11" s="222"/>
      <c r="Q11" s="238">
        <f>Q7+Q9+Q10</f>
        <v>0</v>
      </c>
      <c r="R11" s="250">
        <f>IF(Q11=0,0,Q11/Q$41)</f>
        <v>0</v>
      </c>
      <c r="S11" s="232"/>
      <c r="T11" s="238">
        <f>T7+T9+T10</f>
        <v>0</v>
      </c>
      <c r="U11" s="250">
        <f>IF(T11=0,0,T11/T$41)</f>
        <v>0</v>
      </c>
      <c r="V11" s="232"/>
    </row>
    <row r="12" spans="1:22" ht="10" customHeight="1">
      <c r="A12" s="233"/>
      <c r="B12" s="239"/>
      <c r="C12" s="240"/>
      <c r="D12" s="222"/>
      <c r="E12" s="241"/>
      <c r="F12" s="231"/>
      <c r="H12" s="241"/>
      <c r="I12" s="231"/>
      <c r="K12" s="241"/>
      <c r="L12" s="231"/>
      <c r="M12" s="232"/>
      <c r="N12" s="241"/>
      <c r="O12" s="231"/>
      <c r="P12" s="222"/>
      <c r="Q12" s="241"/>
      <c r="R12" s="231"/>
      <c r="S12" s="232"/>
      <c r="T12" s="241"/>
      <c r="U12" s="231"/>
      <c r="V12" s="232"/>
    </row>
    <row r="13" spans="1:22" s="255" customFormat="1">
      <c r="A13" s="242" t="s">
        <v>50</v>
      </c>
      <c r="B13" s="243"/>
      <c r="C13" s="244"/>
      <c r="D13" s="251"/>
      <c r="E13" s="245">
        <f>$C$13*E11</f>
        <v>0</v>
      </c>
      <c r="F13" s="252"/>
      <c r="G13" s="253"/>
      <c r="H13" s="245">
        <f>$C$13*H11</f>
        <v>0</v>
      </c>
      <c r="I13" s="252"/>
      <c r="J13" s="253"/>
      <c r="K13" s="245">
        <f>$C$13*K11</f>
        <v>0</v>
      </c>
      <c r="L13" s="252"/>
      <c r="M13" s="254"/>
      <c r="N13" s="245">
        <f>$C$13*N11</f>
        <v>0</v>
      </c>
      <c r="O13" s="252"/>
      <c r="P13" s="254"/>
      <c r="Q13" s="245">
        <f>$C$13*Q11</f>
        <v>0</v>
      </c>
      <c r="R13" s="252"/>
      <c r="S13" s="254"/>
      <c r="T13" s="245">
        <f>$C$13*T11</f>
        <v>0</v>
      </c>
      <c r="U13" s="252"/>
      <c r="V13" s="254"/>
    </row>
    <row r="14" spans="1:22">
      <c r="A14" s="237" t="s">
        <v>48</v>
      </c>
      <c r="B14" s="249"/>
      <c r="C14" s="235"/>
      <c r="D14" s="222"/>
      <c r="E14" s="238">
        <f>SUM(E11:E13)</f>
        <v>0</v>
      </c>
      <c r="F14" s="250">
        <f>IF(E14=0,0,E14/E$41)</f>
        <v>0</v>
      </c>
      <c r="H14" s="238">
        <f>SUM(H11:H13)</f>
        <v>0</v>
      </c>
      <c r="I14" s="250">
        <f>IF(H14=0,0,H14/H$41)</f>
        <v>0</v>
      </c>
      <c r="K14" s="238">
        <f>SUM(K11:K13)</f>
        <v>0</v>
      </c>
      <c r="L14" s="250">
        <f>IF(K14=0,0,K14/K$41)</f>
        <v>0</v>
      </c>
      <c r="M14" s="232"/>
      <c r="N14" s="238">
        <f>SUM(N11:N13)</f>
        <v>0</v>
      </c>
      <c r="O14" s="250">
        <f>IF(N14=0,0,N14/N$41)</f>
        <v>0</v>
      </c>
      <c r="P14" s="222"/>
      <c r="Q14" s="238">
        <f>SUM(Q11:Q13)</f>
        <v>0</v>
      </c>
      <c r="R14" s="250">
        <f>IF(Q14=0,0,Q14/Q$41)</f>
        <v>0</v>
      </c>
      <c r="S14" s="232"/>
      <c r="T14" s="238">
        <f>SUM(T11:T13)</f>
        <v>0</v>
      </c>
      <c r="U14" s="250">
        <f>IF(T14=0,0,T14/T$41)</f>
        <v>0</v>
      </c>
      <c r="V14" s="232"/>
    </row>
    <row r="15" spans="1:22" ht="10" customHeight="1">
      <c r="A15" s="233"/>
      <c r="B15" s="249"/>
      <c r="C15" s="235"/>
      <c r="D15" s="222"/>
      <c r="E15" s="256"/>
      <c r="F15" s="231"/>
      <c r="H15" s="256"/>
      <c r="I15" s="231"/>
      <c r="K15" s="256"/>
      <c r="L15" s="231"/>
      <c r="M15" s="232"/>
      <c r="N15" s="256"/>
      <c r="O15" s="231"/>
      <c r="P15" s="222"/>
      <c r="Q15" s="256"/>
      <c r="R15" s="231"/>
      <c r="S15" s="232"/>
      <c r="T15" s="256"/>
      <c r="U15" s="231"/>
      <c r="V15" s="232"/>
    </row>
    <row r="16" spans="1:22">
      <c r="A16" s="233" t="s">
        <v>49</v>
      </c>
      <c r="B16" s="249"/>
      <c r="C16" s="244"/>
      <c r="D16" s="222"/>
      <c r="E16" s="257">
        <f>$C$16*E14</f>
        <v>0</v>
      </c>
      <c r="F16" s="246"/>
      <c r="G16" s="22"/>
      <c r="H16" s="257">
        <f>$C$16*H14</f>
        <v>0</v>
      </c>
      <c r="I16" s="246"/>
      <c r="J16" s="22"/>
      <c r="K16" s="257">
        <f>$C$16*K14</f>
        <v>0</v>
      </c>
      <c r="L16" s="246"/>
      <c r="M16" s="247"/>
      <c r="N16" s="257">
        <f>$C$16*N14</f>
        <v>0</v>
      </c>
      <c r="O16" s="246"/>
      <c r="P16" s="248"/>
      <c r="Q16" s="257">
        <f>$C$16*Q14</f>
        <v>0</v>
      </c>
      <c r="R16" s="246"/>
      <c r="S16" s="247"/>
      <c r="T16" s="257">
        <f>$C$16*T14</f>
        <v>0</v>
      </c>
      <c r="U16" s="246"/>
      <c r="V16" s="247"/>
    </row>
    <row r="17" spans="1:22">
      <c r="A17" s="233" t="s">
        <v>28</v>
      </c>
      <c r="B17" s="249"/>
      <c r="C17" s="244"/>
      <c r="D17" s="222"/>
      <c r="E17" s="257">
        <f>$C$17*E14</f>
        <v>0</v>
      </c>
      <c r="F17" s="246"/>
      <c r="G17" s="22"/>
      <c r="H17" s="257">
        <f>$C$17*H14</f>
        <v>0</v>
      </c>
      <c r="I17" s="246"/>
      <c r="J17" s="22"/>
      <c r="K17" s="257">
        <f>$C$17*K14</f>
        <v>0</v>
      </c>
      <c r="L17" s="246"/>
      <c r="M17" s="247"/>
      <c r="N17" s="257">
        <f>$C$17*N14</f>
        <v>0</v>
      </c>
      <c r="O17" s="246"/>
      <c r="P17" s="248"/>
      <c r="Q17" s="257">
        <f>$C$17*Q14</f>
        <v>0</v>
      </c>
      <c r="R17" s="246"/>
      <c r="S17" s="247"/>
      <c r="T17" s="257">
        <f>$C$17*T14</f>
        <v>0</v>
      </c>
      <c r="U17" s="246"/>
      <c r="V17" s="247"/>
    </row>
    <row r="18" spans="1:22">
      <c r="A18" s="233" t="s">
        <v>44</v>
      </c>
      <c r="B18" s="249"/>
      <c r="C18" s="244"/>
      <c r="D18" s="222"/>
      <c r="E18" s="257">
        <f>$C$18*E14</f>
        <v>0</v>
      </c>
      <c r="F18" s="258"/>
      <c r="G18" s="22"/>
      <c r="H18" s="257">
        <f>$C$18*H14</f>
        <v>0</v>
      </c>
      <c r="I18" s="258"/>
      <c r="J18" s="22"/>
      <c r="K18" s="257">
        <f>$C$18*K14</f>
        <v>0</v>
      </c>
      <c r="L18" s="258"/>
      <c r="M18" s="247"/>
      <c r="N18" s="257">
        <f>$C$18*N14</f>
        <v>0</v>
      </c>
      <c r="O18" s="258"/>
      <c r="P18" s="248"/>
      <c r="Q18" s="257">
        <f>$C$18*Q14</f>
        <v>0</v>
      </c>
      <c r="R18" s="258"/>
      <c r="S18" s="247"/>
      <c r="T18" s="257">
        <f>$C$18*T14</f>
        <v>0</v>
      </c>
      <c r="U18" s="258"/>
      <c r="V18" s="247"/>
    </row>
    <row r="19" spans="1:22">
      <c r="A19" s="242" t="s">
        <v>35</v>
      </c>
      <c r="B19" s="243"/>
      <c r="C19" s="244">
        <f>SUM(C16:C18)</f>
        <v>0</v>
      </c>
      <c r="D19" s="222"/>
      <c r="E19" s="236"/>
      <c r="F19" s="231"/>
      <c r="H19" s="236"/>
      <c r="I19" s="231"/>
      <c r="K19" s="236"/>
      <c r="L19" s="231"/>
      <c r="M19" s="232"/>
      <c r="N19" s="236"/>
      <c r="O19" s="231"/>
      <c r="P19" s="222"/>
      <c r="Q19" s="236"/>
      <c r="R19" s="231"/>
      <c r="S19" s="232"/>
      <c r="T19" s="236"/>
      <c r="U19" s="231"/>
      <c r="V19" s="232"/>
    </row>
    <row r="20" spans="1:22">
      <c r="A20" s="237" t="s">
        <v>55</v>
      </c>
      <c r="B20" s="249"/>
      <c r="C20" s="235"/>
      <c r="D20" s="222"/>
      <c r="E20" s="238">
        <f>SUM(E14:E18)</f>
        <v>0</v>
      </c>
      <c r="F20" s="250">
        <f>IF(E20=0,0,E20/E$41)</f>
        <v>0</v>
      </c>
      <c r="H20" s="238">
        <f>SUM(H14:H18)</f>
        <v>0</v>
      </c>
      <c r="I20" s="250">
        <f>IF(H20=0,0,H20/H$41)</f>
        <v>0</v>
      </c>
      <c r="K20" s="238">
        <f>SUM(K14:K18)</f>
        <v>0</v>
      </c>
      <c r="L20" s="250">
        <f>IF(K20=0,0,K20/K$41)</f>
        <v>0</v>
      </c>
      <c r="M20" s="232"/>
      <c r="N20" s="238">
        <f>SUM(N14:N18)</f>
        <v>0</v>
      </c>
      <c r="O20" s="250">
        <f>IF(N20=0,0,N20/N$41)</f>
        <v>0</v>
      </c>
      <c r="P20" s="222"/>
      <c r="Q20" s="238">
        <f>SUM(Q14:Q18)</f>
        <v>0</v>
      </c>
      <c r="R20" s="250">
        <f>IF(Q20=0,0,Q20/Q$41)</f>
        <v>0</v>
      </c>
      <c r="S20" s="232"/>
      <c r="T20" s="238">
        <f>SUM(T14:T18)</f>
        <v>0</v>
      </c>
      <c r="U20" s="250">
        <f>IF(T20=0,0,T20/T$41)</f>
        <v>0</v>
      </c>
      <c r="V20" s="232"/>
    </row>
    <row r="21" spans="1:22" ht="10" customHeight="1">
      <c r="A21" s="233"/>
      <c r="B21" s="249"/>
      <c r="C21" s="235"/>
      <c r="D21" s="222"/>
      <c r="E21" s="256"/>
      <c r="F21" s="231"/>
      <c r="H21" s="256"/>
      <c r="I21" s="231"/>
      <c r="K21" s="256"/>
      <c r="L21" s="231"/>
      <c r="M21" s="232"/>
      <c r="N21" s="256"/>
      <c r="O21" s="231"/>
      <c r="P21" s="222"/>
      <c r="Q21" s="256"/>
      <c r="R21" s="231"/>
      <c r="S21" s="232"/>
      <c r="T21" s="256"/>
      <c r="U21" s="231"/>
      <c r="V21" s="232"/>
    </row>
    <row r="22" spans="1:22" ht="15" customHeight="1">
      <c r="A22" s="233" t="s">
        <v>43</v>
      </c>
      <c r="B22" s="259"/>
      <c r="C22" s="235"/>
      <c r="D22" s="222"/>
      <c r="E22" s="260"/>
      <c r="F22" s="246"/>
      <c r="G22" s="22"/>
      <c r="H22" s="260"/>
      <c r="I22" s="246"/>
      <c r="J22" s="22"/>
      <c r="K22" s="260"/>
      <c r="L22" s="246"/>
      <c r="M22" s="247"/>
      <c r="N22" s="260"/>
      <c r="O22" s="246"/>
      <c r="P22" s="248"/>
      <c r="Q22" s="260"/>
      <c r="R22" s="246"/>
      <c r="S22" s="247"/>
      <c r="T22" s="260"/>
      <c r="U22" s="246"/>
      <c r="V22" s="247"/>
    </row>
    <row r="23" spans="1:22" ht="15" customHeight="1">
      <c r="A23" s="233" t="s">
        <v>46</v>
      </c>
      <c r="B23" s="261"/>
      <c r="C23" s="235"/>
      <c r="D23" s="222"/>
      <c r="E23" s="260"/>
      <c r="F23" s="246"/>
      <c r="G23" s="22"/>
      <c r="H23" s="260"/>
      <c r="I23" s="246"/>
      <c r="J23" s="22"/>
      <c r="K23" s="260"/>
      <c r="L23" s="246"/>
      <c r="M23" s="247"/>
      <c r="N23" s="260"/>
      <c r="O23" s="246"/>
      <c r="P23" s="248"/>
      <c r="Q23" s="260"/>
      <c r="R23" s="246"/>
      <c r="S23" s="247"/>
      <c r="T23" s="260"/>
      <c r="U23" s="246"/>
      <c r="V23" s="247"/>
    </row>
    <row r="24" spans="1:22" ht="15" customHeight="1">
      <c r="A24" s="233" t="s">
        <v>47</v>
      </c>
      <c r="B24" s="249"/>
      <c r="C24" s="235"/>
      <c r="D24" s="222"/>
      <c r="E24" s="260"/>
      <c r="F24" s="246"/>
      <c r="G24" s="22"/>
      <c r="H24" s="260"/>
      <c r="I24" s="246"/>
      <c r="J24" s="22"/>
      <c r="K24" s="260"/>
      <c r="L24" s="246"/>
      <c r="M24" s="247"/>
      <c r="N24" s="260"/>
      <c r="O24" s="246"/>
      <c r="P24" s="248"/>
      <c r="Q24" s="260"/>
      <c r="R24" s="246"/>
      <c r="S24" s="247"/>
      <c r="T24" s="260"/>
      <c r="U24" s="246"/>
      <c r="V24" s="247"/>
    </row>
    <row r="25" spans="1:22" ht="15" customHeight="1">
      <c r="A25" s="233" t="s">
        <v>540</v>
      </c>
      <c r="B25" s="249"/>
      <c r="C25" s="235"/>
      <c r="D25" s="222"/>
      <c r="E25" s="260"/>
      <c r="F25" s="231"/>
      <c r="H25" s="260"/>
      <c r="I25" s="231"/>
      <c r="K25" s="260"/>
      <c r="L25" s="231"/>
      <c r="M25" s="232"/>
      <c r="N25" s="260"/>
      <c r="O25" s="231"/>
      <c r="P25" s="222"/>
      <c r="Q25" s="260"/>
      <c r="R25" s="231"/>
      <c r="S25" s="232"/>
      <c r="T25" s="260"/>
      <c r="U25" s="231"/>
      <c r="V25" s="232"/>
    </row>
    <row r="26" spans="1:22" ht="15" customHeight="1">
      <c r="A26" s="237" t="s">
        <v>41</v>
      </c>
      <c r="B26" s="249"/>
      <c r="C26" s="235"/>
      <c r="D26" s="222"/>
      <c r="E26" s="238">
        <f>E20+E22+E23+E24</f>
        <v>0</v>
      </c>
      <c r="F26" s="250">
        <f>IF(E26=0,0,E26/E$41)</f>
        <v>0</v>
      </c>
      <c r="H26" s="238">
        <f>H20+H22+H23+H24</f>
        <v>0</v>
      </c>
      <c r="I26" s="250">
        <f>IF(H26=0,0,H26/H$41)</f>
        <v>0</v>
      </c>
      <c r="K26" s="238">
        <f>K20+K22+K23+K24</f>
        <v>0</v>
      </c>
      <c r="L26" s="250">
        <f>IF(K26=0,0,K26/K$41)</f>
        <v>0</v>
      </c>
      <c r="M26" s="232"/>
      <c r="N26" s="238">
        <f>N20+N22+N23+N24</f>
        <v>0</v>
      </c>
      <c r="O26" s="250">
        <f>IF(N26=0,0,N26/N$41)</f>
        <v>0</v>
      </c>
      <c r="P26" s="222"/>
      <c r="Q26" s="238">
        <f>Q20+Q22+Q23+Q24</f>
        <v>0</v>
      </c>
      <c r="R26" s="250">
        <f>IF(Q26=0,0,Q26/Q$41)</f>
        <v>0</v>
      </c>
      <c r="S26" s="232"/>
      <c r="T26" s="238">
        <f>T20+T22+T23+T24</f>
        <v>0</v>
      </c>
      <c r="U26" s="250">
        <f>IF(T26=0,0,T26/T$41)</f>
        <v>0</v>
      </c>
      <c r="V26" s="232"/>
    </row>
    <row r="27" spans="1:22" ht="10" customHeight="1">
      <c r="A27" s="233"/>
      <c r="B27" s="249"/>
      <c r="C27" s="235"/>
      <c r="D27" s="222"/>
      <c r="E27" s="256"/>
      <c r="F27" s="231"/>
      <c r="H27" s="256"/>
      <c r="I27" s="231"/>
      <c r="K27" s="256"/>
      <c r="L27" s="231"/>
      <c r="M27" s="232"/>
      <c r="N27" s="256"/>
      <c r="O27" s="231"/>
      <c r="P27" s="222"/>
      <c r="Q27" s="256"/>
      <c r="R27" s="231"/>
      <c r="S27" s="232"/>
      <c r="T27" s="256"/>
      <c r="U27" s="231"/>
      <c r="V27" s="232"/>
    </row>
    <row r="28" spans="1:22" ht="15" customHeight="1">
      <c r="A28" s="233" t="s">
        <v>56</v>
      </c>
      <c r="B28" s="249"/>
      <c r="C28" s="235"/>
      <c r="D28" s="222"/>
      <c r="E28" s="260"/>
      <c r="F28" s="231"/>
      <c r="H28" s="260"/>
      <c r="I28" s="231"/>
      <c r="K28" s="260"/>
      <c r="L28" s="231"/>
      <c r="M28" s="232"/>
      <c r="N28" s="260"/>
      <c r="O28" s="231"/>
      <c r="P28" s="222"/>
      <c r="Q28" s="260"/>
      <c r="R28" s="231"/>
      <c r="S28" s="232"/>
      <c r="T28" s="260"/>
      <c r="U28" s="231"/>
      <c r="V28" s="232"/>
    </row>
    <row r="29" spans="1:22" ht="15" customHeight="1">
      <c r="A29" s="233" t="s">
        <v>34</v>
      </c>
      <c r="B29" s="249"/>
      <c r="C29" s="235"/>
      <c r="D29" s="222"/>
      <c r="E29" s="260"/>
      <c r="F29" s="231"/>
      <c r="H29" s="260"/>
      <c r="I29" s="231"/>
      <c r="K29" s="260"/>
      <c r="L29" s="231"/>
      <c r="M29" s="232"/>
      <c r="N29" s="260"/>
      <c r="O29" s="231"/>
      <c r="P29" s="222"/>
      <c r="Q29" s="260"/>
      <c r="R29" s="231"/>
      <c r="S29" s="232"/>
      <c r="T29" s="260"/>
      <c r="U29" s="231"/>
      <c r="V29" s="232"/>
    </row>
    <row r="30" spans="1:22" ht="15" customHeight="1">
      <c r="A30" s="233" t="s">
        <v>29</v>
      </c>
      <c r="B30" s="249"/>
      <c r="C30" s="235"/>
      <c r="D30" s="222"/>
      <c r="E30" s="260"/>
      <c r="F30" s="231"/>
      <c r="H30" s="260"/>
      <c r="I30" s="231"/>
      <c r="K30" s="260"/>
      <c r="L30" s="231"/>
      <c r="M30" s="232"/>
      <c r="N30" s="260"/>
      <c r="O30" s="231"/>
      <c r="P30" s="222"/>
      <c r="Q30" s="260"/>
      <c r="R30" s="231"/>
      <c r="S30" s="232"/>
      <c r="T30" s="260"/>
      <c r="U30" s="231"/>
      <c r="V30" s="232"/>
    </row>
    <row r="31" spans="1:22" ht="15" customHeight="1">
      <c r="A31" s="233" t="s">
        <v>25</v>
      </c>
      <c r="B31" s="249"/>
      <c r="C31" s="235"/>
      <c r="D31" s="222"/>
      <c r="E31" s="260"/>
      <c r="F31" s="231"/>
      <c r="H31" s="260"/>
      <c r="I31" s="231"/>
      <c r="K31" s="260"/>
      <c r="L31" s="231"/>
      <c r="M31" s="232"/>
      <c r="N31" s="260"/>
      <c r="O31" s="231"/>
      <c r="P31" s="222"/>
      <c r="Q31" s="260"/>
      <c r="R31" s="231"/>
      <c r="S31" s="232"/>
      <c r="T31" s="260"/>
      <c r="U31" s="231"/>
      <c r="V31" s="232"/>
    </row>
    <row r="32" spans="1:22" ht="15" customHeight="1">
      <c r="A32" s="233" t="s">
        <v>32</v>
      </c>
      <c r="B32" s="249"/>
      <c r="C32" s="235"/>
      <c r="D32" s="222"/>
      <c r="E32" s="260"/>
      <c r="F32" s="231"/>
      <c r="H32" s="260"/>
      <c r="I32" s="231"/>
      <c r="K32" s="260"/>
      <c r="L32" s="231"/>
      <c r="M32" s="232"/>
      <c r="N32" s="260"/>
      <c r="O32" s="231"/>
      <c r="P32" s="222"/>
      <c r="Q32" s="260"/>
      <c r="R32" s="231"/>
      <c r="S32" s="232"/>
      <c r="T32" s="260"/>
      <c r="U32" s="231"/>
      <c r="V32" s="232"/>
    </row>
    <row r="33" spans="1:22" ht="15" customHeight="1">
      <c r="A33" s="233" t="s">
        <v>31</v>
      </c>
      <c r="B33" s="249"/>
      <c r="C33" s="235"/>
      <c r="D33" s="222"/>
      <c r="E33" s="260"/>
      <c r="F33" s="231"/>
      <c r="H33" s="260"/>
      <c r="I33" s="231"/>
      <c r="K33" s="260"/>
      <c r="L33" s="231"/>
      <c r="M33" s="232"/>
      <c r="N33" s="260"/>
      <c r="O33" s="231"/>
      <c r="P33" s="222"/>
      <c r="Q33" s="260"/>
      <c r="R33" s="231"/>
      <c r="S33" s="232"/>
      <c r="T33" s="260"/>
      <c r="U33" s="231"/>
      <c r="V33" s="232"/>
    </row>
    <row r="34" spans="1:22" ht="15" customHeight="1">
      <c r="A34" s="233" t="s">
        <v>51</v>
      </c>
      <c r="B34" s="249"/>
      <c r="C34" s="235"/>
      <c r="D34" s="222"/>
      <c r="E34" s="260"/>
      <c r="F34" s="231"/>
      <c r="H34" s="260"/>
      <c r="I34" s="231"/>
      <c r="K34" s="260"/>
      <c r="L34" s="231"/>
      <c r="M34" s="232"/>
      <c r="N34" s="260"/>
      <c r="O34" s="231"/>
      <c r="P34" s="222"/>
      <c r="Q34" s="260"/>
      <c r="R34" s="231"/>
      <c r="S34" s="232"/>
      <c r="T34" s="260"/>
      <c r="U34" s="231"/>
      <c r="V34" s="232"/>
    </row>
    <row r="35" spans="1:22" ht="15" customHeight="1">
      <c r="A35" s="233" t="s">
        <v>59</v>
      </c>
      <c r="B35" s="249"/>
      <c r="C35" s="235"/>
      <c r="D35" s="222"/>
      <c r="E35" s="260"/>
      <c r="F35" s="231"/>
      <c r="H35" s="260"/>
      <c r="I35" s="231"/>
      <c r="K35" s="260"/>
      <c r="L35" s="231"/>
      <c r="M35" s="232"/>
      <c r="N35" s="260"/>
      <c r="O35" s="231"/>
      <c r="P35" s="222"/>
      <c r="Q35" s="260"/>
      <c r="R35" s="231"/>
      <c r="S35" s="232"/>
      <c r="T35" s="260"/>
      <c r="U35" s="231"/>
      <c r="V35" s="232"/>
    </row>
    <row r="36" spans="1:22" ht="10" customHeight="1">
      <c r="A36" s="233"/>
      <c r="B36" s="249"/>
      <c r="C36" s="235"/>
      <c r="D36" s="222"/>
      <c r="E36" s="245"/>
      <c r="F36" s="231"/>
      <c r="H36" s="245"/>
      <c r="I36" s="231"/>
      <c r="K36" s="245"/>
      <c r="L36" s="231"/>
      <c r="M36" s="232"/>
      <c r="N36" s="245"/>
      <c r="O36" s="231"/>
      <c r="P36" s="222"/>
      <c r="Q36" s="245"/>
      <c r="R36" s="231"/>
      <c r="S36" s="232"/>
      <c r="T36" s="245"/>
      <c r="U36" s="231"/>
      <c r="V36" s="232"/>
    </row>
    <row r="37" spans="1:22">
      <c r="A37" s="237" t="s">
        <v>53</v>
      </c>
      <c r="B37" s="249"/>
      <c r="C37" s="235"/>
      <c r="D37" s="222"/>
      <c r="E37" s="238">
        <f>SUM(E26:E36)</f>
        <v>0</v>
      </c>
      <c r="F37" s="250">
        <f>IF(E37=0,0,E37/E$41)</f>
        <v>0</v>
      </c>
      <c r="H37" s="238">
        <f>SUM(H26:H36)</f>
        <v>0</v>
      </c>
      <c r="I37" s="250">
        <f>IF(H37=0,0,H37/H$41)</f>
        <v>0</v>
      </c>
      <c r="K37" s="238">
        <f>SUM(K26:K36)</f>
        <v>0</v>
      </c>
      <c r="L37" s="250">
        <f>IF(K37=0,0,K37/K$41)</f>
        <v>0</v>
      </c>
      <c r="M37" s="232"/>
      <c r="N37" s="238">
        <f>SUM(N26:N36)</f>
        <v>0</v>
      </c>
      <c r="O37" s="250">
        <f>IF(N37=0,0,N37/N$41)</f>
        <v>0</v>
      </c>
      <c r="P37" s="222"/>
      <c r="Q37" s="238">
        <f>SUM(Q26:Q36)</f>
        <v>0</v>
      </c>
      <c r="R37" s="250">
        <f>IF(Q37=0,0,Q37/Q$41)</f>
        <v>0</v>
      </c>
      <c r="S37" s="232"/>
      <c r="T37" s="238">
        <f>SUM(T26:T36)</f>
        <v>0</v>
      </c>
      <c r="U37" s="250">
        <f>IF(T37=0,0,T37/T$41)</f>
        <v>0</v>
      </c>
      <c r="V37" s="232"/>
    </row>
    <row r="38" spans="1:22">
      <c r="A38" s="233"/>
      <c r="B38" s="249"/>
      <c r="C38" s="235"/>
      <c r="D38" s="222"/>
      <c r="E38" s="256"/>
      <c r="F38" s="262"/>
      <c r="H38" s="256"/>
      <c r="I38" s="262"/>
      <c r="K38" s="256"/>
      <c r="L38" s="262"/>
      <c r="M38" s="232"/>
      <c r="N38" s="256"/>
      <c r="O38" s="262"/>
      <c r="P38" s="222"/>
      <c r="Q38" s="256"/>
      <c r="R38" s="262"/>
      <c r="S38" s="232"/>
      <c r="T38" s="256"/>
      <c r="U38" s="262"/>
      <c r="V38" s="232"/>
    </row>
    <row r="39" spans="1:22">
      <c r="A39" s="233" t="s">
        <v>54</v>
      </c>
      <c r="B39" s="249"/>
      <c r="C39" s="244"/>
      <c r="D39" s="222"/>
      <c r="E39" s="236">
        <f>$C$39*E37</f>
        <v>0</v>
      </c>
      <c r="F39" s="250">
        <f>IF(E39=0,0,E39/E$41)</f>
        <v>0</v>
      </c>
      <c r="G39" s="19">
        <v>0</v>
      </c>
      <c r="H39" s="236">
        <f>$C$39*H37</f>
        <v>0</v>
      </c>
      <c r="I39" s="250">
        <f>IF(H39=0,0,H39/H$41)</f>
        <v>0</v>
      </c>
      <c r="J39" s="19">
        <v>0</v>
      </c>
      <c r="K39" s="236">
        <f>$C$39*K37</f>
        <v>0</v>
      </c>
      <c r="L39" s="250">
        <f>IF(K39=0,0,K39/K$41)</f>
        <v>0</v>
      </c>
      <c r="M39" s="232"/>
      <c r="N39" s="236">
        <f>$C$39*N37</f>
        <v>0</v>
      </c>
      <c r="O39" s="250">
        <f>IF(N39=0,0,N39/N$41)</f>
        <v>0</v>
      </c>
      <c r="P39" s="222"/>
      <c r="Q39" s="236">
        <f>$C$39*Q37</f>
        <v>0</v>
      </c>
      <c r="R39" s="250">
        <f>IF(Q39=0,0,Q39/Q$41)</f>
        <v>0</v>
      </c>
      <c r="S39" s="232"/>
      <c r="T39" s="236">
        <f>$C$39*T37</f>
        <v>0</v>
      </c>
      <c r="U39" s="250">
        <f>IF(T39=0,0,T39/T$41)</f>
        <v>0</v>
      </c>
      <c r="V39" s="232"/>
    </row>
    <row r="40" spans="1:22">
      <c r="A40" s="233"/>
      <c r="B40" s="234"/>
      <c r="C40" s="235"/>
      <c r="D40" s="222"/>
      <c r="E40" s="256"/>
      <c r="F40" s="231"/>
      <c r="H40" s="256"/>
      <c r="I40" s="231"/>
      <c r="K40" s="256"/>
      <c r="L40" s="231"/>
      <c r="M40" s="232"/>
      <c r="N40" s="256"/>
      <c r="O40" s="231"/>
      <c r="P40" s="222"/>
      <c r="Q40" s="256"/>
      <c r="R40" s="231"/>
      <c r="S40" s="232"/>
      <c r="T40" s="256"/>
      <c r="U40" s="231"/>
      <c r="V40" s="232"/>
    </row>
    <row r="41" spans="1:22" ht="32">
      <c r="A41" s="297" t="s">
        <v>38</v>
      </c>
      <c r="B41" s="298" t="s">
        <v>576</v>
      </c>
      <c r="C41" s="299" t="s">
        <v>577</v>
      </c>
      <c r="D41" s="222"/>
      <c r="E41" s="263">
        <f>E37+E39</f>
        <v>0</v>
      </c>
      <c r="F41" s="362">
        <f>IF(E41=0,0,E41/E$41)</f>
        <v>0</v>
      </c>
      <c r="H41" s="263">
        <f>H37+H39</f>
        <v>0</v>
      </c>
      <c r="I41" s="362">
        <f>IF(H41=0,0,H41/H$41)</f>
        <v>0</v>
      </c>
      <c r="K41" s="263">
        <f>K37+K39</f>
        <v>0</v>
      </c>
      <c r="L41" s="362">
        <f>IF(K41=0,0,K41/K$41)</f>
        <v>0</v>
      </c>
      <c r="M41" s="232"/>
      <c r="N41" s="263">
        <f>N37+N39</f>
        <v>0</v>
      </c>
      <c r="O41" s="362">
        <f>IF(N41=0,0,N41/N$41)</f>
        <v>0</v>
      </c>
      <c r="P41" s="222"/>
      <c r="Q41" s="263">
        <f>Q37+Q39</f>
        <v>0</v>
      </c>
      <c r="R41" s="362">
        <f>IF(Q41=0,0,Q41/Q$41)</f>
        <v>0</v>
      </c>
      <c r="S41" s="232"/>
      <c r="T41" s="263">
        <f>T37+T39</f>
        <v>0</v>
      </c>
      <c r="U41" s="362">
        <f>IF(T41=0,0,T41/T$41)</f>
        <v>0</v>
      </c>
      <c r="V41" s="232"/>
    </row>
    <row r="42" spans="1:22">
      <c r="A42" s="80" t="s">
        <v>505</v>
      </c>
      <c r="B42" s="352"/>
      <c r="C42" s="352"/>
      <c r="D42" s="222"/>
      <c r="E42" s="300">
        <f>IF(($B42+$C42)=0,0,(F$20*E41*$B42+$C42*E41*(1-F$20))+E41)</f>
        <v>0</v>
      </c>
      <c r="F42" s="80"/>
      <c r="H42" s="300">
        <f>IF(($B42+$C42)=0,0,(I$20*H41*$B42+$C42*H41*(1-I$20))+H41)</f>
        <v>0</v>
      </c>
      <c r="I42" s="80"/>
      <c r="K42" s="300">
        <f>IF(($B42+$C42)=0,0,(L$20*K41*$B42+$C42*K41*(1-L$20))+K41)</f>
        <v>0</v>
      </c>
      <c r="L42" s="80"/>
      <c r="M42" s="267"/>
      <c r="N42" s="300">
        <f>IF(($B42+$C42)=0,0,(O$20*N41*$B42+$C42*N41*(1-O$20))+N41)</f>
        <v>0</v>
      </c>
      <c r="O42" s="80"/>
      <c r="Q42" s="300">
        <f>IF(($B42+$C42)=0,0,(R$20*Q41*$B42+$C42*Q41*(1-R$20))+Q41)</f>
        <v>0</v>
      </c>
      <c r="R42" s="80"/>
      <c r="S42" s="267"/>
      <c r="T42" s="300">
        <f>IF(($B42+$C42)=0,0,(U$20*T41*$B42+$C42*T41*(1-U$20))+T41)</f>
        <v>0</v>
      </c>
      <c r="U42" s="80"/>
      <c r="V42" s="267"/>
    </row>
    <row r="43" spans="1:22">
      <c r="A43" s="80" t="s">
        <v>506</v>
      </c>
      <c r="B43" s="301"/>
      <c r="C43" s="301"/>
      <c r="E43" s="300">
        <f t="shared" ref="E43:E47" si="0">IF(($B43+$C43)=0,0,(F$20*E42*$B43+$C43*E42*(1-F$20))+E42)</f>
        <v>0</v>
      </c>
      <c r="H43" s="300">
        <f t="shared" ref="H43:H47" si="1">IF(($B43+$C43)=0,0,(I$20*H42*$B43+$C43*H42*(1-I$20))+H42)</f>
        <v>0</v>
      </c>
      <c r="K43" s="300">
        <f t="shared" ref="K43:K47" si="2">IF(($B43+$C43)=0,0,(L$20*K42*$B43+$C43*K42*(1-L$20))+K42)</f>
        <v>0</v>
      </c>
      <c r="M43" s="267"/>
      <c r="N43" s="300">
        <f t="shared" ref="N43:N47" si="3">IF(($B43+$C43)=0,0,(O$20*N42*$B43+$C43*N42*(1-O$20))+N42)</f>
        <v>0</v>
      </c>
      <c r="Q43" s="300">
        <f t="shared" ref="Q43:Q47" si="4">IF(($B43+$C43)=0,0,(R$20*Q42*$B43+$C43*Q42*(1-R$20))+Q42)</f>
        <v>0</v>
      </c>
      <c r="S43" s="267"/>
      <c r="T43" s="300">
        <f t="shared" ref="T43:T47" si="5">IF(($B43+$C43)=0,0,(U$20*T42*$B43+$C43*T42*(1-U$20))+T42)</f>
        <v>0</v>
      </c>
      <c r="V43" s="267"/>
    </row>
    <row r="44" spans="1:22">
      <c r="A44" s="80" t="s">
        <v>507</v>
      </c>
      <c r="B44" s="301"/>
      <c r="C44" s="301"/>
      <c r="E44" s="300">
        <f t="shared" si="0"/>
        <v>0</v>
      </c>
      <c r="F44" s="268"/>
      <c r="H44" s="300">
        <f t="shared" si="1"/>
        <v>0</v>
      </c>
      <c r="I44" s="268"/>
      <c r="K44" s="300">
        <f t="shared" si="2"/>
        <v>0</v>
      </c>
      <c r="L44" s="268"/>
      <c r="M44" s="225"/>
      <c r="N44" s="300">
        <f t="shared" si="3"/>
        <v>0</v>
      </c>
      <c r="O44" s="268"/>
      <c r="P44" s="222"/>
      <c r="Q44" s="300">
        <f t="shared" si="4"/>
        <v>0</v>
      </c>
      <c r="R44" s="268"/>
      <c r="S44" s="225"/>
      <c r="T44" s="300">
        <f t="shared" si="5"/>
        <v>0</v>
      </c>
      <c r="U44" s="268"/>
      <c r="V44" s="225"/>
    </row>
    <row r="45" spans="1:22">
      <c r="A45" s="80" t="s">
        <v>508</v>
      </c>
      <c r="B45" s="301"/>
      <c r="C45" s="301"/>
      <c r="D45" s="222"/>
      <c r="E45" s="300">
        <f t="shared" si="0"/>
        <v>0</v>
      </c>
      <c r="F45" s="268"/>
      <c r="H45" s="300">
        <f t="shared" si="1"/>
        <v>0</v>
      </c>
      <c r="I45" s="268"/>
      <c r="K45" s="300">
        <f t="shared" si="2"/>
        <v>0</v>
      </c>
      <c r="L45" s="268"/>
      <c r="M45" s="225"/>
      <c r="N45" s="300">
        <f t="shared" si="3"/>
        <v>0</v>
      </c>
      <c r="O45" s="268"/>
      <c r="P45" s="222"/>
      <c r="Q45" s="300">
        <f t="shared" si="4"/>
        <v>0</v>
      </c>
      <c r="R45" s="268"/>
      <c r="S45" s="225"/>
      <c r="T45" s="300">
        <f t="shared" si="5"/>
        <v>0</v>
      </c>
      <c r="U45" s="268"/>
      <c r="V45" s="225"/>
    </row>
    <row r="46" spans="1:22">
      <c r="A46" s="80" t="s">
        <v>509</v>
      </c>
      <c r="B46" s="301"/>
      <c r="C46" s="301"/>
      <c r="E46" s="300">
        <f t="shared" si="0"/>
        <v>0</v>
      </c>
      <c r="F46" s="268"/>
      <c r="H46" s="300">
        <f t="shared" si="1"/>
        <v>0</v>
      </c>
      <c r="I46" s="268"/>
      <c r="K46" s="300">
        <f t="shared" si="2"/>
        <v>0</v>
      </c>
      <c r="L46" s="268"/>
      <c r="M46" s="225"/>
      <c r="N46" s="300">
        <f t="shared" si="3"/>
        <v>0</v>
      </c>
      <c r="O46" s="268"/>
      <c r="P46" s="222"/>
      <c r="Q46" s="300">
        <f t="shared" si="4"/>
        <v>0</v>
      </c>
      <c r="R46" s="268"/>
      <c r="S46" s="225"/>
      <c r="T46" s="300">
        <f t="shared" si="5"/>
        <v>0</v>
      </c>
      <c r="U46" s="268"/>
      <c r="V46" s="225"/>
    </row>
    <row r="47" spans="1:22">
      <c r="A47" s="80" t="s">
        <v>510</v>
      </c>
      <c r="B47" s="302"/>
      <c r="C47" s="302"/>
      <c r="D47" s="222"/>
      <c r="E47" s="300">
        <f t="shared" si="0"/>
        <v>0</v>
      </c>
      <c r="F47" s="268"/>
      <c r="H47" s="300">
        <f t="shared" si="1"/>
        <v>0</v>
      </c>
      <c r="I47" s="268"/>
      <c r="K47" s="300">
        <f t="shared" si="2"/>
        <v>0</v>
      </c>
      <c r="L47" s="268"/>
      <c r="M47" s="225"/>
      <c r="N47" s="300">
        <f t="shared" si="3"/>
        <v>0</v>
      </c>
      <c r="O47" s="268"/>
      <c r="P47" s="222"/>
      <c r="Q47" s="300">
        <f t="shared" si="4"/>
        <v>0</v>
      </c>
      <c r="R47" s="268"/>
      <c r="S47" s="225"/>
      <c r="T47" s="300">
        <f t="shared" si="5"/>
        <v>0</v>
      </c>
      <c r="U47" s="268"/>
      <c r="V47" s="225"/>
    </row>
    <row r="48" spans="1:22" ht="32">
      <c r="A48" s="297" t="s">
        <v>539</v>
      </c>
      <c r="B48" s="305" t="s">
        <v>576</v>
      </c>
      <c r="C48" s="306" t="s">
        <v>577</v>
      </c>
      <c r="D48" s="222"/>
      <c r="E48" s="303">
        <f>(E$20*1.3)+(E$41-E$20)</f>
        <v>0</v>
      </c>
      <c r="F48" s="264">
        <f>SUM(F44:F47)</f>
        <v>0</v>
      </c>
      <c r="H48" s="303">
        <f>(H$20*1.3)+(H$41-H$20)</f>
        <v>0</v>
      </c>
      <c r="I48" s="264">
        <f>SUM(I44:I47)</f>
        <v>0</v>
      </c>
      <c r="K48" s="303">
        <f>(K$20*1.3)+(K$41-K$20)</f>
        <v>0</v>
      </c>
      <c r="L48" s="264">
        <f>SUM(L44:L47)</f>
        <v>0</v>
      </c>
      <c r="M48" s="232"/>
      <c r="N48" s="303">
        <f>(N$20*1.3)+(N$41-N$20)</f>
        <v>0</v>
      </c>
      <c r="O48" s="265">
        <f>SUM(O44:O47)</f>
        <v>0</v>
      </c>
      <c r="P48" s="222"/>
      <c r="Q48" s="303">
        <f>(Q$20*1.3)+(Q$41-Q$20)</f>
        <v>0</v>
      </c>
      <c r="R48" s="264">
        <f>SUM(R44:R47)</f>
        <v>0</v>
      </c>
      <c r="S48" s="232"/>
      <c r="T48" s="303">
        <f>(T$20*1.3)+(T$41-T$20)</f>
        <v>0</v>
      </c>
      <c r="U48" s="266">
        <f>SUM(U44:U47)</f>
        <v>0</v>
      </c>
      <c r="V48" s="232"/>
    </row>
    <row r="49" spans="1:22">
      <c r="A49" s="80" t="s">
        <v>505</v>
      </c>
      <c r="B49" s="352">
        <f>B42</f>
        <v>0</v>
      </c>
      <c r="C49" s="352">
        <f>C42</f>
        <v>0</v>
      </c>
      <c r="D49" s="222"/>
      <c r="E49" s="300">
        <f>IF(($B49+$C49)=0,0,(F$20*E48*$B49+$C49*E48*(1-F$20))+E48)</f>
        <v>0</v>
      </c>
      <c r="F49" s="80"/>
      <c r="H49" s="300">
        <f>IF(($B49+$C49)=0,0,(I$20*H48*$B49+$C49*H48*(1-I$20))+H48)</f>
        <v>0</v>
      </c>
      <c r="I49" s="80"/>
      <c r="K49" s="300">
        <f>IF(($B49+$C49)=0,0,(L$20*K48*$B49+$C49*K48*(1-L$20))+K48)</f>
        <v>0</v>
      </c>
      <c r="M49" s="267"/>
      <c r="N49" s="300">
        <f>IF(($B49+$C49)=0,0,(O$20*N48*$B49+$C49*N48*(1-O$20))+N48)</f>
        <v>0</v>
      </c>
      <c r="Q49" s="300">
        <f>IF(($B49+$C49)=0,0,(R$20*Q48*$B49+$C49*Q48*(1-R$20))+Q48)</f>
        <v>0</v>
      </c>
      <c r="S49" s="267"/>
      <c r="T49" s="300">
        <f>IF(($B49+$C49)=0,0,(U$20*T48*$B49+$C49*T48*(1-U$20))+T48)</f>
        <v>0</v>
      </c>
      <c r="V49" s="267"/>
    </row>
    <row r="50" spans="1:22">
      <c r="A50" s="80" t="s">
        <v>506</v>
      </c>
      <c r="B50" s="301"/>
      <c r="C50" s="301"/>
      <c r="E50" s="300">
        <f t="shared" ref="E50:E54" si="6">IF(($B50+$C50)=0,0,(F$20*E49*$B50+$C50*E49*(1-F$20))+E49)</f>
        <v>0</v>
      </c>
      <c r="H50" s="300">
        <f t="shared" ref="H50:H54" si="7">IF(($B50+$C50)=0,0,(I$20*H49*$B50+$C50*H49*(1-I$20))+H49)</f>
        <v>0</v>
      </c>
      <c r="K50" s="300">
        <f t="shared" ref="K50:K54" si="8">IF(($B50+$C50)=0,0,(L$20*K49*$B50+$C50*K49*(1-L$20))+K49)</f>
        <v>0</v>
      </c>
      <c r="M50" s="267"/>
      <c r="N50" s="300">
        <f t="shared" ref="N50:N54" si="9">IF(($B50+$C50)=0,0,(O$20*N49*$B50+$C50*N49*(1-O$20))+N49)</f>
        <v>0</v>
      </c>
      <c r="Q50" s="300">
        <f t="shared" ref="Q50:Q54" si="10">IF(($B50+$C50)=0,0,(R$20*Q49*$B50+$C50*Q49*(1-R$20))+Q49)</f>
        <v>0</v>
      </c>
      <c r="S50" s="267"/>
      <c r="T50" s="300">
        <f t="shared" ref="T50:T54" si="11">IF(($B50+$C50)=0,0,(U$20*T49*$B50+$C50*T49*(1-U$20))+T49)</f>
        <v>0</v>
      </c>
      <c r="V50" s="267"/>
    </row>
    <row r="51" spans="1:22">
      <c r="A51" s="80" t="s">
        <v>507</v>
      </c>
      <c r="B51" s="301"/>
      <c r="C51" s="301"/>
      <c r="E51" s="300">
        <f t="shared" si="6"/>
        <v>0</v>
      </c>
      <c r="F51" s="268"/>
      <c r="H51" s="300">
        <f t="shared" si="7"/>
        <v>0</v>
      </c>
      <c r="I51" s="268"/>
      <c r="K51" s="300">
        <f t="shared" si="8"/>
        <v>0</v>
      </c>
      <c r="L51" s="268"/>
      <c r="M51" s="225"/>
      <c r="N51" s="300">
        <f t="shared" si="9"/>
        <v>0</v>
      </c>
      <c r="O51" s="268"/>
      <c r="P51" s="222"/>
      <c r="Q51" s="300">
        <f t="shared" si="10"/>
        <v>0</v>
      </c>
      <c r="R51" s="268"/>
      <c r="S51" s="225"/>
      <c r="T51" s="300">
        <f t="shared" si="11"/>
        <v>0</v>
      </c>
      <c r="U51" s="268"/>
      <c r="V51" s="225"/>
    </row>
    <row r="52" spans="1:22">
      <c r="A52" s="80" t="s">
        <v>508</v>
      </c>
      <c r="B52" s="301"/>
      <c r="C52" s="301"/>
      <c r="D52" s="222"/>
      <c r="E52" s="300">
        <f t="shared" si="6"/>
        <v>0</v>
      </c>
      <c r="F52" s="268"/>
      <c r="H52" s="300">
        <f t="shared" si="7"/>
        <v>0</v>
      </c>
      <c r="I52" s="268"/>
      <c r="K52" s="300">
        <f t="shared" si="8"/>
        <v>0</v>
      </c>
      <c r="L52" s="268"/>
      <c r="M52" s="225"/>
      <c r="N52" s="300">
        <f t="shared" si="9"/>
        <v>0</v>
      </c>
      <c r="O52" s="268"/>
      <c r="P52" s="222"/>
      <c r="Q52" s="300">
        <f t="shared" si="10"/>
        <v>0</v>
      </c>
      <c r="R52" s="268"/>
      <c r="S52" s="225"/>
      <c r="T52" s="300">
        <f t="shared" si="11"/>
        <v>0</v>
      </c>
      <c r="U52" s="268"/>
      <c r="V52" s="225"/>
    </row>
    <row r="53" spans="1:22">
      <c r="A53" s="80" t="s">
        <v>509</v>
      </c>
      <c r="B53" s="301"/>
      <c r="C53" s="301"/>
      <c r="E53" s="300">
        <f t="shared" si="6"/>
        <v>0</v>
      </c>
      <c r="F53" s="268"/>
      <c r="H53" s="300">
        <f t="shared" si="7"/>
        <v>0</v>
      </c>
      <c r="I53" s="268"/>
      <c r="K53" s="300">
        <f t="shared" si="8"/>
        <v>0</v>
      </c>
      <c r="L53" s="268"/>
      <c r="M53" s="225"/>
      <c r="N53" s="300">
        <f t="shared" si="9"/>
        <v>0</v>
      </c>
      <c r="O53" s="268"/>
      <c r="P53" s="222"/>
      <c r="Q53" s="300">
        <f t="shared" si="10"/>
        <v>0</v>
      </c>
      <c r="R53" s="268"/>
      <c r="S53" s="225"/>
      <c r="T53" s="300">
        <f t="shared" si="11"/>
        <v>0</v>
      </c>
      <c r="U53" s="268"/>
      <c r="V53" s="225"/>
    </row>
    <row r="54" spans="1:22">
      <c r="A54" s="80" t="s">
        <v>510</v>
      </c>
      <c r="B54" s="302"/>
      <c r="C54" s="302"/>
      <c r="D54" s="222"/>
      <c r="E54" s="300">
        <f t="shared" si="6"/>
        <v>0</v>
      </c>
      <c r="F54" s="268"/>
      <c r="H54" s="300">
        <f t="shared" si="7"/>
        <v>0</v>
      </c>
      <c r="I54" s="268"/>
      <c r="K54" s="300">
        <f t="shared" si="8"/>
        <v>0</v>
      </c>
      <c r="L54" s="268"/>
      <c r="M54" s="225"/>
      <c r="N54" s="300">
        <f t="shared" si="9"/>
        <v>0</v>
      </c>
      <c r="O54" s="268"/>
      <c r="P54" s="222"/>
      <c r="Q54" s="300">
        <f t="shared" si="10"/>
        <v>0</v>
      </c>
      <c r="R54" s="268"/>
      <c r="S54" s="225"/>
      <c r="T54" s="300">
        <f t="shared" si="11"/>
        <v>0</v>
      </c>
      <c r="U54" s="268"/>
      <c r="V54" s="225"/>
    </row>
    <row r="55" spans="1:22" s="255" customFormat="1" ht="32">
      <c r="A55" s="297" t="s">
        <v>39</v>
      </c>
      <c r="B55" s="305" t="s">
        <v>576</v>
      </c>
      <c r="C55" s="306" t="s">
        <v>577</v>
      </c>
      <c r="D55" s="19"/>
      <c r="E55" s="303">
        <f>(E$20*1.5)+(E$41-E$20)</f>
        <v>0</v>
      </c>
      <c r="F55" s="19"/>
      <c r="G55" s="19"/>
      <c r="H55" s="303">
        <f>(H$20*1.5)+(H$41-H$20)</f>
        <v>0</v>
      </c>
      <c r="I55" s="19"/>
      <c r="J55" s="19"/>
      <c r="K55" s="303">
        <f>(K$20*1.5)+(K$41-K$20)</f>
        <v>0</v>
      </c>
      <c r="L55" s="19"/>
      <c r="M55" s="269"/>
      <c r="N55" s="303">
        <f>(N$20*1.5)+(N$41-N$20)</f>
        <v>0</v>
      </c>
      <c r="O55" s="19"/>
      <c r="P55" s="19"/>
      <c r="Q55" s="303">
        <f>(Q$20*1.5)+(Q$41-Q$20)</f>
        <v>0</v>
      </c>
      <c r="R55" s="19"/>
      <c r="S55" s="269"/>
      <c r="T55" s="303">
        <f>(T$20*1.5)+(T$41-T$20)</f>
        <v>0</v>
      </c>
      <c r="U55" s="19"/>
      <c r="V55" s="269"/>
    </row>
    <row r="56" spans="1:22" s="255" customFormat="1">
      <c r="A56" s="80" t="s">
        <v>505</v>
      </c>
      <c r="B56" s="352">
        <f>B49</f>
        <v>0</v>
      </c>
      <c r="C56" s="352">
        <f>C49</f>
        <v>0</v>
      </c>
      <c r="D56" s="19"/>
      <c r="E56" s="300">
        <f>IF(($B56+$C56)=0,0,(F$20*E55*$B56+$C56*E55*(1-F$20))+E55)</f>
        <v>0</v>
      </c>
      <c r="F56" s="80"/>
      <c r="G56" s="19"/>
      <c r="H56" s="300">
        <f>IF(($B56+$C56)=0,0,(I$20*H55*$B56+$C56*H55*(1-I$20))+H55)</f>
        <v>0</v>
      </c>
      <c r="I56" s="80"/>
      <c r="J56" s="19"/>
      <c r="K56" s="300">
        <f>IF(($B56+$C56)=0,0,(L$20*K55*$B56+$C56*K55*(1-L$20))+K55)</f>
        <v>0</v>
      </c>
      <c r="L56" s="19"/>
      <c r="M56" s="267"/>
      <c r="N56" s="300">
        <f>IF(($B56+$C56)=0,0,(O$20*N55*$B56+$C56*N55*(1-O$20))+N55)</f>
        <v>0</v>
      </c>
      <c r="O56" s="19"/>
      <c r="P56" s="19"/>
      <c r="Q56" s="300">
        <f>IF(($B56+$C56)=0,0,(R$20*Q55*$B56+$C56*Q55*(1-R$20))+Q55)</f>
        <v>0</v>
      </c>
      <c r="R56" s="19"/>
      <c r="S56" s="267"/>
      <c r="T56" s="300">
        <f>IF(($B56+$C56)=0,0,(U$20*T55*$B56+$C56*T55*(1-U$20))+T55)</f>
        <v>0</v>
      </c>
      <c r="U56" s="19"/>
      <c r="V56" s="267"/>
    </row>
    <row r="57" spans="1:22" s="255" customFormat="1">
      <c r="A57" s="80" t="s">
        <v>506</v>
      </c>
      <c r="B57" s="301"/>
      <c r="C57" s="301"/>
      <c r="D57" s="19"/>
      <c r="E57" s="300">
        <f t="shared" ref="E57:E61" si="12">IF(($B57+$C57)=0,0,(F$20*E56*$B57+$C57*E56*(1-F$20))+E56)</f>
        <v>0</v>
      </c>
      <c r="F57" s="19"/>
      <c r="G57" s="19"/>
      <c r="H57" s="300">
        <f t="shared" ref="H57:H61" si="13">IF(($B57+$C57)=0,0,(I$20*H56*$B57+$C57*H56*(1-I$20))+H56)</f>
        <v>0</v>
      </c>
      <c r="I57" s="19"/>
      <c r="J57" s="19"/>
      <c r="K57" s="300">
        <f t="shared" ref="K57:K61" si="14">IF(($B57+$C57)=0,0,(L$20*K56*$B57+$C57*K56*(1-L$20))+K56)</f>
        <v>0</v>
      </c>
      <c r="L57" s="19"/>
      <c r="M57" s="267"/>
      <c r="N57" s="300">
        <f t="shared" ref="N57:N61" si="15">IF(($B57+$C57)=0,0,(O$20*N56*$B57+$C57*N56*(1-O$20))+N56)</f>
        <v>0</v>
      </c>
      <c r="O57" s="19"/>
      <c r="P57" s="19"/>
      <c r="Q57" s="300">
        <f t="shared" ref="Q57:Q61" si="16">IF(($B57+$C57)=0,0,(R$20*Q56*$B57+$C57*Q56*(1-R$20))+Q56)</f>
        <v>0</v>
      </c>
      <c r="R57" s="19"/>
      <c r="S57" s="267"/>
      <c r="T57" s="300">
        <f t="shared" ref="T57:T61" si="17">IF(($B57+$C57)=0,0,(U$20*T56*$B57+$C57*T56*(1-U$20))+T56)</f>
        <v>0</v>
      </c>
      <c r="U57" s="19"/>
      <c r="V57" s="267"/>
    </row>
    <row r="58" spans="1:22" s="255" customFormat="1">
      <c r="A58" s="80" t="s">
        <v>507</v>
      </c>
      <c r="B58" s="301"/>
      <c r="C58" s="301"/>
      <c r="D58" s="19"/>
      <c r="E58" s="300">
        <f t="shared" si="12"/>
        <v>0</v>
      </c>
      <c r="F58" s="268"/>
      <c r="G58" s="19"/>
      <c r="H58" s="300">
        <f t="shared" si="13"/>
        <v>0</v>
      </c>
      <c r="I58" s="268"/>
      <c r="J58" s="19"/>
      <c r="K58" s="300">
        <f t="shared" si="14"/>
        <v>0</v>
      </c>
      <c r="L58" s="268"/>
      <c r="M58" s="225"/>
      <c r="N58" s="300">
        <f t="shared" si="15"/>
        <v>0</v>
      </c>
      <c r="O58" s="268"/>
      <c r="P58" s="222"/>
      <c r="Q58" s="300">
        <f t="shared" si="16"/>
        <v>0</v>
      </c>
      <c r="R58" s="268"/>
      <c r="S58" s="225"/>
      <c r="T58" s="300">
        <f t="shared" si="17"/>
        <v>0</v>
      </c>
      <c r="U58" s="268"/>
      <c r="V58" s="225"/>
    </row>
    <row r="59" spans="1:22" s="255" customFormat="1">
      <c r="A59" s="80" t="s">
        <v>508</v>
      </c>
      <c r="B59" s="301"/>
      <c r="C59" s="301"/>
      <c r="D59" s="19"/>
      <c r="E59" s="300">
        <f t="shared" si="12"/>
        <v>0</v>
      </c>
      <c r="F59" s="268"/>
      <c r="G59" s="19"/>
      <c r="H59" s="300">
        <f t="shared" si="13"/>
        <v>0</v>
      </c>
      <c r="I59" s="268"/>
      <c r="J59" s="19"/>
      <c r="K59" s="300">
        <f t="shared" si="14"/>
        <v>0</v>
      </c>
      <c r="L59" s="268"/>
      <c r="M59" s="225"/>
      <c r="N59" s="300">
        <f t="shared" si="15"/>
        <v>0</v>
      </c>
      <c r="O59" s="268"/>
      <c r="P59" s="222"/>
      <c r="Q59" s="300">
        <f t="shared" si="16"/>
        <v>0</v>
      </c>
      <c r="R59" s="268"/>
      <c r="S59" s="225"/>
      <c r="T59" s="300">
        <f t="shared" si="17"/>
        <v>0</v>
      </c>
      <c r="U59" s="268"/>
      <c r="V59" s="225"/>
    </row>
    <row r="60" spans="1:22" s="255" customFormat="1">
      <c r="A60" s="80" t="s">
        <v>509</v>
      </c>
      <c r="B60" s="301"/>
      <c r="C60" s="301"/>
      <c r="D60" s="19"/>
      <c r="E60" s="300">
        <f t="shared" si="12"/>
        <v>0</v>
      </c>
      <c r="F60" s="268"/>
      <c r="G60" s="19"/>
      <c r="H60" s="300">
        <f t="shared" si="13"/>
        <v>0</v>
      </c>
      <c r="I60" s="268"/>
      <c r="J60" s="19"/>
      <c r="K60" s="300">
        <f t="shared" si="14"/>
        <v>0</v>
      </c>
      <c r="L60" s="268"/>
      <c r="M60" s="225"/>
      <c r="N60" s="300">
        <f t="shared" si="15"/>
        <v>0</v>
      </c>
      <c r="O60" s="268"/>
      <c r="P60" s="222"/>
      <c r="Q60" s="300">
        <f t="shared" si="16"/>
        <v>0</v>
      </c>
      <c r="R60" s="268"/>
      <c r="S60" s="225"/>
      <c r="T60" s="300">
        <f t="shared" si="17"/>
        <v>0</v>
      </c>
      <c r="U60" s="268"/>
      <c r="V60" s="225"/>
    </row>
    <row r="61" spans="1:22" s="255" customFormat="1">
      <c r="A61" s="80" t="s">
        <v>510</v>
      </c>
      <c r="B61" s="302"/>
      <c r="C61" s="302"/>
      <c r="D61" s="19"/>
      <c r="E61" s="300">
        <f t="shared" si="12"/>
        <v>0</v>
      </c>
      <c r="F61" s="268"/>
      <c r="G61" s="19"/>
      <c r="H61" s="300">
        <f t="shared" si="13"/>
        <v>0</v>
      </c>
      <c r="I61" s="268"/>
      <c r="J61" s="19"/>
      <c r="K61" s="300">
        <f t="shared" si="14"/>
        <v>0</v>
      </c>
      <c r="L61" s="268"/>
      <c r="M61" s="225"/>
      <c r="N61" s="300">
        <f t="shared" si="15"/>
        <v>0</v>
      </c>
      <c r="O61" s="268"/>
      <c r="P61" s="222"/>
      <c r="Q61" s="300">
        <f t="shared" si="16"/>
        <v>0</v>
      </c>
      <c r="R61" s="268"/>
      <c r="S61" s="225"/>
      <c r="T61" s="300">
        <f t="shared" si="17"/>
        <v>0</v>
      </c>
      <c r="U61" s="268"/>
      <c r="V61" s="225"/>
    </row>
    <row r="62" spans="1:22" s="255" customFormat="1" ht="32">
      <c r="A62" s="297" t="s">
        <v>57</v>
      </c>
      <c r="B62" s="305" t="s">
        <v>576</v>
      </c>
      <c r="C62" s="306" t="s">
        <v>577</v>
      </c>
      <c r="D62" s="19"/>
      <c r="E62" s="304">
        <f>(E$20*2.5)+(E41-E20)</f>
        <v>0</v>
      </c>
      <c r="F62" s="19"/>
      <c r="G62" s="19"/>
      <c r="H62" s="304">
        <f>(H$20*2.5)+(H41-H20)</f>
        <v>0</v>
      </c>
      <c r="I62" s="19"/>
      <c r="J62" s="19"/>
      <c r="K62" s="304">
        <f>(K$20*2.5)+(K41-K20)</f>
        <v>0</v>
      </c>
      <c r="L62" s="19"/>
      <c r="M62" s="267"/>
      <c r="N62" s="304">
        <f>(N$20*2.5)+(N41-N20)</f>
        <v>0</v>
      </c>
      <c r="O62" s="19"/>
      <c r="P62" s="19"/>
      <c r="Q62" s="304">
        <f>(Q$20*2.5)+(Q41-Q20)</f>
        <v>0</v>
      </c>
      <c r="R62" s="19"/>
      <c r="S62" s="267"/>
      <c r="T62" s="304">
        <f>(T$20*2.5)+(T41-T20)</f>
        <v>0</v>
      </c>
      <c r="U62" s="19"/>
      <c r="V62" s="267"/>
    </row>
    <row r="63" spans="1:22" s="255" customFormat="1">
      <c r="A63" s="80" t="s">
        <v>505</v>
      </c>
      <c r="B63" s="352">
        <f>B56</f>
        <v>0</v>
      </c>
      <c r="C63" s="352">
        <f>C56</f>
        <v>0</v>
      </c>
      <c r="E63" s="300">
        <f>IF(($B63+$C63)=0,0,(F$20*E62*$B63+$C63*E62*(1-F$20))+E62)</f>
        <v>0</v>
      </c>
      <c r="F63" s="80"/>
      <c r="H63" s="300">
        <f>IF(($B63+$C63)=0,0,(I$20*H62*$B63+$C63*H62*(1-I$20))+H62)</f>
        <v>0</v>
      </c>
      <c r="I63" s="80"/>
      <c r="K63" s="300">
        <f>IF(($B63+$C63)=0,0,(L$20*K62*$B63+$C63*K62*(1-L$20))+K62)</f>
        <v>0</v>
      </c>
      <c r="L63" s="270"/>
      <c r="N63" s="300">
        <f>IF(($B63+$C63)=0,0,(O$20*N62*$B63+$C63*N62*(1-O$20))+N62)</f>
        <v>0</v>
      </c>
      <c r="O63" s="270"/>
      <c r="Q63" s="300">
        <f>IF(($B63+$C63)=0,0,(R$20*Q62*$B63+$C63*Q62*(1-R$20))+Q62)</f>
        <v>0</v>
      </c>
      <c r="R63" s="270"/>
      <c r="T63" s="300">
        <f>IF(($B63+$C63)=0,0,(U$20*T62*$B63+$C63*T62*(1-U$20))+T62)</f>
        <v>0</v>
      </c>
      <c r="U63" s="270"/>
    </row>
    <row r="64" spans="1:22" s="255" customFormat="1">
      <c r="A64" s="80" t="s">
        <v>506</v>
      </c>
      <c r="B64" s="301"/>
      <c r="C64" s="301"/>
      <c r="E64" s="300">
        <f t="shared" ref="E64:E68" si="18">IF(($B64+$C64)=0,0,(F$20*E63*$B64+$C64*E63*(1-F$20))+E63)</f>
        <v>0</v>
      </c>
      <c r="F64" s="270"/>
      <c r="H64" s="300">
        <f t="shared" ref="H64:H68" si="19">IF(($B64+$C64)=0,0,(I$20*H63*$B64+$C64*H63*(1-I$20))+H63)</f>
        <v>0</v>
      </c>
      <c r="I64" s="270"/>
      <c r="K64" s="300">
        <f t="shared" ref="K64:K68" si="20">IF(($B64+$C64)=0,0,(L$20*K63*$B64+$C64*K63*(1-L$20))+K63)</f>
        <v>0</v>
      </c>
      <c r="L64" s="270"/>
      <c r="N64" s="300">
        <f t="shared" ref="N64:N68" si="21">IF(($B64+$C64)=0,0,(O$20*N63*$B64+$C64*N63*(1-O$20))+N63)</f>
        <v>0</v>
      </c>
      <c r="O64" s="270"/>
      <c r="Q64" s="300">
        <f t="shared" ref="Q64:Q68" si="22">IF(($B64+$C64)=0,0,(R$20*Q63*$B64+$C64*Q63*(1-R$20))+Q63)</f>
        <v>0</v>
      </c>
      <c r="R64" s="270"/>
      <c r="T64" s="300">
        <f t="shared" ref="T64:T68" si="23">IF(($B64+$C64)=0,0,(U$20*T63*$B64+$C64*T63*(1-U$20))+T63)</f>
        <v>0</v>
      </c>
      <c r="U64" s="270"/>
    </row>
    <row r="65" spans="1:22" s="255" customFormat="1">
      <c r="A65" s="80" t="s">
        <v>507</v>
      </c>
      <c r="B65" s="301"/>
      <c r="C65" s="301"/>
      <c r="E65" s="300">
        <f t="shared" si="18"/>
        <v>0</v>
      </c>
      <c r="F65" s="268"/>
      <c r="G65" s="19"/>
      <c r="H65" s="300">
        <f t="shared" si="19"/>
        <v>0</v>
      </c>
      <c r="I65" s="268"/>
      <c r="J65" s="19"/>
      <c r="K65" s="300">
        <f t="shared" si="20"/>
        <v>0</v>
      </c>
      <c r="L65" s="268"/>
      <c r="M65" s="225"/>
      <c r="N65" s="300">
        <f t="shared" si="21"/>
        <v>0</v>
      </c>
      <c r="O65" s="268"/>
      <c r="P65" s="222"/>
      <c r="Q65" s="300">
        <f t="shared" si="22"/>
        <v>0</v>
      </c>
      <c r="R65" s="268"/>
      <c r="S65" s="225"/>
      <c r="T65" s="300">
        <f t="shared" si="23"/>
        <v>0</v>
      </c>
      <c r="U65" s="268"/>
      <c r="V65" s="225"/>
    </row>
    <row r="66" spans="1:22" s="255" customFormat="1">
      <c r="A66" s="80" t="s">
        <v>508</v>
      </c>
      <c r="B66" s="301"/>
      <c r="C66" s="301"/>
      <c r="E66" s="300">
        <f t="shared" si="18"/>
        <v>0</v>
      </c>
      <c r="F66" s="268"/>
      <c r="G66" s="19"/>
      <c r="H66" s="300">
        <f t="shared" si="19"/>
        <v>0</v>
      </c>
      <c r="I66" s="268"/>
      <c r="J66" s="19"/>
      <c r="K66" s="300">
        <f t="shared" si="20"/>
        <v>0</v>
      </c>
      <c r="L66" s="268"/>
      <c r="M66" s="225"/>
      <c r="N66" s="300">
        <f t="shared" si="21"/>
        <v>0</v>
      </c>
      <c r="O66" s="268"/>
      <c r="P66" s="222"/>
      <c r="Q66" s="300">
        <f t="shared" si="22"/>
        <v>0</v>
      </c>
      <c r="R66" s="268"/>
      <c r="S66" s="225"/>
      <c r="T66" s="300">
        <f t="shared" si="23"/>
        <v>0</v>
      </c>
      <c r="U66" s="268"/>
      <c r="V66" s="225"/>
    </row>
    <row r="67" spans="1:22" s="255" customFormat="1">
      <c r="A67" s="80" t="s">
        <v>509</v>
      </c>
      <c r="B67" s="301"/>
      <c r="C67" s="301"/>
      <c r="E67" s="300">
        <f t="shared" si="18"/>
        <v>0</v>
      </c>
      <c r="F67" s="268"/>
      <c r="G67" s="19"/>
      <c r="H67" s="300">
        <f t="shared" si="19"/>
        <v>0</v>
      </c>
      <c r="I67" s="268"/>
      <c r="J67" s="19"/>
      <c r="K67" s="300">
        <f t="shared" si="20"/>
        <v>0</v>
      </c>
      <c r="L67" s="268"/>
      <c r="M67" s="225"/>
      <c r="N67" s="300">
        <f t="shared" si="21"/>
        <v>0</v>
      </c>
      <c r="O67" s="268"/>
      <c r="P67" s="222"/>
      <c r="Q67" s="300">
        <f t="shared" si="22"/>
        <v>0</v>
      </c>
      <c r="R67" s="268"/>
      <c r="S67" s="225"/>
      <c r="T67" s="300">
        <f t="shared" si="23"/>
        <v>0</v>
      </c>
      <c r="U67" s="268"/>
      <c r="V67" s="225"/>
    </row>
    <row r="68" spans="1:22" s="255" customFormat="1">
      <c r="A68" s="80" t="s">
        <v>510</v>
      </c>
      <c r="B68" s="302"/>
      <c r="C68" s="302"/>
      <c r="E68" s="300">
        <f t="shared" si="18"/>
        <v>0</v>
      </c>
      <c r="F68" s="268"/>
      <c r="G68" s="19"/>
      <c r="H68" s="300">
        <f t="shared" si="19"/>
        <v>0</v>
      </c>
      <c r="I68" s="268"/>
      <c r="J68" s="19"/>
      <c r="K68" s="300">
        <f t="shared" si="20"/>
        <v>0</v>
      </c>
      <c r="L68" s="268"/>
      <c r="M68" s="225"/>
      <c r="N68" s="300">
        <f t="shared" si="21"/>
        <v>0</v>
      </c>
      <c r="O68" s="268"/>
      <c r="P68" s="222"/>
      <c r="Q68" s="300">
        <f t="shared" si="22"/>
        <v>0</v>
      </c>
      <c r="R68" s="268"/>
      <c r="S68" s="225"/>
      <c r="T68" s="300">
        <f t="shared" si="23"/>
        <v>0</v>
      </c>
      <c r="U68" s="268"/>
      <c r="V68" s="225"/>
    </row>
    <row r="69" spans="1:22" s="255" customFormat="1">
      <c r="A69" s="19"/>
      <c r="C69" s="271"/>
      <c r="F69" s="270"/>
      <c r="I69" s="270"/>
      <c r="L69" s="270"/>
      <c r="O69" s="270"/>
      <c r="R69" s="270"/>
      <c r="U69" s="270"/>
    </row>
    <row r="70" spans="1:22" s="255" customFormat="1" ht="80">
      <c r="A70" s="307" t="s">
        <v>578</v>
      </c>
      <c r="B70" s="360" t="s">
        <v>640</v>
      </c>
      <c r="C70" s="361" t="s">
        <v>641</v>
      </c>
      <c r="F70" s="270"/>
      <c r="I70" s="270"/>
      <c r="L70" s="270"/>
      <c r="O70" s="270"/>
      <c r="R70" s="270"/>
      <c r="U70" s="270"/>
    </row>
    <row r="71" spans="1:22" s="255" customFormat="1">
      <c r="C71" s="271"/>
      <c r="F71" s="270"/>
      <c r="I71" s="270"/>
      <c r="L71" s="270"/>
      <c r="O71" s="270"/>
      <c r="R71" s="270"/>
      <c r="U71" s="270"/>
    </row>
    <row r="72" spans="1:22" s="255" customFormat="1">
      <c r="C72" s="271"/>
      <c r="F72" s="270"/>
      <c r="I72" s="270"/>
      <c r="L72" s="270"/>
      <c r="O72" s="270"/>
      <c r="R72" s="270"/>
      <c r="U72" s="270"/>
    </row>
    <row r="73" spans="1:22" s="255" customFormat="1">
      <c r="C73" s="271"/>
      <c r="F73" s="270"/>
      <c r="I73" s="270"/>
      <c r="L73" s="270"/>
      <c r="O73" s="270"/>
      <c r="R73" s="270"/>
      <c r="U73" s="270"/>
    </row>
    <row r="74" spans="1:22" s="255" customFormat="1">
      <c r="C74" s="271"/>
      <c r="F74" s="270"/>
      <c r="I74" s="270"/>
      <c r="L74" s="270"/>
      <c r="O74" s="270"/>
      <c r="R74" s="270"/>
      <c r="U74" s="270"/>
    </row>
    <row r="75" spans="1:22" s="255" customFormat="1">
      <c r="C75" s="271"/>
      <c r="F75" s="270"/>
      <c r="I75" s="270"/>
      <c r="L75" s="270"/>
      <c r="O75" s="270"/>
      <c r="R75" s="270"/>
      <c r="U75" s="270"/>
    </row>
    <row r="76" spans="1:22" s="255" customFormat="1">
      <c r="C76" s="271"/>
      <c r="F76" s="270"/>
      <c r="I76" s="270"/>
      <c r="L76" s="270"/>
      <c r="O76" s="270"/>
      <c r="R76" s="270"/>
      <c r="U76" s="270"/>
    </row>
  </sheetData>
  <dataConsolidate/>
  <mergeCells count="7">
    <mergeCell ref="T1:U1"/>
    <mergeCell ref="A1:C1"/>
    <mergeCell ref="Q1:R1"/>
    <mergeCell ref="E1:F1"/>
    <mergeCell ref="H1:I1"/>
    <mergeCell ref="K1:L1"/>
    <mergeCell ref="N1:O1"/>
  </mergeCells>
  <phoneticPr fontId="7"/>
  <conditionalFormatting sqref="B42:C47">
    <cfRule type="cellIs" dxfId="26" priority="21" stopIfTrue="1" operator="equal">
      <formula>""</formula>
    </cfRule>
  </conditionalFormatting>
  <conditionalFormatting sqref="B49:C54">
    <cfRule type="cellIs" dxfId="25" priority="17" stopIfTrue="1" operator="equal">
      <formula>""</formula>
    </cfRule>
  </conditionalFormatting>
  <conditionalFormatting sqref="B56:C61">
    <cfRule type="cellIs" dxfId="24" priority="16" stopIfTrue="1" operator="equal">
      <formula>""</formula>
    </cfRule>
  </conditionalFormatting>
  <conditionalFormatting sqref="B63:C68">
    <cfRule type="cellIs" dxfId="23" priority="15" stopIfTrue="1" operator="equal">
      <formula>""</formula>
    </cfRule>
  </conditionalFormatting>
  <conditionalFormatting sqref="C9:C10">
    <cfRule type="cellIs" dxfId="22" priority="81" stopIfTrue="1" operator="equal">
      <formula>""</formula>
    </cfRule>
  </conditionalFormatting>
  <conditionalFormatting sqref="C13">
    <cfRule type="cellIs" dxfId="21" priority="80" stopIfTrue="1" operator="equal">
      <formula>""</formula>
    </cfRule>
  </conditionalFormatting>
  <conditionalFormatting sqref="C16:C19">
    <cfRule type="cellIs" dxfId="20" priority="32" stopIfTrue="1" operator="equal">
      <formula>""</formula>
    </cfRule>
  </conditionalFormatting>
  <conditionalFormatting sqref="C39">
    <cfRule type="cellIs" dxfId="19" priority="76" stopIfTrue="1" operator="equal">
      <formula>""</formula>
    </cfRule>
  </conditionalFormatting>
  <conditionalFormatting sqref="E3:E5 H3:H5 K3:K5 N3:N5 Q3:Q5 T3:T5">
    <cfRule type="cellIs" dxfId="18" priority="22" stopIfTrue="1" operator="equal">
      <formula>""</formula>
    </cfRule>
  </conditionalFormatting>
  <conditionalFormatting sqref="E22:E25">
    <cfRule type="cellIs" dxfId="17" priority="31" stopIfTrue="1" operator="equal">
      <formula>""</formula>
    </cfRule>
  </conditionalFormatting>
  <conditionalFormatting sqref="E28:E35">
    <cfRule type="cellIs" dxfId="16" priority="77" stopIfTrue="1" operator="equal">
      <formula>""</formula>
    </cfRule>
  </conditionalFormatting>
  <conditionalFormatting sqref="H22:H25">
    <cfRule type="cellIs" dxfId="15" priority="14" stopIfTrue="1" operator="equal">
      <formula>""</formula>
    </cfRule>
  </conditionalFormatting>
  <conditionalFormatting sqref="H28:H35">
    <cfRule type="cellIs" dxfId="14" priority="7" stopIfTrue="1" operator="equal">
      <formula>""</formula>
    </cfRule>
  </conditionalFormatting>
  <conditionalFormatting sqref="K22:K25">
    <cfRule type="cellIs" dxfId="13" priority="13" stopIfTrue="1" operator="equal">
      <formula>""</formula>
    </cfRule>
  </conditionalFormatting>
  <conditionalFormatting sqref="K28:K35">
    <cfRule type="cellIs" dxfId="12" priority="6" stopIfTrue="1" operator="equal">
      <formula>""</formula>
    </cfRule>
  </conditionalFormatting>
  <conditionalFormatting sqref="N22:N25">
    <cfRule type="cellIs" dxfId="11" priority="12" stopIfTrue="1" operator="equal">
      <formula>""</formula>
    </cfRule>
  </conditionalFormatting>
  <conditionalFormatting sqref="N28:N35">
    <cfRule type="cellIs" dxfId="10" priority="5" stopIfTrue="1" operator="equal">
      <formula>""</formula>
    </cfRule>
  </conditionalFormatting>
  <conditionalFormatting sqref="Q22:Q25">
    <cfRule type="cellIs" dxfId="9" priority="11" stopIfTrue="1" operator="equal">
      <formula>""</formula>
    </cfRule>
  </conditionalFormatting>
  <conditionalFormatting sqref="Q28:Q35">
    <cfRule type="cellIs" dxfId="8" priority="4" stopIfTrue="1" operator="equal">
      <formula>""</formula>
    </cfRule>
  </conditionalFormatting>
  <conditionalFormatting sqref="T22:T25">
    <cfRule type="cellIs" dxfId="7" priority="10" stopIfTrue="1" operator="equal">
      <formula>""</formula>
    </cfRule>
  </conditionalFormatting>
  <conditionalFormatting sqref="T28:T35">
    <cfRule type="cellIs" dxfId="6" priority="3" stopIfTrue="1" operator="equal">
      <formula>""</formula>
    </cfRule>
  </conditionalFormatting>
  <pageMargins left="0.19685039370078741" right="0.19685039370078741" top="0.59055118110236227" bottom="0.78740157480314965" header="0.39370078740157483" footer="0.19685039370078741"/>
  <pageSetup paperSize="9" scale="60" orientation="landscape" horizontalDpi="4294967292" verticalDpi="4294967292"/>
  <headerFooter alignWithMargins="0"/>
  <cellWatches>
    <cellWatch r="Q97"/>
    <cellWatch r="Q126"/>
    <cellWatch r="Q124"/>
    <cellWatch r="N124"/>
    <cellWatch r="M124"/>
    <cellWatch r="Q85"/>
    <cellWatch r="Q87"/>
    <cellWatch r="Q127"/>
    <cellWatch r="Q119"/>
    <cellWatch r="P124"/>
    <cellWatch r="Q121"/>
    <cellWatch r="Q123"/>
    <cellWatch r="P126"/>
    <cellWatch r="P127"/>
    <cellWatch r="O127"/>
    <cellWatch r="Q122"/>
    <cellWatch r="Q112"/>
    <cellWatch r="Q110"/>
    <cellWatch r="N110"/>
    <cellWatch r="M110"/>
    <cellWatch r="Q70"/>
    <cellWatch r="Q125"/>
    <cellWatch r="Q86"/>
    <cellWatch r="Q88"/>
    <cellWatch r="Q128"/>
    <cellWatch r="Q71"/>
    <cellWatch r="Q129"/>
    <cellWatch r="Q100"/>
    <cellWatch r="Q98"/>
    <cellWatch r="N98"/>
    <cellWatch r="M98"/>
    <cellWatch r="Q73"/>
    <cellWatch r="Q151"/>
    <cellWatch r="Q186"/>
    <cellWatch r="Q142"/>
    <cellWatch r="S126"/>
    <cellWatch r="S124"/>
    <cellWatch r="O124"/>
    <cellWatch r="S85"/>
    <cellWatch r="S87"/>
    <cellWatch r="S127"/>
    <cellWatch r="S119"/>
    <cellWatch r="R124"/>
    <cellWatch r="S121"/>
    <cellWatch r="S123"/>
    <cellWatch r="P142"/>
    <cellWatch r="O126"/>
    <cellWatch r="Q147"/>
    <cellWatch r="Q200"/>
    <cellWatch r="Q164"/>
    <cellWatch r="Q69"/>
    <cellWatch r="Q80"/>
    <cellWatch r="Q120"/>
    <cellWatch r="Q81"/>
    <cellWatch r="Q118"/>
    <cellWatch r="N125"/>
    <cellWatch r="M125"/>
    <cellWatch r="P125"/>
    <cellWatch r="Q144"/>
    <cellWatch r="Q181"/>
    <cellWatch r="Q135"/>
  </cellWatch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rgb="FFFFFF00"/>
  </sheetPr>
  <dimension ref="A1:I106"/>
  <sheetViews>
    <sheetView showGridLines="0" showZeros="0" view="pageBreakPreview" zoomScale="110" zoomScaleNormal="80" zoomScaleSheetLayoutView="110" zoomScalePageLayoutView="80" workbookViewId="0">
      <pane ySplit="1" topLeftCell="A23" activePane="bottomLeft" state="frozen"/>
      <selection sqref="A1:D1"/>
      <selection pane="bottomLeft" activeCell="A45" sqref="A45"/>
    </sheetView>
  </sheetViews>
  <sheetFormatPr baseColWidth="10" defaultColWidth="11.3984375" defaultRowHeight="15"/>
  <cols>
    <col min="1" max="1" width="62" style="131" bestFit="1" customWidth="1"/>
    <col min="2" max="2" width="7.19921875" style="131" customWidth="1"/>
    <col min="3" max="3" width="4.19921875" style="134" customWidth="1"/>
    <col min="4" max="7" width="10" style="134" customWidth="1"/>
    <col min="8" max="9" width="4.59765625" style="131" customWidth="1"/>
    <col min="10" max="16384" width="11.3984375" style="131"/>
  </cols>
  <sheetData>
    <row r="1" spans="1:9" ht="33" customHeight="1">
      <c r="A1" s="581" t="s">
        <v>89</v>
      </c>
      <c r="B1" s="582"/>
      <c r="C1" s="130"/>
      <c r="D1" s="581" t="s">
        <v>642</v>
      </c>
      <c r="E1" s="582"/>
      <c r="F1" s="582"/>
      <c r="G1" s="582"/>
      <c r="H1" s="130"/>
      <c r="I1" s="130"/>
    </row>
    <row r="2" spans="1:9">
      <c r="A2" s="132"/>
      <c r="B2" s="132"/>
      <c r="C2" s="132"/>
      <c r="D2" s="133"/>
      <c r="E2" s="133"/>
    </row>
    <row r="3" spans="1:9" ht="12.75" customHeight="1">
      <c r="A3" s="135"/>
      <c r="B3" s="136"/>
      <c r="C3" s="136"/>
      <c r="D3" s="578" t="s">
        <v>90</v>
      </c>
      <c r="E3" s="579"/>
      <c r="F3" s="579"/>
      <c r="G3" s="580"/>
    </row>
    <row r="4" spans="1:9" ht="34">
      <c r="A4" s="137" t="s">
        <v>91</v>
      </c>
      <c r="B4" s="137" t="s">
        <v>92</v>
      </c>
      <c r="C4" s="137"/>
      <c r="D4" s="138" t="s">
        <v>515</v>
      </c>
      <c r="E4" s="139" t="s">
        <v>516</v>
      </c>
      <c r="F4" s="139" t="s">
        <v>517</v>
      </c>
      <c r="G4" s="139" t="s">
        <v>518</v>
      </c>
    </row>
    <row r="5" spans="1:9" ht="13" customHeight="1">
      <c r="A5" s="140" t="s">
        <v>94</v>
      </c>
      <c r="B5" s="140" t="s">
        <v>519</v>
      </c>
      <c r="C5" s="141"/>
      <c r="D5" s="142"/>
      <c r="E5" s="142"/>
      <c r="F5" s="142"/>
      <c r="G5" s="142"/>
    </row>
    <row r="6" spans="1:9" ht="17">
      <c r="A6" s="140" t="s">
        <v>95</v>
      </c>
      <c r="B6" s="140" t="s">
        <v>519</v>
      </c>
      <c r="C6" s="143"/>
      <c r="D6" s="144"/>
      <c r="E6" s="144"/>
      <c r="F6" s="144"/>
      <c r="G6" s="144"/>
    </row>
    <row r="7" spans="1:9" ht="17">
      <c r="A7" s="140" t="s">
        <v>96</v>
      </c>
      <c r="B7" s="140" t="s">
        <v>519</v>
      </c>
      <c r="C7" s="143"/>
      <c r="D7" s="144"/>
      <c r="E7" s="144"/>
      <c r="F7" s="144"/>
      <c r="G7" s="144"/>
    </row>
    <row r="8" spans="1:9" ht="17">
      <c r="A8" s="140" t="s">
        <v>97</v>
      </c>
      <c r="B8" s="140" t="s">
        <v>519</v>
      </c>
      <c r="C8" s="143"/>
      <c r="D8" s="144"/>
      <c r="E8" s="144"/>
      <c r="F8" s="144"/>
      <c r="G8" s="144"/>
    </row>
    <row r="9" spans="1:9" ht="17">
      <c r="A9" s="140" t="s">
        <v>194</v>
      </c>
      <c r="B9" s="140" t="s">
        <v>519</v>
      </c>
      <c r="C9" s="143"/>
      <c r="D9" s="144"/>
      <c r="E9" s="144"/>
      <c r="F9" s="144"/>
      <c r="G9" s="144"/>
    </row>
    <row r="10" spans="1:9" ht="17">
      <c r="A10" s="140" t="s">
        <v>98</v>
      </c>
      <c r="B10" s="140" t="s">
        <v>519</v>
      </c>
      <c r="C10" s="143"/>
      <c r="D10" s="144"/>
      <c r="E10" s="144"/>
      <c r="F10" s="144"/>
      <c r="G10" s="144"/>
    </row>
    <row r="11" spans="1:9" ht="17">
      <c r="A11" s="140" t="s">
        <v>81</v>
      </c>
      <c r="B11" s="140" t="s">
        <v>519</v>
      </c>
      <c r="C11" s="143"/>
      <c r="D11" s="144"/>
      <c r="E11" s="144"/>
      <c r="F11" s="144"/>
      <c r="G11" s="144"/>
    </row>
    <row r="12" spans="1:9" ht="17">
      <c r="A12" s="140" t="s">
        <v>99</v>
      </c>
      <c r="B12" s="140" t="s">
        <v>519</v>
      </c>
      <c r="C12" s="143"/>
      <c r="D12" s="144"/>
      <c r="E12" s="144"/>
      <c r="F12" s="144"/>
      <c r="G12" s="144"/>
    </row>
    <row r="13" spans="1:9" ht="17">
      <c r="A13" s="140" t="s">
        <v>100</v>
      </c>
      <c r="B13" s="140" t="s">
        <v>519</v>
      </c>
      <c r="C13" s="143"/>
      <c r="D13" s="144"/>
      <c r="E13" s="144"/>
      <c r="F13" s="144"/>
      <c r="G13" s="144"/>
    </row>
    <row r="14" spans="1:9" ht="17">
      <c r="A14" s="145" t="s">
        <v>101</v>
      </c>
      <c r="B14" s="140" t="s">
        <v>519</v>
      </c>
      <c r="C14" s="143"/>
      <c r="D14" s="144"/>
      <c r="E14" s="144"/>
      <c r="F14" s="144"/>
      <c r="G14" s="144"/>
    </row>
    <row r="15" spans="1:9" ht="17">
      <c r="A15" s="145" t="s">
        <v>102</v>
      </c>
      <c r="B15" s="140" t="s">
        <v>519</v>
      </c>
      <c r="C15" s="143"/>
      <c r="D15" s="144"/>
      <c r="E15" s="144"/>
      <c r="F15" s="144"/>
      <c r="G15" s="144"/>
    </row>
    <row r="16" spans="1:9" ht="17">
      <c r="A16" s="145" t="s">
        <v>103</v>
      </c>
      <c r="B16" s="140" t="s">
        <v>519</v>
      </c>
      <c r="C16" s="143"/>
      <c r="D16" s="144"/>
      <c r="E16" s="144"/>
      <c r="F16" s="144"/>
      <c r="G16" s="144"/>
    </row>
    <row r="17" spans="1:9" ht="17">
      <c r="A17" s="145" t="s">
        <v>104</v>
      </c>
      <c r="B17" s="140" t="s">
        <v>519</v>
      </c>
      <c r="C17" s="143"/>
      <c r="D17" s="144"/>
      <c r="E17" s="144"/>
      <c r="F17" s="144"/>
      <c r="G17" s="144"/>
    </row>
    <row r="18" spans="1:9" ht="17">
      <c r="A18" s="145" t="s">
        <v>105</v>
      </c>
      <c r="B18" s="140" t="s">
        <v>519</v>
      </c>
      <c r="C18" s="143"/>
      <c r="D18" s="144"/>
      <c r="E18" s="144"/>
      <c r="F18" s="144"/>
      <c r="G18" s="144"/>
    </row>
    <row r="19" spans="1:9" ht="17">
      <c r="A19" s="145" t="s">
        <v>106</v>
      </c>
      <c r="B19" s="140" t="s">
        <v>519</v>
      </c>
      <c r="C19" s="143"/>
      <c r="D19" s="144"/>
      <c r="E19" s="144"/>
      <c r="F19" s="144"/>
      <c r="G19" s="144"/>
    </row>
    <row r="20" spans="1:9" ht="17">
      <c r="A20" s="140" t="s">
        <v>107</v>
      </c>
      <c r="B20" s="140" t="s">
        <v>519</v>
      </c>
      <c r="C20" s="143"/>
      <c r="D20" s="144"/>
      <c r="E20" s="144"/>
      <c r="F20" s="144"/>
      <c r="G20" s="144"/>
      <c r="H20" s="146"/>
      <c r="I20" s="146"/>
    </row>
    <row r="21" spans="1:9" ht="17">
      <c r="A21" s="140" t="s">
        <v>108</v>
      </c>
      <c r="B21" s="140" t="s">
        <v>519</v>
      </c>
      <c r="C21" s="143"/>
      <c r="D21" s="144"/>
      <c r="E21" s="144"/>
      <c r="F21" s="144"/>
      <c r="G21" s="144"/>
    </row>
    <row r="22" spans="1:9" ht="17">
      <c r="A22" s="145" t="s">
        <v>109</v>
      </c>
      <c r="B22" s="140" t="s">
        <v>519</v>
      </c>
      <c r="C22" s="143"/>
      <c r="D22" s="144"/>
      <c r="E22" s="144"/>
      <c r="F22" s="144"/>
      <c r="G22" s="144"/>
    </row>
    <row r="23" spans="1:9" ht="17">
      <c r="A23" s="145" t="s">
        <v>110</v>
      </c>
      <c r="B23" s="140" t="s">
        <v>519</v>
      </c>
      <c r="C23" s="143"/>
      <c r="D23" s="144"/>
      <c r="E23" s="144"/>
      <c r="F23" s="144"/>
      <c r="G23" s="144"/>
    </row>
    <row r="24" spans="1:9" ht="17">
      <c r="A24" s="145" t="s">
        <v>111</v>
      </c>
      <c r="B24" s="140" t="s">
        <v>519</v>
      </c>
      <c r="C24" s="143"/>
      <c r="D24" s="144"/>
      <c r="E24" s="144"/>
      <c r="F24" s="144"/>
      <c r="G24" s="144"/>
    </row>
    <row r="25" spans="1:9" ht="17">
      <c r="A25" s="145" t="s">
        <v>112</v>
      </c>
      <c r="B25" s="140" t="s">
        <v>519</v>
      </c>
      <c r="C25" s="147"/>
      <c r="D25" s="148"/>
      <c r="E25" s="148"/>
      <c r="F25" s="148"/>
      <c r="G25" s="148"/>
    </row>
    <row r="26" spans="1:9">
      <c r="A26" s="89"/>
      <c r="B26" s="132"/>
      <c r="C26" s="132"/>
      <c r="D26" s="149"/>
      <c r="E26" s="149"/>
      <c r="F26" s="149"/>
      <c r="G26" s="149"/>
    </row>
    <row r="27" spans="1:9">
      <c r="A27" s="132"/>
      <c r="B27" s="132"/>
      <c r="C27" s="132"/>
      <c r="D27" s="133"/>
      <c r="E27" s="133"/>
    </row>
    <row r="28" spans="1:9" ht="32">
      <c r="A28" s="150" t="s">
        <v>113</v>
      </c>
      <c r="B28" s="151"/>
      <c r="C28" s="151"/>
      <c r="D28" s="151"/>
      <c r="E28" s="151"/>
      <c r="F28" s="151"/>
      <c r="G28" s="152"/>
    </row>
    <row r="29" spans="1:9" ht="16">
      <c r="A29" s="150" t="s">
        <v>114</v>
      </c>
      <c r="B29" s="151"/>
      <c r="C29" s="151"/>
      <c r="D29" s="151"/>
      <c r="E29" s="151"/>
      <c r="F29" s="151"/>
      <c r="G29" s="152"/>
    </row>
    <row r="30" spans="1:9">
      <c r="A30" s="84"/>
      <c r="B30" s="84"/>
      <c r="C30" s="84"/>
      <c r="D30" s="153"/>
      <c r="E30" s="153"/>
      <c r="F30" s="154"/>
      <c r="G30" s="154"/>
    </row>
    <row r="31" spans="1:9" ht="15" customHeight="1">
      <c r="A31" s="155"/>
      <c r="B31" s="156"/>
      <c r="C31" s="156"/>
      <c r="D31" s="578" t="s">
        <v>90</v>
      </c>
      <c r="E31" s="579"/>
      <c r="F31" s="579"/>
      <c r="G31" s="580"/>
    </row>
    <row r="32" spans="1:9" ht="48">
      <c r="A32" s="137" t="s">
        <v>91</v>
      </c>
      <c r="B32" s="137"/>
      <c r="C32" s="137"/>
      <c r="D32" s="138" t="s">
        <v>115</v>
      </c>
      <c r="E32" s="138" t="s">
        <v>116</v>
      </c>
      <c r="F32" s="138" t="s">
        <v>117</v>
      </c>
      <c r="G32" s="138" t="s">
        <v>118</v>
      </c>
    </row>
    <row r="33" spans="1:7" ht="13" customHeight="1">
      <c r="A33" s="157" t="s">
        <v>119</v>
      </c>
      <c r="B33" s="157" t="s">
        <v>120</v>
      </c>
      <c r="C33" s="158"/>
      <c r="D33" s="142"/>
      <c r="E33" s="142"/>
      <c r="F33" s="142"/>
      <c r="G33" s="142"/>
    </row>
    <row r="34" spans="1:7">
      <c r="A34" s="157" t="s">
        <v>121</v>
      </c>
      <c r="B34" s="157" t="s">
        <v>120</v>
      </c>
      <c r="C34" s="159"/>
      <c r="D34" s="144"/>
      <c r="E34" s="144"/>
      <c r="F34" s="144"/>
      <c r="G34" s="144"/>
    </row>
    <row r="35" spans="1:7">
      <c r="A35" s="157" t="s">
        <v>122</v>
      </c>
      <c r="B35" s="157" t="s">
        <v>120</v>
      </c>
      <c r="C35" s="159"/>
      <c r="D35" s="144"/>
      <c r="E35" s="144"/>
      <c r="F35" s="144"/>
      <c r="G35" s="144"/>
    </row>
    <row r="36" spans="1:7">
      <c r="A36" s="157" t="s">
        <v>123</v>
      </c>
      <c r="B36" s="157" t="s">
        <v>120</v>
      </c>
      <c r="C36" s="160"/>
      <c r="D36" s="148"/>
      <c r="E36" s="148"/>
      <c r="F36" s="148"/>
      <c r="G36" s="148"/>
    </row>
    <row r="37" spans="1:7">
      <c r="A37" s="161"/>
      <c r="B37" s="161"/>
      <c r="C37" s="161"/>
      <c r="D37" s="162"/>
      <c r="E37" s="163"/>
    </row>
    <row r="38" spans="1:7">
      <c r="A38" s="164"/>
      <c r="B38" s="165"/>
      <c r="C38" s="161"/>
      <c r="D38" s="162"/>
      <c r="E38" s="163"/>
    </row>
    <row r="39" spans="1:7" ht="16">
      <c r="A39" s="150" t="s">
        <v>124</v>
      </c>
      <c r="B39" s="151"/>
      <c r="C39" s="151"/>
      <c r="D39" s="151"/>
      <c r="E39" s="151"/>
      <c r="F39" s="151"/>
      <c r="G39" s="152"/>
    </row>
    <row r="40" spans="1:7" ht="15" customHeight="1">
      <c r="A40" s="166"/>
      <c r="B40" s="166"/>
      <c r="C40" s="166"/>
      <c r="D40" s="578" t="s">
        <v>90</v>
      </c>
      <c r="E40" s="579"/>
      <c r="F40" s="579"/>
      <c r="G40" s="580"/>
    </row>
    <row r="41" spans="1:7" ht="48">
      <c r="A41" s="137" t="s">
        <v>91</v>
      </c>
      <c r="B41" s="137"/>
      <c r="C41" s="137"/>
      <c r="D41" s="138" t="s">
        <v>125</v>
      </c>
      <c r="E41" s="138" t="s">
        <v>126</v>
      </c>
      <c r="F41" s="138" t="s">
        <v>127</v>
      </c>
      <c r="G41" s="138" t="s">
        <v>128</v>
      </c>
    </row>
    <row r="42" spans="1:7" ht="13" customHeight="1">
      <c r="A42" s="140" t="s">
        <v>130</v>
      </c>
      <c r="B42" s="140" t="s">
        <v>131</v>
      </c>
      <c r="C42" s="141"/>
      <c r="D42" s="142"/>
      <c r="E42" s="142"/>
      <c r="F42" s="142"/>
      <c r="G42" s="142"/>
    </row>
    <row r="43" spans="1:7">
      <c r="A43" s="140" t="s">
        <v>132</v>
      </c>
      <c r="B43" s="140" t="s">
        <v>131</v>
      </c>
      <c r="C43" s="143"/>
      <c r="D43" s="144"/>
      <c r="E43" s="144"/>
      <c r="F43" s="144"/>
      <c r="G43" s="144"/>
    </row>
    <row r="44" spans="1:7">
      <c r="A44" s="140" t="s">
        <v>133</v>
      </c>
      <c r="B44" s="140" t="s">
        <v>131</v>
      </c>
      <c r="C44" s="143"/>
      <c r="D44" s="144"/>
      <c r="E44" s="144"/>
      <c r="F44" s="144"/>
      <c r="G44" s="144"/>
    </row>
    <row r="45" spans="1:7">
      <c r="A45" s="140" t="s">
        <v>134</v>
      </c>
      <c r="B45" s="140" t="s">
        <v>131</v>
      </c>
      <c r="C45" s="143"/>
      <c r="D45" s="144"/>
      <c r="E45" s="144"/>
      <c r="F45" s="144"/>
      <c r="G45" s="144"/>
    </row>
    <row r="46" spans="1:7">
      <c r="A46" s="140" t="s">
        <v>135</v>
      </c>
      <c r="B46" s="140" t="s">
        <v>131</v>
      </c>
      <c r="C46" s="143"/>
      <c r="D46" s="144"/>
      <c r="E46" s="144"/>
      <c r="F46" s="144"/>
      <c r="G46" s="144"/>
    </row>
    <row r="47" spans="1:7">
      <c r="A47" s="140" t="s">
        <v>136</v>
      </c>
      <c r="B47" s="140" t="s">
        <v>131</v>
      </c>
      <c r="C47" s="143"/>
      <c r="D47" s="144"/>
      <c r="E47" s="144"/>
      <c r="F47" s="144"/>
      <c r="G47" s="144"/>
    </row>
    <row r="48" spans="1:7">
      <c r="A48" s="140" t="s">
        <v>137</v>
      </c>
      <c r="B48" s="140" t="s">
        <v>131</v>
      </c>
      <c r="C48" s="143"/>
      <c r="D48" s="144"/>
      <c r="E48" s="144"/>
      <c r="F48" s="144"/>
      <c r="G48" s="144"/>
    </row>
    <row r="49" spans="1:9">
      <c r="A49" s="167" t="s">
        <v>138</v>
      </c>
      <c r="B49" s="140" t="s">
        <v>131</v>
      </c>
      <c r="C49" s="143"/>
      <c r="D49" s="144"/>
      <c r="E49" s="144"/>
      <c r="F49" s="144"/>
      <c r="G49" s="144"/>
    </row>
    <row r="50" spans="1:9">
      <c r="A50" s="140" t="s">
        <v>139</v>
      </c>
      <c r="B50" s="140" t="s">
        <v>131</v>
      </c>
      <c r="C50" s="143"/>
      <c r="D50" s="144"/>
      <c r="E50" s="144"/>
      <c r="F50" s="144"/>
      <c r="G50" s="144"/>
    </row>
    <row r="51" spans="1:9">
      <c r="A51" s="140" t="s">
        <v>140</v>
      </c>
      <c r="B51" s="140" t="s">
        <v>131</v>
      </c>
      <c r="C51" s="143"/>
      <c r="D51" s="144"/>
      <c r="E51" s="144"/>
      <c r="F51" s="144"/>
      <c r="G51" s="144"/>
    </row>
    <row r="52" spans="1:9">
      <c r="A52" s="140" t="s">
        <v>141</v>
      </c>
      <c r="B52" s="140" t="s">
        <v>131</v>
      </c>
      <c r="C52" s="143"/>
      <c r="D52" s="144"/>
      <c r="E52" s="144"/>
      <c r="F52" s="144"/>
      <c r="G52" s="144"/>
    </row>
    <row r="53" spans="1:9">
      <c r="A53" s="140" t="s">
        <v>142</v>
      </c>
      <c r="B53" s="140" t="s">
        <v>131</v>
      </c>
      <c r="C53" s="143"/>
      <c r="D53" s="144"/>
      <c r="E53" s="144"/>
      <c r="F53" s="144"/>
      <c r="G53" s="144"/>
    </row>
    <row r="54" spans="1:9">
      <c r="A54" s="140" t="s">
        <v>143</v>
      </c>
      <c r="B54" s="140" t="s">
        <v>131</v>
      </c>
      <c r="C54" s="143"/>
      <c r="D54" s="144"/>
      <c r="E54" s="144"/>
      <c r="F54" s="144"/>
      <c r="G54" s="144"/>
    </row>
    <row r="55" spans="1:9">
      <c r="A55" s="140" t="s">
        <v>144</v>
      </c>
      <c r="B55" s="140" t="s">
        <v>131</v>
      </c>
      <c r="C55" s="147"/>
      <c r="D55" s="148"/>
      <c r="E55" s="148"/>
      <c r="F55" s="148"/>
      <c r="G55" s="148"/>
    </row>
    <row r="56" spans="1:9">
      <c r="C56" s="131"/>
    </row>
    <row r="57" spans="1:9">
      <c r="C57" s="131"/>
    </row>
    <row r="58" spans="1:9" ht="16">
      <c r="A58" s="150" t="s">
        <v>124</v>
      </c>
      <c r="B58" s="151"/>
      <c r="C58" s="151"/>
      <c r="D58" s="151"/>
      <c r="E58" s="151"/>
      <c r="F58" s="151"/>
      <c r="G58" s="152"/>
    </row>
    <row r="59" spans="1:9" ht="15" customHeight="1">
      <c r="A59" s="166"/>
      <c r="B59" s="166"/>
      <c r="C59" s="166"/>
      <c r="D59" s="578" t="s">
        <v>90</v>
      </c>
      <c r="E59" s="579"/>
      <c r="F59" s="579"/>
      <c r="G59" s="580"/>
    </row>
    <row r="60" spans="1:9" ht="32">
      <c r="A60" s="137" t="s">
        <v>91</v>
      </c>
      <c r="B60" s="137"/>
      <c r="C60" s="137"/>
      <c r="D60" s="138" t="s">
        <v>272</v>
      </c>
      <c r="E60" s="138" t="s">
        <v>273</v>
      </c>
      <c r="F60" s="138" t="s">
        <v>275</v>
      </c>
      <c r="G60" s="138" t="s">
        <v>274</v>
      </c>
    </row>
    <row r="61" spans="1:9" ht="13" customHeight="1">
      <c r="A61" s="140" t="s">
        <v>129</v>
      </c>
      <c r="B61" s="140" t="s">
        <v>519</v>
      </c>
      <c r="C61" s="141"/>
      <c r="D61" s="142"/>
      <c r="E61" s="142"/>
      <c r="F61" s="142"/>
      <c r="G61" s="142"/>
      <c r="H61" s="168"/>
      <c r="I61" s="168"/>
    </row>
    <row r="62" spans="1:9" ht="17">
      <c r="A62" s="140" t="s">
        <v>268</v>
      </c>
      <c r="B62" s="140" t="s">
        <v>519</v>
      </c>
      <c r="C62" s="143"/>
      <c r="D62" s="144"/>
      <c r="E62" s="144"/>
      <c r="F62" s="144"/>
      <c r="G62" s="144"/>
      <c r="H62" s="168"/>
      <c r="I62" s="168"/>
    </row>
    <row r="63" spans="1:9" ht="17">
      <c r="A63" s="140" t="s">
        <v>269</v>
      </c>
      <c r="B63" s="140" t="s">
        <v>519</v>
      </c>
      <c r="C63" s="143"/>
      <c r="D63" s="144"/>
      <c r="E63" s="144"/>
      <c r="F63" s="144"/>
      <c r="G63" s="144"/>
      <c r="H63" s="168"/>
      <c r="I63" s="168"/>
    </row>
    <row r="64" spans="1:9" ht="17">
      <c r="A64" s="140" t="s">
        <v>270</v>
      </c>
      <c r="B64" s="140" t="s">
        <v>519</v>
      </c>
      <c r="C64" s="143"/>
      <c r="D64" s="144"/>
      <c r="E64" s="144"/>
      <c r="F64" s="144"/>
      <c r="G64" s="144"/>
      <c r="H64" s="168"/>
      <c r="I64" s="168"/>
    </row>
    <row r="65" spans="1:9" ht="17">
      <c r="A65" s="140" t="s">
        <v>271</v>
      </c>
      <c r="B65" s="140" t="s">
        <v>519</v>
      </c>
      <c r="C65" s="147"/>
      <c r="D65" s="148"/>
      <c r="E65" s="148"/>
      <c r="F65" s="148"/>
      <c r="G65" s="148"/>
      <c r="H65" s="168"/>
      <c r="I65" s="168"/>
    </row>
    <row r="66" spans="1:9">
      <c r="C66" s="131"/>
    </row>
    <row r="67" spans="1:9">
      <c r="C67" s="131"/>
    </row>
    <row r="68" spans="1:9" ht="16">
      <c r="A68" s="150" t="s">
        <v>145</v>
      </c>
      <c r="B68" s="151"/>
      <c r="C68" s="151"/>
      <c r="D68" s="151"/>
      <c r="E68" s="151"/>
      <c r="F68" s="151"/>
      <c r="G68" s="152"/>
    </row>
    <row r="69" spans="1:9">
      <c r="C69" s="131"/>
    </row>
    <row r="70" spans="1:9" ht="32">
      <c r="A70" s="137" t="s">
        <v>146</v>
      </c>
      <c r="B70" s="167"/>
      <c r="C70" s="167"/>
      <c r="D70" s="169" t="s">
        <v>147</v>
      </c>
      <c r="E70" s="169" t="s">
        <v>148</v>
      </c>
      <c r="F70" s="169" t="s">
        <v>149</v>
      </c>
    </row>
    <row r="71" spans="1:9" ht="17">
      <c r="A71" s="167" t="s">
        <v>150</v>
      </c>
      <c r="B71" s="140" t="s">
        <v>519</v>
      </c>
      <c r="C71" s="141"/>
      <c r="D71" s="142"/>
      <c r="E71" s="142"/>
      <c r="F71" s="142"/>
      <c r="G71" s="170"/>
    </row>
    <row r="72" spans="1:9" ht="17">
      <c r="A72" s="167" t="s">
        <v>20</v>
      </c>
      <c r="B72" s="140" t="s">
        <v>519</v>
      </c>
      <c r="C72" s="143"/>
      <c r="D72" s="144"/>
      <c r="E72" s="144"/>
      <c r="F72" s="144"/>
      <c r="G72" s="170"/>
    </row>
    <row r="73" spans="1:9" ht="17">
      <c r="A73" s="167" t="s">
        <v>21</v>
      </c>
      <c r="B73" s="140" t="s">
        <v>519</v>
      </c>
      <c r="C73" s="143"/>
      <c r="D73" s="144"/>
      <c r="E73" s="144"/>
      <c r="F73" s="144"/>
      <c r="G73" s="170"/>
    </row>
    <row r="74" spans="1:9" ht="17">
      <c r="A74" s="140" t="s">
        <v>151</v>
      </c>
      <c r="B74" s="140" t="s">
        <v>519</v>
      </c>
      <c r="C74" s="143"/>
      <c r="D74" s="144"/>
      <c r="E74" s="144"/>
      <c r="F74" s="144"/>
      <c r="G74" s="170"/>
    </row>
    <row r="75" spans="1:9" ht="17">
      <c r="A75" s="140" t="s">
        <v>152</v>
      </c>
      <c r="B75" s="140" t="s">
        <v>519</v>
      </c>
      <c r="C75" s="143"/>
      <c r="D75" s="144"/>
      <c r="E75" s="144"/>
      <c r="F75" s="144"/>
      <c r="G75" s="170"/>
    </row>
    <row r="76" spans="1:9" ht="17">
      <c r="A76" s="167" t="s">
        <v>22</v>
      </c>
      <c r="B76" s="140" t="s">
        <v>520</v>
      </c>
      <c r="C76" s="143"/>
      <c r="D76" s="144"/>
      <c r="E76" s="144"/>
      <c r="F76" s="144"/>
      <c r="G76" s="170"/>
    </row>
    <row r="77" spans="1:9" ht="17">
      <c r="A77" s="167" t="s">
        <v>23</v>
      </c>
      <c r="B77" s="140" t="s">
        <v>520</v>
      </c>
      <c r="C77" s="143"/>
      <c r="D77" s="144"/>
      <c r="E77" s="144"/>
      <c r="F77" s="144"/>
      <c r="G77" s="170"/>
    </row>
    <row r="78" spans="1:9" ht="17">
      <c r="A78" s="167" t="s">
        <v>277</v>
      </c>
      <c r="B78" s="140" t="s">
        <v>520</v>
      </c>
      <c r="C78" s="143"/>
      <c r="D78" s="144"/>
      <c r="E78" s="144"/>
      <c r="F78" s="144"/>
      <c r="G78" s="170"/>
    </row>
    <row r="79" spans="1:9" ht="17">
      <c r="A79" s="167" t="s">
        <v>276</v>
      </c>
      <c r="B79" s="140" t="s">
        <v>520</v>
      </c>
      <c r="C79" s="143"/>
      <c r="D79" s="144"/>
      <c r="E79" s="144"/>
      <c r="F79" s="144"/>
      <c r="G79" s="170"/>
    </row>
    <row r="80" spans="1:9" ht="17">
      <c r="A80" s="167" t="s">
        <v>279</v>
      </c>
      <c r="B80" s="140" t="s">
        <v>519</v>
      </c>
      <c r="C80" s="143"/>
      <c r="D80" s="144"/>
      <c r="E80" s="144"/>
      <c r="F80" s="144"/>
      <c r="G80" s="170"/>
    </row>
    <row r="81" spans="1:7" ht="17">
      <c r="A81" s="167" t="s">
        <v>278</v>
      </c>
      <c r="B81" s="140" t="s">
        <v>519</v>
      </c>
      <c r="C81" s="143"/>
      <c r="D81" s="144"/>
      <c r="E81" s="144"/>
      <c r="F81" s="144"/>
      <c r="G81" s="170"/>
    </row>
    <row r="82" spans="1:7" ht="17">
      <c r="A82" s="167" t="s">
        <v>280</v>
      </c>
      <c r="B82" s="140" t="s">
        <v>519</v>
      </c>
      <c r="C82" s="143"/>
      <c r="D82" s="144"/>
      <c r="E82" s="144"/>
      <c r="F82" s="144"/>
      <c r="G82" s="170"/>
    </row>
    <row r="83" spans="1:7" ht="17">
      <c r="A83" s="167" t="s">
        <v>281</v>
      </c>
      <c r="B83" s="140" t="s">
        <v>519</v>
      </c>
      <c r="C83" s="143"/>
      <c r="D83" s="144"/>
      <c r="E83" s="144"/>
      <c r="F83" s="144"/>
      <c r="G83" s="170"/>
    </row>
    <row r="84" spans="1:7" ht="17">
      <c r="A84" s="167" t="s">
        <v>24</v>
      </c>
      <c r="B84" s="140" t="s">
        <v>519</v>
      </c>
      <c r="C84" s="143"/>
      <c r="D84" s="144"/>
      <c r="E84" s="144"/>
      <c r="F84" s="144"/>
      <c r="G84" s="170"/>
    </row>
    <row r="85" spans="1:7" ht="17">
      <c r="A85" s="167" t="s">
        <v>282</v>
      </c>
      <c r="B85" s="140" t="s">
        <v>519</v>
      </c>
      <c r="C85" s="143"/>
      <c r="D85" s="144"/>
      <c r="E85" s="144"/>
      <c r="F85" s="144"/>
      <c r="G85" s="170"/>
    </row>
    <row r="86" spans="1:7" ht="17">
      <c r="A86" s="140" t="s">
        <v>154</v>
      </c>
      <c r="B86" s="140" t="s">
        <v>520</v>
      </c>
      <c r="C86" s="143"/>
      <c r="D86" s="144"/>
      <c r="E86" s="144"/>
      <c r="F86" s="144"/>
    </row>
    <row r="87" spans="1:7" ht="17">
      <c r="A87" s="140" t="s">
        <v>153</v>
      </c>
      <c r="B87" s="140" t="s">
        <v>520</v>
      </c>
      <c r="C87" s="143"/>
      <c r="D87" s="144"/>
      <c r="E87" s="144"/>
      <c r="F87" s="144"/>
    </row>
    <row r="88" spans="1:7" ht="17">
      <c r="A88" s="140" t="s">
        <v>156</v>
      </c>
      <c r="B88" s="140" t="s">
        <v>520</v>
      </c>
      <c r="C88" s="143"/>
      <c r="D88" s="144"/>
      <c r="E88" s="144"/>
      <c r="F88" s="144"/>
    </row>
    <row r="89" spans="1:7" ht="17">
      <c r="A89" s="140" t="s">
        <v>155</v>
      </c>
      <c r="B89" s="140" t="s">
        <v>520</v>
      </c>
      <c r="C89" s="143"/>
      <c r="D89" s="144"/>
      <c r="E89" s="144"/>
      <c r="F89" s="144"/>
    </row>
    <row r="90" spans="1:7" ht="17">
      <c r="A90" s="140" t="s">
        <v>158</v>
      </c>
      <c r="B90" s="140" t="s">
        <v>520</v>
      </c>
      <c r="C90" s="143"/>
      <c r="D90" s="144"/>
      <c r="E90" s="144"/>
      <c r="F90" s="144"/>
    </row>
    <row r="91" spans="1:7" ht="17">
      <c r="A91" s="140" t="s">
        <v>157</v>
      </c>
      <c r="B91" s="140" t="s">
        <v>520</v>
      </c>
      <c r="C91" s="143"/>
      <c r="D91" s="144"/>
      <c r="E91" s="144"/>
      <c r="F91" s="144"/>
    </row>
    <row r="92" spans="1:7" ht="17">
      <c r="A92" s="140" t="s">
        <v>159</v>
      </c>
      <c r="B92" s="140" t="s">
        <v>519</v>
      </c>
      <c r="C92" s="147"/>
      <c r="D92" s="148"/>
      <c r="E92" s="148"/>
      <c r="F92" s="148"/>
    </row>
    <row r="93" spans="1:7">
      <c r="C93" s="131"/>
    </row>
    <row r="94" spans="1:7">
      <c r="C94" s="131"/>
    </row>
    <row r="95" spans="1:7">
      <c r="C95" s="131"/>
    </row>
    <row r="96" spans="1:7" ht="16">
      <c r="A96" s="150" t="s">
        <v>124</v>
      </c>
      <c r="B96" s="151"/>
      <c r="C96" s="151"/>
      <c r="D96" s="151"/>
      <c r="E96" s="151"/>
      <c r="F96" s="151"/>
      <c r="G96" s="152"/>
    </row>
    <row r="97" spans="1:7" ht="64">
      <c r="C97" s="131"/>
      <c r="D97" s="134" t="s">
        <v>90</v>
      </c>
    </row>
    <row r="98" spans="1:7" ht="48">
      <c r="A98" s="137" t="s">
        <v>91</v>
      </c>
      <c r="B98" s="137"/>
      <c r="C98" s="137"/>
      <c r="D98" s="138" t="s">
        <v>125</v>
      </c>
      <c r="E98" s="138" t="s">
        <v>126</v>
      </c>
      <c r="F98" s="138" t="s">
        <v>127</v>
      </c>
      <c r="G98" s="138" t="s">
        <v>128</v>
      </c>
    </row>
    <row r="99" spans="1:7" ht="17">
      <c r="A99" s="140" t="s">
        <v>160</v>
      </c>
      <c r="B99" s="140" t="s">
        <v>519</v>
      </c>
      <c r="C99" s="141"/>
      <c r="D99" s="142"/>
      <c r="E99" s="142"/>
      <c r="F99" s="142"/>
      <c r="G99" s="142"/>
    </row>
    <row r="100" spans="1:7" ht="17">
      <c r="A100" s="140" t="s">
        <v>161</v>
      </c>
      <c r="B100" s="140" t="s">
        <v>520</v>
      </c>
      <c r="C100" s="143"/>
      <c r="D100" s="144"/>
      <c r="E100" s="144"/>
      <c r="F100" s="144"/>
      <c r="G100" s="144"/>
    </row>
    <row r="101" spans="1:7" ht="17">
      <c r="A101" s="140" t="s">
        <v>162</v>
      </c>
      <c r="B101" s="140" t="s">
        <v>519</v>
      </c>
      <c r="C101" s="143"/>
      <c r="D101" s="144"/>
      <c r="E101" s="144"/>
      <c r="F101" s="144"/>
      <c r="G101" s="144"/>
    </row>
    <row r="102" spans="1:7" ht="17">
      <c r="A102" s="140" t="s">
        <v>163</v>
      </c>
      <c r="B102" s="140" t="s">
        <v>519</v>
      </c>
      <c r="C102" s="143"/>
      <c r="D102" s="144"/>
      <c r="E102" s="144"/>
      <c r="F102" s="144"/>
      <c r="G102" s="144"/>
    </row>
    <row r="103" spans="1:7" ht="17">
      <c r="A103" s="140" t="s">
        <v>164</v>
      </c>
      <c r="B103" s="140" t="s">
        <v>519</v>
      </c>
      <c r="C103" s="143"/>
      <c r="D103" s="144"/>
      <c r="E103" s="144"/>
      <c r="F103" s="144"/>
      <c r="G103" s="144"/>
    </row>
    <row r="104" spans="1:7">
      <c r="C104" s="131"/>
    </row>
    <row r="105" spans="1:7">
      <c r="C105" s="131"/>
    </row>
    <row r="106" spans="1:7">
      <c r="C106" s="131"/>
    </row>
  </sheetData>
  <mergeCells count="6">
    <mergeCell ref="D59:G59"/>
    <mergeCell ref="A1:B1"/>
    <mergeCell ref="D1:G1"/>
    <mergeCell ref="D3:G3"/>
    <mergeCell ref="D31:G31"/>
    <mergeCell ref="D40:G40"/>
  </mergeCells>
  <phoneticPr fontId="0" type="noConversion"/>
  <conditionalFormatting sqref="D71:F92">
    <cfRule type="cellIs" dxfId="5" priority="27" stopIfTrue="1" operator="equal">
      <formula>""</formula>
    </cfRule>
  </conditionalFormatting>
  <conditionalFormatting sqref="D5:G25">
    <cfRule type="cellIs" dxfId="4" priority="35" stopIfTrue="1" operator="equal">
      <formula>""</formula>
    </cfRule>
  </conditionalFormatting>
  <conditionalFormatting sqref="D33:G36">
    <cfRule type="cellIs" dxfId="3" priority="33" stopIfTrue="1" operator="equal">
      <formula>""</formula>
    </cfRule>
  </conditionalFormatting>
  <conditionalFormatting sqref="D42:G55">
    <cfRule type="cellIs" dxfId="2" priority="31" stopIfTrue="1" operator="equal">
      <formula>""</formula>
    </cfRule>
  </conditionalFormatting>
  <conditionalFormatting sqref="D61:G65">
    <cfRule type="cellIs" dxfId="1" priority="29" stopIfTrue="1" operator="equal">
      <formula>""</formula>
    </cfRule>
  </conditionalFormatting>
  <conditionalFormatting sqref="D99:G103">
    <cfRule type="cellIs" dxfId="0" priority="25" stopIfTrue="1" operator="equal">
      <formula>""</formula>
    </cfRule>
  </conditionalFormatting>
  <printOptions horizontalCentered="1"/>
  <pageMargins left="0.59055118110236204" right="0.59055118110236204" top="0.59055118110236204" bottom="0.78740157480314998" header="0.39370078740157499" footer="0.196850393700787"/>
  <pageSetup paperSize="9" scale="48" orientation="landscape" horizontalDpi="4294967292" verticalDpi="4294967292" r:id="rId1"/>
  <headerFooter alignWithMargins="0">
    <oddFooter>&amp;L&amp;"Verdana,Regular"&amp;F-&amp;A
Atir b.v. ©&amp;C&amp;R&amp;"Verdana,Regular"printversie &amp;D</oddFooter>
  </headerFooter>
  <rowBreaks count="2" manualBreakCount="2">
    <brk id="57" max="6" man="1"/>
    <brk id="66"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tabColor theme="2" tint="-9.9978637043366805E-2"/>
    <pageSetUpPr fitToPage="1"/>
  </sheetPr>
  <dimension ref="A1:G74"/>
  <sheetViews>
    <sheetView showGridLines="0" workbookViewId="0">
      <pane ySplit="1" topLeftCell="A2" activePane="bottomLeft" state="frozen"/>
      <selection activeCell="B1" sqref="B1"/>
      <selection pane="bottomLeft" activeCell="M85" sqref="M85"/>
    </sheetView>
  </sheetViews>
  <sheetFormatPr baseColWidth="10" defaultColWidth="11.3984375" defaultRowHeight="13"/>
  <cols>
    <col min="1" max="1" width="25.19921875" style="1" customWidth="1"/>
    <col min="2" max="2" width="16.59765625" style="1" bestFit="1" customWidth="1"/>
    <col min="3" max="3" width="8.3984375" style="1" customWidth="1"/>
    <col min="4" max="4" width="47.3984375" style="1" customWidth="1"/>
    <col min="5" max="16384" width="11.3984375" style="1"/>
  </cols>
  <sheetData>
    <row r="1" spans="1:4" ht="24.75" customHeight="1">
      <c r="A1" s="587" t="s">
        <v>192</v>
      </c>
      <c r="B1" s="588"/>
      <c r="C1" s="588"/>
      <c r="D1" s="588"/>
    </row>
    <row r="4" spans="1:4" ht="14">
      <c r="A4" s="2" t="s">
        <v>71</v>
      </c>
      <c r="B4" s="584" t="s">
        <v>198</v>
      </c>
      <c r="C4" s="585"/>
      <c r="D4" s="3" t="s">
        <v>243</v>
      </c>
    </row>
    <row r="5" spans="1:4">
      <c r="A5" s="8" t="s">
        <v>199</v>
      </c>
      <c r="B5" s="586" t="s">
        <v>88</v>
      </c>
      <c r="C5" s="586"/>
      <c r="D5" s="8" t="s">
        <v>52</v>
      </c>
    </row>
    <row r="6" spans="1:4">
      <c r="A6" s="9" t="s">
        <v>69</v>
      </c>
      <c r="B6" s="583" t="s">
        <v>196</v>
      </c>
      <c r="C6" s="583"/>
      <c r="D6" s="9" t="s">
        <v>244</v>
      </c>
    </row>
    <row r="7" spans="1:4">
      <c r="A7" s="9" t="s">
        <v>178</v>
      </c>
      <c r="B7" s="583" t="s">
        <v>196</v>
      </c>
      <c r="C7" s="583"/>
      <c r="D7" s="9" t="s">
        <v>81</v>
      </c>
    </row>
    <row r="8" spans="1:4">
      <c r="A8" s="9" t="s">
        <v>200</v>
      </c>
      <c r="B8" s="583" t="s">
        <v>196</v>
      </c>
      <c r="C8" s="583"/>
      <c r="D8" s="9" t="s">
        <v>244</v>
      </c>
    </row>
    <row r="9" spans="1:4">
      <c r="A9" s="9" t="s">
        <v>201</v>
      </c>
      <c r="B9" s="583" t="s">
        <v>196</v>
      </c>
      <c r="C9" s="583"/>
      <c r="D9" s="9" t="s">
        <v>244</v>
      </c>
    </row>
    <row r="10" spans="1:4">
      <c r="A10" s="9" t="s">
        <v>202</v>
      </c>
      <c r="B10" s="583" t="s">
        <v>196</v>
      </c>
      <c r="C10" s="583"/>
      <c r="D10" s="9" t="s">
        <v>81</v>
      </c>
    </row>
    <row r="11" spans="1:4">
      <c r="A11" s="9" t="s">
        <v>83</v>
      </c>
      <c r="B11" s="583" t="s">
        <v>195</v>
      </c>
      <c r="C11" s="583"/>
      <c r="D11" s="9" t="s">
        <v>261</v>
      </c>
    </row>
    <row r="12" spans="1:4">
      <c r="A12" s="9" t="s">
        <v>181</v>
      </c>
      <c r="B12" s="583" t="s">
        <v>197</v>
      </c>
      <c r="C12" s="583"/>
      <c r="D12" s="9"/>
    </row>
    <row r="13" spans="1:4">
      <c r="A13" s="9" t="s">
        <v>85</v>
      </c>
      <c r="B13" s="583" t="s">
        <v>196</v>
      </c>
      <c r="C13" s="583"/>
      <c r="D13" s="9" t="s">
        <v>81</v>
      </c>
    </row>
    <row r="14" spans="1:4">
      <c r="A14" s="9" t="s">
        <v>203</v>
      </c>
      <c r="B14" s="583" t="s">
        <v>197</v>
      </c>
      <c r="C14" s="583"/>
      <c r="D14" s="9" t="s">
        <v>264</v>
      </c>
    </row>
    <row r="15" spans="1:4">
      <c r="A15" s="9" t="s">
        <v>66</v>
      </c>
      <c r="B15" s="583" t="s">
        <v>196</v>
      </c>
      <c r="C15" s="583"/>
      <c r="D15" s="9" t="s">
        <v>81</v>
      </c>
    </row>
    <row r="16" spans="1:4">
      <c r="A16" s="9" t="s">
        <v>177</v>
      </c>
      <c r="B16" s="583" t="s">
        <v>196</v>
      </c>
      <c r="C16" s="583"/>
      <c r="D16" s="9" t="s">
        <v>244</v>
      </c>
    </row>
    <row r="17" spans="1:4">
      <c r="A17" s="9" t="s">
        <v>87</v>
      </c>
      <c r="B17" s="583" t="s">
        <v>195</v>
      </c>
      <c r="C17" s="583"/>
      <c r="D17" s="9" t="s">
        <v>261</v>
      </c>
    </row>
    <row r="18" spans="1:4">
      <c r="A18" s="9" t="s">
        <v>204</v>
      </c>
      <c r="B18" s="583" t="s">
        <v>195</v>
      </c>
      <c r="C18" s="583"/>
      <c r="D18" s="9" t="s">
        <v>261</v>
      </c>
    </row>
    <row r="19" spans="1:4">
      <c r="A19" s="9" t="s">
        <v>205</v>
      </c>
      <c r="B19" s="583" t="s">
        <v>195</v>
      </c>
      <c r="C19" s="583"/>
      <c r="D19" s="9" t="s">
        <v>261</v>
      </c>
    </row>
    <row r="20" spans="1:4">
      <c r="A20" s="9" t="s">
        <v>206</v>
      </c>
      <c r="B20" s="583" t="s">
        <v>195</v>
      </c>
      <c r="C20" s="583"/>
      <c r="D20" s="9" t="s">
        <v>261</v>
      </c>
    </row>
    <row r="21" spans="1:4">
      <c r="A21" s="9" t="s">
        <v>207</v>
      </c>
      <c r="B21" s="583" t="s">
        <v>195</v>
      </c>
      <c r="C21" s="583"/>
      <c r="D21" s="9" t="s">
        <v>261</v>
      </c>
    </row>
    <row r="22" spans="1:4">
      <c r="A22" s="9" t="s">
        <v>176</v>
      </c>
      <c r="B22" s="583" t="s">
        <v>196</v>
      </c>
      <c r="C22" s="583"/>
      <c r="D22" s="9" t="s">
        <v>81</v>
      </c>
    </row>
    <row r="23" spans="1:4">
      <c r="A23" s="9" t="s">
        <v>208</v>
      </c>
      <c r="B23" s="583" t="s">
        <v>196</v>
      </c>
      <c r="C23" s="583"/>
      <c r="D23" s="9" t="s">
        <v>244</v>
      </c>
    </row>
    <row r="24" spans="1:4">
      <c r="A24" s="9" t="s">
        <v>175</v>
      </c>
      <c r="B24" s="583" t="s">
        <v>196</v>
      </c>
      <c r="C24" s="583"/>
      <c r="D24" s="9" t="s">
        <v>262</v>
      </c>
    </row>
    <row r="25" spans="1:4">
      <c r="A25" s="9" t="s">
        <v>190</v>
      </c>
      <c r="B25" s="583" t="s">
        <v>196</v>
      </c>
      <c r="C25" s="583"/>
      <c r="D25" s="9" t="s">
        <v>262</v>
      </c>
    </row>
    <row r="26" spans="1:4">
      <c r="A26" s="9" t="s">
        <v>188</v>
      </c>
      <c r="B26" s="583" t="s">
        <v>196</v>
      </c>
      <c r="C26" s="583"/>
      <c r="D26" s="9" t="s">
        <v>262</v>
      </c>
    </row>
    <row r="27" spans="1:4">
      <c r="A27" s="9" t="s">
        <v>191</v>
      </c>
      <c r="B27" s="583" t="s">
        <v>197</v>
      </c>
      <c r="C27" s="583"/>
      <c r="D27" s="9" t="s">
        <v>52</v>
      </c>
    </row>
    <row r="28" spans="1:4">
      <c r="A28" s="9" t="s">
        <v>184</v>
      </c>
      <c r="B28" s="583" t="s">
        <v>195</v>
      </c>
      <c r="C28" s="583"/>
      <c r="D28" s="9" t="s">
        <v>52</v>
      </c>
    </row>
    <row r="29" spans="1:4">
      <c r="A29" s="9" t="s">
        <v>64</v>
      </c>
      <c r="B29" s="583" t="s">
        <v>195</v>
      </c>
      <c r="C29" s="583"/>
      <c r="D29" s="9" t="s">
        <v>261</v>
      </c>
    </row>
    <row r="30" spans="1:4">
      <c r="A30" s="9" t="s">
        <v>209</v>
      </c>
      <c r="B30" s="583" t="s">
        <v>195</v>
      </c>
      <c r="C30" s="583"/>
      <c r="D30" s="9" t="s">
        <v>261</v>
      </c>
    </row>
    <row r="31" spans="1:4">
      <c r="A31" s="9" t="s">
        <v>210</v>
      </c>
      <c r="B31" s="583" t="s">
        <v>195</v>
      </c>
      <c r="C31" s="583"/>
      <c r="D31" s="9" t="s">
        <v>261</v>
      </c>
    </row>
    <row r="32" spans="1:4">
      <c r="A32" s="9" t="s">
        <v>211</v>
      </c>
      <c r="B32" s="583" t="s">
        <v>195</v>
      </c>
      <c r="C32" s="583"/>
      <c r="D32" s="9" t="s">
        <v>261</v>
      </c>
    </row>
    <row r="33" spans="1:4">
      <c r="A33" s="9" t="s">
        <v>212</v>
      </c>
      <c r="B33" s="583" t="s">
        <v>195</v>
      </c>
      <c r="C33" s="583"/>
      <c r="D33" s="9" t="s">
        <v>261</v>
      </c>
    </row>
    <row r="34" spans="1:4">
      <c r="A34" s="9" t="s">
        <v>213</v>
      </c>
      <c r="B34" s="583" t="s">
        <v>195</v>
      </c>
      <c r="C34" s="583"/>
      <c r="D34" s="9" t="s">
        <v>261</v>
      </c>
    </row>
    <row r="35" spans="1:4">
      <c r="A35" s="9" t="s">
        <v>214</v>
      </c>
      <c r="B35" s="583" t="s">
        <v>195</v>
      </c>
      <c r="C35" s="583"/>
      <c r="D35" s="9" t="s">
        <v>261</v>
      </c>
    </row>
    <row r="36" spans="1:4">
      <c r="A36" s="9" t="s">
        <v>182</v>
      </c>
      <c r="B36" s="583" t="s">
        <v>195</v>
      </c>
      <c r="C36" s="583"/>
      <c r="D36" s="9" t="s">
        <v>261</v>
      </c>
    </row>
    <row r="37" spans="1:4">
      <c r="A37" s="9" t="s">
        <v>186</v>
      </c>
      <c r="B37" s="583" t="s">
        <v>195</v>
      </c>
      <c r="C37" s="583"/>
      <c r="D37" s="9" t="s">
        <v>261</v>
      </c>
    </row>
    <row r="38" spans="1:4">
      <c r="A38" s="9" t="s">
        <v>185</v>
      </c>
      <c r="B38" s="583" t="s">
        <v>196</v>
      </c>
      <c r="C38" s="583"/>
      <c r="D38" s="9" t="s">
        <v>81</v>
      </c>
    </row>
    <row r="39" spans="1:4">
      <c r="A39" s="9" t="s">
        <v>88</v>
      </c>
      <c r="B39" s="583" t="s">
        <v>88</v>
      </c>
      <c r="C39" s="583"/>
      <c r="D39" s="9" t="s">
        <v>52</v>
      </c>
    </row>
    <row r="40" spans="1:4">
      <c r="A40" s="9" t="s">
        <v>67</v>
      </c>
      <c r="B40" s="583" t="s">
        <v>196</v>
      </c>
      <c r="C40" s="583"/>
      <c r="D40" s="9" t="s">
        <v>81</v>
      </c>
    </row>
    <row r="41" spans="1:4">
      <c r="A41" s="9" t="s">
        <v>179</v>
      </c>
      <c r="B41" s="583" t="s">
        <v>88</v>
      </c>
      <c r="C41" s="583"/>
      <c r="D41" s="9" t="s">
        <v>52</v>
      </c>
    </row>
    <row r="42" spans="1:4">
      <c r="A42" s="9" t="s">
        <v>68</v>
      </c>
      <c r="B42" s="583" t="s">
        <v>196</v>
      </c>
      <c r="C42" s="583"/>
      <c r="D42" s="9" t="s">
        <v>81</v>
      </c>
    </row>
    <row r="43" spans="1:4">
      <c r="A43" s="9" t="s">
        <v>215</v>
      </c>
      <c r="B43" s="583" t="s">
        <v>196</v>
      </c>
      <c r="C43" s="583"/>
      <c r="D43" s="9" t="s">
        <v>81</v>
      </c>
    </row>
    <row r="44" spans="1:4">
      <c r="A44" s="9" t="s">
        <v>187</v>
      </c>
      <c r="B44" s="583" t="s">
        <v>196</v>
      </c>
      <c r="C44" s="583"/>
      <c r="D44" s="9" t="s">
        <v>244</v>
      </c>
    </row>
    <row r="45" spans="1:4">
      <c r="A45" s="9" t="s">
        <v>84</v>
      </c>
      <c r="B45" s="583" t="s">
        <v>196</v>
      </c>
      <c r="C45" s="583"/>
      <c r="D45" s="9" t="s">
        <v>81</v>
      </c>
    </row>
    <row r="46" spans="1:4">
      <c r="A46" s="9" t="s">
        <v>174</v>
      </c>
      <c r="B46" s="583" t="s">
        <v>196</v>
      </c>
      <c r="C46" s="583"/>
      <c r="D46" s="9" t="s">
        <v>81</v>
      </c>
    </row>
    <row r="47" spans="1:4">
      <c r="A47" s="9" t="s">
        <v>216</v>
      </c>
      <c r="B47" s="583" t="s">
        <v>195</v>
      </c>
      <c r="C47" s="583"/>
      <c r="D47" s="9" t="s">
        <v>262</v>
      </c>
    </row>
    <row r="48" spans="1:4">
      <c r="A48" s="9" t="s">
        <v>183</v>
      </c>
      <c r="B48" s="583" t="s">
        <v>195</v>
      </c>
      <c r="C48" s="583"/>
      <c r="D48" s="9" t="s">
        <v>262</v>
      </c>
    </row>
    <row r="49" spans="1:7">
      <c r="A49" s="9" t="s">
        <v>217</v>
      </c>
      <c r="B49" s="583" t="s">
        <v>195</v>
      </c>
      <c r="C49" s="583"/>
      <c r="D49" s="9" t="s">
        <v>262</v>
      </c>
    </row>
    <row r="50" spans="1:7">
      <c r="A50" s="9" t="s">
        <v>218</v>
      </c>
      <c r="B50" s="583" t="s">
        <v>195</v>
      </c>
      <c r="C50" s="583"/>
      <c r="D50" s="9" t="s">
        <v>262</v>
      </c>
    </row>
    <row r="51" spans="1:7">
      <c r="A51" s="9" t="s">
        <v>219</v>
      </c>
      <c r="B51" s="583" t="s">
        <v>195</v>
      </c>
      <c r="C51" s="583"/>
      <c r="D51" s="9" t="s">
        <v>262</v>
      </c>
    </row>
    <row r="52" spans="1:7">
      <c r="A52" s="9" t="s">
        <v>180</v>
      </c>
      <c r="B52" s="583" t="s">
        <v>196</v>
      </c>
      <c r="C52" s="583"/>
      <c r="D52" s="9" t="s">
        <v>81</v>
      </c>
    </row>
    <row r="53" spans="1:7">
      <c r="A53" s="9" t="s">
        <v>220</v>
      </c>
      <c r="B53" s="583" t="s">
        <v>196</v>
      </c>
      <c r="C53" s="583"/>
      <c r="D53" s="9" t="s">
        <v>81</v>
      </c>
    </row>
    <row r="54" spans="1:7">
      <c r="A54" s="9" t="s">
        <v>65</v>
      </c>
      <c r="B54" s="583" t="s">
        <v>197</v>
      </c>
      <c r="C54" s="583"/>
      <c r="D54" s="9" t="s">
        <v>263</v>
      </c>
    </row>
    <row r="55" spans="1:7">
      <c r="A55" s="9" t="s">
        <v>221</v>
      </c>
      <c r="B55" s="583" t="s">
        <v>197</v>
      </c>
      <c r="C55" s="583"/>
      <c r="D55" s="9" t="s">
        <v>263</v>
      </c>
    </row>
    <row r="56" spans="1:7">
      <c r="A56" s="9" t="s">
        <v>189</v>
      </c>
      <c r="B56" s="583" t="s">
        <v>197</v>
      </c>
      <c r="C56" s="583"/>
      <c r="D56" s="9" t="s">
        <v>263</v>
      </c>
    </row>
    <row r="57" spans="1:7">
      <c r="A57" s="9" t="s">
        <v>222</v>
      </c>
      <c r="B57" s="583" t="s">
        <v>197</v>
      </c>
      <c r="C57" s="583"/>
      <c r="D57" s="9" t="s">
        <v>263</v>
      </c>
    </row>
    <row r="58" spans="1:7">
      <c r="A58" s="9" t="s">
        <v>223</v>
      </c>
      <c r="B58" s="583" t="s">
        <v>197</v>
      </c>
      <c r="C58" s="583"/>
      <c r="D58" s="9" t="s">
        <v>263</v>
      </c>
    </row>
    <row r="59" spans="1:7">
      <c r="A59" s="10" t="s">
        <v>224</v>
      </c>
      <c r="B59" s="590" t="s">
        <v>196</v>
      </c>
      <c r="C59" s="590"/>
      <c r="D59" s="10" t="s">
        <v>81</v>
      </c>
    </row>
    <row r="62" spans="1:7" ht="36" customHeight="1">
      <c r="A62" s="6" t="s">
        <v>245</v>
      </c>
      <c r="B62" s="589" t="s">
        <v>265</v>
      </c>
      <c r="C62" s="589"/>
      <c r="D62" s="589"/>
      <c r="G62" s="7"/>
    </row>
    <row r="63" spans="1:7">
      <c r="A63" s="587" t="s">
        <v>258</v>
      </c>
      <c r="B63" s="588"/>
      <c r="C63" s="588"/>
      <c r="D63" s="588"/>
    </row>
    <row r="64" spans="1:7" ht="42.75" customHeight="1">
      <c r="A64" s="4" t="s">
        <v>246</v>
      </c>
      <c r="B64" s="589" t="s">
        <v>247</v>
      </c>
      <c r="C64" s="589"/>
      <c r="D64" s="589"/>
    </row>
    <row r="65" spans="1:4" ht="44.25" customHeight="1">
      <c r="A65" s="4" t="s">
        <v>248</v>
      </c>
      <c r="B65" s="589" t="s">
        <v>249</v>
      </c>
      <c r="C65" s="589"/>
      <c r="D65" s="589"/>
    </row>
    <row r="66" spans="1:4" ht="44.25" customHeight="1">
      <c r="A66" s="4" t="s">
        <v>250</v>
      </c>
      <c r="B66" s="589" t="s">
        <v>251</v>
      </c>
      <c r="C66" s="589"/>
      <c r="D66" s="589"/>
    </row>
    <row r="67" spans="1:4">
      <c r="A67" s="587" t="s">
        <v>259</v>
      </c>
      <c r="B67" s="588"/>
      <c r="C67" s="588"/>
      <c r="D67" s="588"/>
    </row>
    <row r="68" spans="1:4" ht="44.25" customHeight="1">
      <c r="A68" s="4" t="s">
        <v>246</v>
      </c>
      <c r="B68" s="589" t="s">
        <v>252</v>
      </c>
      <c r="C68" s="589"/>
      <c r="D68" s="589"/>
    </row>
    <row r="69" spans="1:4" ht="44.25" customHeight="1">
      <c r="A69" s="4" t="s">
        <v>248</v>
      </c>
      <c r="B69" s="589" t="s">
        <v>253</v>
      </c>
      <c r="C69" s="589"/>
      <c r="D69" s="589"/>
    </row>
    <row r="70" spans="1:4" ht="44.25" customHeight="1">
      <c r="A70" s="4" t="s">
        <v>250</v>
      </c>
      <c r="B70" s="589" t="s">
        <v>254</v>
      </c>
      <c r="C70" s="589"/>
      <c r="D70" s="589"/>
    </row>
    <row r="71" spans="1:4">
      <c r="A71" s="587" t="s">
        <v>260</v>
      </c>
      <c r="B71" s="588"/>
      <c r="C71" s="588"/>
      <c r="D71" s="588"/>
    </row>
    <row r="72" spans="1:4" ht="44.25" customHeight="1">
      <c r="A72" s="5" t="s">
        <v>246</v>
      </c>
      <c r="B72" s="589" t="s">
        <v>255</v>
      </c>
      <c r="C72" s="589"/>
      <c r="D72" s="589"/>
    </row>
    <row r="73" spans="1:4" ht="44.25" customHeight="1">
      <c r="A73" s="5" t="s">
        <v>248</v>
      </c>
      <c r="B73" s="589" t="s">
        <v>256</v>
      </c>
      <c r="C73" s="589"/>
      <c r="D73" s="589"/>
    </row>
    <row r="74" spans="1:4" ht="44.25" customHeight="1">
      <c r="A74" s="5" t="s">
        <v>250</v>
      </c>
      <c r="B74" s="589" t="s">
        <v>257</v>
      </c>
      <c r="C74" s="589"/>
      <c r="D74" s="589"/>
    </row>
  </sheetData>
  <autoFilter ref="A4:D59" xr:uid="{00000000-0009-0000-0000-00000C000000}">
    <filterColumn colId="1" showButton="0"/>
  </autoFilter>
  <mergeCells count="70">
    <mergeCell ref="B72:D72"/>
    <mergeCell ref="B73:D73"/>
    <mergeCell ref="B74:D74"/>
    <mergeCell ref="A63:D63"/>
    <mergeCell ref="A67:D67"/>
    <mergeCell ref="A71:D71"/>
    <mergeCell ref="B64:D64"/>
    <mergeCell ref="B65:D65"/>
    <mergeCell ref="B66:D66"/>
    <mergeCell ref="B68:D68"/>
    <mergeCell ref="B70:D70"/>
    <mergeCell ref="B56:C56"/>
    <mergeCell ref="B57:C57"/>
    <mergeCell ref="B46:C46"/>
    <mergeCell ref="B47:C47"/>
    <mergeCell ref="B69:D69"/>
    <mergeCell ref="B58:C58"/>
    <mergeCell ref="B59:C59"/>
    <mergeCell ref="B48:C48"/>
    <mergeCell ref="B49:C49"/>
    <mergeCell ref="B50:C50"/>
    <mergeCell ref="B51:C51"/>
    <mergeCell ref="A1:D1"/>
    <mergeCell ref="B62:D62"/>
    <mergeCell ref="B52:C52"/>
    <mergeCell ref="B53:C53"/>
    <mergeCell ref="B54:C54"/>
    <mergeCell ref="B55:C55"/>
    <mergeCell ref="B28:C28"/>
    <mergeCell ref="B45:C45"/>
    <mergeCell ref="B34:C34"/>
    <mergeCell ref="B35:C35"/>
    <mergeCell ref="B36:C36"/>
    <mergeCell ref="B37:C37"/>
    <mergeCell ref="B38:C38"/>
    <mergeCell ref="B39:C39"/>
    <mergeCell ref="B40:C40"/>
    <mergeCell ref="B41:C41"/>
    <mergeCell ref="B14:C14"/>
    <mergeCell ref="B43:C43"/>
    <mergeCell ref="B44:C44"/>
    <mergeCell ref="B33:C33"/>
    <mergeCell ref="B42:C42"/>
    <mergeCell ref="B21:C21"/>
    <mergeCell ref="B27:C27"/>
    <mergeCell ref="B29:C29"/>
    <mergeCell ref="B30:C30"/>
    <mergeCell ref="B31:C31"/>
    <mergeCell ref="B32:C32"/>
    <mergeCell ref="B22:C22"/>
    <mergeCell ref="B23:C23"/>
    <mergeCell ref="B24:C24"/>
    <mergeCell ref="B25:C25"/>
    <mergeCell ref="B26:C26"/>
    <mergeCell ref="B20:C20"/>
    <mergeCell ref="B9:C9"/>
    <mergeCell ref="B4:C4"/>
    <mergeCell ref="B5:C5"/>
    <mergeCell ref="B6:C6"/>
    <mergeCell ref="B7:C7"/>
    <mergeCell ref="B8:C8"/>
    <mergeCell ref="B15:C15"/>
    <mergeCell ref="B16:C16"/>
    <mergeCell ref="B17:C17"/>
    <mergeCell ref="B18:C18"/>
    <mergeCell ref="B19:C19"/>
    <mergeCell ref="B10:C10"/>
    <mergeCell ref="B11:C11"/>
    <mergeCell ref="B12:C12"/>
    <mergeCell ref="B13:C13"/>
  </mergeCells>
  <phoneticPr fontId="0" type="noConversion"/>
  <pageMargins left="0.70866141732283472" right="0.70866141732283472" top="0.74803149606299213" bottom="0.74803149606299213" header="0.31496062992125984" footer="0.31496062992125984"/>
  <pageSetup paperSize="9" scale="58" orientation="portrait"/>
  <cellWatches>
    <cellWatch r="Q110"/>
    <cellWatch r="Q107"/>
    <cellWatch r="P110"/>
    <cellWatch r="Q113"/>
    <cellWatch r="S71"/>
    <cellWatch r="S110"/>
    <cellWatch r="S108"/>
    <cellWatch r="S112"/>
    <cellWatch r="S107"/>
    <cellWatch r="S56"/>
    <cellWatch r="S113"/>
    <cellWatch r="S73"/>
    <cellWatch r="S105"/>
    <cellWatch r="S111"/>
    <cellWatch r="S72"/>
    <cellWatch r="S109"/>
    <cellWatch r="Q71"/>
    <cellWatch r="Q108"/>
    <cellWatch r="Q73"/>
    <cellWatch r="Q105"/>
    <cellWatch r="Q111"/>
    <cellWatch r="Q72"/>
    <cellWatch r="Q109"/>
    <cellWatch r="Q112"/>
    <cellWatch r="Q56"/>
    <cellWatch r="P112"/>
    <cellWatch r="P113"/>
    <cellWatch r="O113"/>
    <cellWatch r="Q74"/>
    <cellWatch r="Q114"/>
    <cellWatch r="Q57"/>
    <cellWatch r="Q115"/>
    <cellWatch r="Q77"/>
    <cellWatch r="Q76"/>
    <cellWatch r="Q55"/>
  </cellWatch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2B40-7E40-4783-8B1F-FE46DF747832}">
  <sheetPr>
    <tabColor theme="2" tint="-9.9978637043366805E-2"/>
    <pageSetUpPr fitToPage="1"/>
  </sheetPr>
  <dimension ref="A1:D43"/>
  <sheetViews>
    <sheetView view="pageLayout" topLeftCell="A20" zoomScaleNormal="150" workbookViewId="0">
      <selection activeCell="G46" sqref="G46"/>
    </sheetView>
  </sheetViews>
  <sheetFormatPr baseColWidth="10" defaultColWidth="9" defaultRowHeight="14"/>
  <cols>
    <col min="1" max="1" width="19.3984375" style="316" customWidth="1"/>
    <col min="2" max="2" width="23.59765625" style="316" customWidth="1"/>
    <col min="3" max="3" width="20.59765625" style="316" customWidth="1"/>
    <col min="4" max="4" width="52.59765625" style="316" customWidth="1"/>
    <col min="5" max="16384" width="9" style="316"/>
  </cols>
  <sheetData>
    <row r="1" spans="1:4" ht="35" customHeight="1">
      <c r="A1" s="314" t="s">
        <v>582</v>
      </c>
      <c r="B1" s="315" t="s">
        <v>93</v>
      </c>
      <c r="C1" s="315" t="s">
        <v>545</v>
      </c>
      <c r="D1" s="315" t="s">
        <v>583</v>
      </c>
    </row>
    <row r="2" spans="1:4" ht="20" customHeight="1">
      <c r="A2" s="524" t="s">
        <v>594</v>
      </c>
      <c r="B2" s="525" t="s">
        <v>584</v>
      </c>
      <c r="C2" s="526" t="s">
        <v>585</v>
      </c>
      <c r="D2" s="317" t="s">
        <v>586</v>
      </c>
    </row>
    <row r="3" spans="1:4" ht="20" customHeight="1">
      <c r="A3" s="524"/>
      <c r="B3" s="525"/>
      <c r="C3" s="526"/>
      <c r="D3" s="318" t="s">
        <v>587</v>
      </c>
    </row>
    <row r="4" spans="1:4" ht="20" customHeight="1">
      <c r="A4" s="524"/>
      <c r="B4" s="525"/>
      <c r="C4" s="526"/>
      <c r="D4" s="318" t="s">
        <v>588</v>
      </c>
    </row>
    <row r="5" spans="1:4" ht="20" customHeight="1">
      <c r="A5" s="524"/>
      <c r="B5" s="525"/>
      <c r="C5" s="526"/>
      <c r="D5" s="318" t="s">
        <v>589</v>
      </c>
    </row>
    <row r="6" spans="1:4" ht="20" customHeight="1">
      <c r="A6" s="524"/>
      <c r="B6" s="525"/>
      <c r="C6" s="526"/>
      <c r="D6" s="318" t="s">
        <v>598</v>
      </c>
    </row>
    <row r="7" spans="1:4" ht="20" customHeight="1">
      <c r="A7" s="524"/>
      <c r="B7" s="525"/>
      <c r="C7" s="526"/>
      <c r="D7" s="318" t="s">
        <v>590</v>
      </c>
    </row>
    <row r="8" spans="1:4" ht="20" customHeight="1">
      <c r="A8" s="524"/>
      <c r="B8" s="525"/>
      <c r="C8" s="526"/>
      <c r="D8" s="318" t="s">
        <v>591</v>
      </c>
    </row>
    <row r="9" spans="1:4" ht="20" customHeight="1">
      <c r="A9" s="524"/>
      <c r="B9" s="525"/>
      <c r="C9" s="526"/>
      <c r="D9" s="318" t="s">
        <v>592</v>
      </c>
    </row>
    <row r="10" spans="1:4" ht="20" customHeight="1">
      <c r="A10" s="524"/>
      <c r="B10" s="525"/>
      <c r="C10" s="526"/>
      <c r="D10" s="318" t="s">
        <v>593</v>
      </c>
    </row>
    <row r="11" spans="1:4" ht="36" customHeight="1">
      <c r="A11" s="524"/>
      <c r="B11" s="525"/>
      <c r="C11" s="526"/>
      <c r="D11" s="324" t="s">
        <v>636</v>
      </c>
    </row>
    <row r="12" spans="1:4" ht="10" customHeight="1">
      <c r="A12" s="319"/>
      <c r="B12" s="320"/>
      <c r="C12" s="321"/>
      <c r="D12" s="322"/>
    </row>
    <row r="13" spans="1:4" ht="20" customHeight="1">
      <c r="A13" s="527" t="s">
        <v>560</v>
      </c>
      <c r="B13" s="528" t="s">
        <v>595</v>
      </c>
      <c r="C13" s="323" t="s">
        <v>585</v>
      </c>
      <c r="D13" s="323" t="s">
        <v>596</v>
      </c>
    </row>
    <row r="14" spans="1:4" ht="60">
      <c r="A14" s="527" t="s">
        <v>565</v>
      </c>
      <c r="B14" s="528"/>
      <c r="C14" s="324" t="s">
        <v>597</v>
      </c>
      <c r="D14" s="324" t="s">
        <v>605</v>
      </c>
    </row>
    <row r="15" spans="1:4" ht="30">
      <c r="A15" s="527" t="s">
        <v>580</v>
      </c>
      <c r="B15" s="528"/>
      <c r="C15" s="324" t="s">
        <v>599</v>
      </c>
      <c r="D15" s="324" t="s">
        <v>600</v>
      </c>
    </row>
    <row r="16" spans="1:4" ht="30">
      <c r="A16" s="527" t="s">
        <v>581</v>
      </c>
      <c r="B16" s="528"/>
      <c r="C16" s="324" t="s">
        <v>601</v>
      </c>
      <c r="D16" s="324" t="s">
        <v>602</v>
      </c>
    </row>
    <row r="17" spans="1:4" ht="45">
      <c r="A17" s="527" t="s">
        <v>579</v>
      </c>
      <c r="B17" s="528"/>
      <c r="C17" s="325" t="s">
        <v>603</v>
      </c>
      <c r="D17" s="325" t="s">
        <v>604</v>
      </c>
    </row>
    <row r="18" spans="1:4" ht="10" customHeight="1">
      <c r="A18" s="319"/>
      <c r="B18" s="320"/>
      <c r="C18" s="321"/>
      <c r="D18" s="322"/>
    </row>
    <row r="19" spans="1:4" ht="20" customHeight="1">
      <c r="A19" s="529" t="s">
        <v>565</v>
      </c>
      <c r="B19" s="530" t="s">
        <v>606</v>
      </c>
      <c r="C19" s="323" t="s">
        <v>585</v>
      </c>
      <c r="D19" s="323" t="s">
        <v>596</v>
      </c>
    </row>
    <row r="20" spans="1:4" ht="30">
      <c r="A20" s="529"/>
      <c r="B20" s="530"/>
      <c r="C20" s="324" t="s">
        <v>597</v>
      </c>
      <c r="D20" s="324" t="s">
        <v>613</v>
      </c>
    </row>
    <row r="21" spans="1:4" ht="20" customHeight="1">
      <c r="A21" s="529"/>
      <c r="B21" s="530"/>
      <c r="C21" s="324" t="s">
        <v>603</v>
      </c>
      <c r="D21" s="324" t="s">
        <v>607</v>
      </c>
    </row>
    <row r="22" spans="1:4" ht="20" customHeight="1">
      <c r="A22" s="529"/>
      <c r="B22" s="530"/>
      <c r="C22" s="326" t="s">
        <v>608</v>
      </c>
      <c r="D22" s="326" t="s">
        <v>609</v>
      </c>
    </row>
    <row r="23" spans="1:4" ht="20" customHeight="1">
      <c r="A23" s="529"/>
      <c r="B23" s="530"/>
      <c r="C23" s="326" t="s">
        <v>610</v>
      </c>
      <c r="D23" s="326" t="s">
        <v>611</v>
      </c>
    </row>
    <row r="24" spans="1:4" ht="30">
      <c r="A24" s="529"/>
      <c r="B24" s="530"/>
      <c r="C24" s="327" t="s">
        <v>612</v>
      </c>
      <c r="D24" s="325" t="s">
        <v>620</v>
      </c>
    </row>
    <row r="25" spans="1:4" ht="10" customHeight="1">
      <c r="A25" s="319"/>
      <c r="B25" s="320"/>
      <c r="C25" s="321"/>
      <c r="D25" s="322"/>
    </row>
    <row r="26" spans="1:4" ht="20" customHeight="1">
      <c r="A26" s="532" t="s">
        <v>614</v>
      </c>
      <c r="B26" s="328"/>
      <c r="C26" s="329" t="s">
        <v>585</v>
      </c>
      <c r="D26" s="329" t="s">
        <v>596</v>
      </c>
    </row>
    <row r="27" spans="1:4" ht="20" customHeight="1">
      <c r="A27" s="533"/>
      <c r="B27" s="531" t="s">
        <v>615</v>
      </c>
      <c r="C27" s="531" t="s">
        <v>608</v>
      </c>
      <c r="D27" s="330" t="s">
        <v>616</v>
      </c>
    </row>
    <row r="28" spans="1:4" ht="20" customHeight="1">
      <c r="A28" s="533"/>
      <c r="B28" s="531"/>
      <c r="C28" s="531"/>
      <c r="D28" s="327" t="s">
        <v>618</v>
      </c>
    </row>
    <row r="29" spans="1:4" ht="45">
      <c r="A29" s="534"/>
      <c r="B29" s="328" t="s">
        <v>614</v>
      </c>
      <c r="C29" s="331" t="s">
        <v>608</v>
      </c>
      <c r="D29" s="332" t="s">
        <v>617</v>
      </c>
    </row>
    <row r="30" spans="1:4" ht="10" customHeight="1">
      <c r="A30" s="319"/>
      <c r="B30" s="320"/>
      <c r="C30" s="321"/>
      <c r="D30" s="322"/>
    </row>
    <row r="31" spans="1:4" ht="20" customHeight="1">
      <c r="A31" s="538" t="s">
        <v>619</v>
      </c>
      <c r="B31" s="328"/>
      <c r="C31" s="329" t="s">
        <v>585</v>
      </c>
      <c r="D31" s="329" t="s">
        <v>596</v>
      </c>
    </row>
    <row r="32" spans="1:4" ht="20" customHeight="1">
      <c r="A32" s="539"/>
      <c r="B32" s="535" t="s">
        <v>581</v>
      </c>
      <c r="C32" s="333" t="s">
        <v>597</v>
      </c>
      <c r="D32" s="333" t="s">
        <v>621</v>
      </c>
    </row>
    <row r="33" spans="1:4" ht="20" customHeight="1">
      <c r="A33" s="539"/>
      <c r="B33" s="536"/>
      <c r="C33" s="326" t="s">
        <v>608</v>
      </c>
      <c r="D33" s="326" t="s">
        <v>621</v>
      </c>
    </row>
    <row r="34" spans="1:4" ht="30">
      <c r="A34" s="539"/>
      <c r="B34" s="537"/>
      <c r="C34" s="325" t="s">
        <v>603</v>
      </c>
      <c r="D34" s="334" t="s">
        <v>623</v>
      </c>
    </row>
    <row r="35" spans="1:4" ht="20" customHeight="1">
      <c r="A35" s="540"/>
      <c r="B35" s="331" t="s">
        <v>579</v>
      </c>
      <c r="C35" s="331" t="s">
        <v>597</v>
      </c>
      <c r="D35" s="331" t="s">
        <v>622</v>
      </c>
    </row>
    <row r="36" spans="1:4" ht="10" customHeight="1">
      <c r="A36" s="319"/>
      <c r="B36" s="320"/>
      <c r="C36" s="321"/>
      <c r="D36" s="322"/>
    </row>
    <row r="37" spans="1:4" ht="20" customHeight="1">
      <c r="A37" s="520" t="s">
        <v>624</v>
      </c>
      <c r="B37" s="522" t="s">
        <v>625</v>
      </c>
      <c r="C37" s="323" t="s">
        <v>585</v>
      </c>
      <c r="D37" s="323" t="s">
        <v>596</v>
      </c>
    </row>
    <row r="38" spans="1:4" ht="60">
      <c r="A38" s="521"/>
      <c r="B38" s="523"/>
      <c r="C38" s="326" t="s">
        <v>627</v>
      </c>
      <c r="D38" s="335" t="s">
        <v>628</v>
      </c>
    </row>
    <row r="39" spans="1:4" ht="45">
      <c r="A39" s="521"/>
      <c r="B39" s="523"/>
      <c r="C39" s="326" t="s">
        <v>626</v>
      </c>
      <c r="D39" s="335" t="s">
        <v>629</v>
      </c>
    </row>
    <row r="40" spans="1:4" ht="60">
      <c r="A40" s="521"/>
      <c r="B40" s="523"/>
      <c r="C40" s="327" t="s">
        <v>630</v>
      </c>
      <c r="D40" s="336" t="s">
        <v>631</v>
      </c>
    </row>
    <row r="41" spans="1:4" ht="10" customHeight="1">
      <c r="A41" s="319"/>
      <c r="B41" s="320"/>
      <c r="C41" s="321"/>
      <c r="D41" s="322"/>
    </row>
    <row r="42" spans="1:4" ht="20" customHeight="1">
      <c r="A42" s="337" t="s">
        <v>632</v>
      </c>
      <c r="B42" s="316" t="s">
        <v>633</v>
      </c>
      <c r="C42" s="316" t="s">
        <v>634</v>
      </c>
      <c r="D42" s="338" t="s">
        <v>635</v>
      </c>
    </row>
    <row r="43" spans="1:4" ht="10" customHeight="1">
      <c r="A43" s="319"/>
      <c r="B43" s="320"/>
      <c r="C43" s="321"/>
      <c r="D43" s="322"/>
    </row>
  </sheetData>
  <mergeCells count="14">
    <mergeCell ref="A37:A40"/>
    <mergeCell ref="B37:B40"/>
    <mergeCell ref="A2:A11"/>
    <mergeCell ref="B2:B11"/>
    <mergeCell ref="C2:C11"/>
    <mergeCell ref="A13:A17"/>
    <mergeCell ref="B13:B17"/>
    <mergeCell ref="A19:A24"/>
    <mergeCell ref="B19:B24"/>
    <mergeCell ref="C27:C28"/>
    <mergeCell ref="B27:B28"/>
    <mergeCell ref="A26:A29"/>
    <mergeCell ref="B32:B34"/>
    <mergeCell ref="A31:A35"/>
  </mergeCells>
  <pageMargins left="0.7" right="0.7"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98D4-5FBB-4D0B-A2BB-E54A7DAE529D}">
  <sheetPr>
    <tabColor theme="2" tint="-9.9978637043366805E-2"/>
  </sheetPr>
  <dimension ref="A1:W3"/>
  <sheetViews>
    <sheetView topLeftCell="F1" zoomScaleNormal="100" zoomScaleSheetLayoutView="100" workbookViewId="0">
      <pane ySplit="3" topLeftCell="A4" activePane="bottomLeft" state="frozen"/>
      <selection activeCell="G46" sqref="G46"/>
      <selection pane="bottomLeft" activeCell="G46" sqref="G46"/>
    </sheetView>
  </sheetViews>
  <sheetFormatPr baseColWidth="10" defaultColWidth="9.19921875" defaultRowHeight="15"/>
  <cols>
    <col min="1" max="1" width="6.796875" style="26" bestFit="1" customWidth="1"/>
    <col min="2" max="2" width="24.3984375" style="26" customWidth="1"/>
    <col min="3" max="4" width="12.3984375" style="26" bestFit="1" customWidth="1"/>
    <col min="5" max="5" width="53.3984375" style="26" customWidth="1"/>
    <col min="6" max="6" width="51.19921875" style="26" bestFit="1" customWidth="1"/>
    <col min="7" max="7" width="13.59765625" style="26" customWidth="1"/>
    <col min="8" max="8" width="17.19921875" style="26" customWidth="1"/>
    <col min="9" max="9" width="12" style="26" customWidth="1"/>
    <col min="10" max="10" width="14.19921875" style="26" customWidth="1"/>
    <col min="11" max="11" width="17.19921875" style="26" customWidth="1"/>
    <col min="12" max="12" width="14" style="26" customWidth="1"/>
    <col min="13" max="13" width="13" style="26" customWidth="1"/>
    <col min="14" max="14" width="16.3984375" style="47" customWidth="1"/>
    <col min="15" max="15" width="11.19921875" style="26" customWidth="1"/>
    <col min="16" max="16" width="22.796875" style="26" bestFit="1" customWidth="1"/>
    <col min="17" max="17" width="11.3984375" style="26" customWidth="1"/>
    <col min="18" max="18" width="12.19921875" style="26" bestFit="1" customWidth="1"/>
    <col min="19" max="19" width="10.59765625" style="26" customWidth="1"/>
    <col min="20" max="20" width="12.3984375" style="26" bestFit="1" customWidth="1"/>
    <col min="21" max="21" width="15.59765625" style="26" bestFit="1" customWidth="1"/>
    <col min="22" max="22" width="15" style="66" customWidth="1"/>
    <col min="23" max="23" width="17.59765625" style="66" bestFit="1" customWidth="1"/>
    <col min="24" max="16384" width="9.19921875" style="26"/>
  </cols>
  <sheetData>
    <row r="1" spans="1:23" ht="48">
      <c r="A1" s="25" t="s">
        <v>430</v>
      </c>
      <c r="B1" s="25" t="s">
        <v>431</v>
      </c>
      <c r="C1" s="25" t="s">
        <v>432</v>
      </c>
      <c r="D1" s="25" t="s">
        <v>433</v>
      </c>
      <c r="E1" s="25" t="s">
        <v>434</v>
      </c>
      <c r="F1" s="25" t="s">
        <v>62</v>
      </c>
      <c r="G1" s="543" t="s">
        <v>435</v>
      </c>
      <c r="H1" s="544"/>
      <c r="I1" s="544"/>
      <c r="J1" s="545" t="s">
        <v>436</v>
      </c>
      <c r="K1" s="546"/>
      <c r="L1" s="546"/>
      <c r="M1" s="547" t="s">
        <v>437</v>
      </c>
      <c r="N1" s="548"/>
      <c r="O1" s="549"/>
      <c r="P1" s="341" t="s">
        <v>465</v>
      </c>
      <c r="Q1" s="27" t="s">
        <v>453</v>
      </c>
      <c r="R1" s="28" t="s">
        <v>438</v>
      </c>
      <c r="S1" s="27" t="s">
        <v>454</v>
      </c>
      <c r="T1" s="29" t="s">
        <v>439</v>
      </c>
      <c r="U1" s="541" t="s">
        <v>440</v>
      </c>
      <c r="V1" s="542"/>
      <c r="W1" s="542"/>
    </row>
    <row r="2" spans="1:23" ht="16" thickBot="1">
      <c r="A2" s="30"/>
      <c r="B2" s="30"/>
      <c r="C2" s="30" t="s">
        <v>441</v>
      </c>
      <c r="D2" s="30" t="s">
        <v>442</v>
      </c>
      <c r="E2" s="30"/>
      <c r="F2" s="30" t="s">
        <v>443</v>
      </c>
      <c r="G2" s="550" t="s">
        <v>444</v>
      </c>
      <c r="H2" s="551"/>
      <c r="I2" s="552"/>
      <c r="J2" s="553" t="s">
        <v>444</v>
      </c>
      <c r="K2" s="554"/>
      <c r="L2" s="555"/>
      <c r="M2" s="550" t="s">
        <v>444</v>
      </c>
      <c r="N2" s="551"/>
      <c r="O2" s="552"/>
      <c r="P2" s="341"/>
      <c r="Q2" s="31"/>
      <c r="R2" s="32"/>
      <c r="S2" s="33"/>
      <c r="T2" s="34">
        <v>365</v>
      </c>
      <c r="U2" s="35" t="s">
        <v>639</v>
      </c>
      <c r="V2" s="339"/>
      <c r="W2" s="340">
        <f>SUMIF(Q:Q,$U$2,U:U)</f>
        <v>0</v>
      </c>
    </row>
    <row r="3" spans="1:23" ht="17">
      <c r="A3" s="36"/>
      <c r="B3" s="36"/>
      <c r="C3" s="36"/>
      <c r="D3" s="36"/>
      <c r="E3" s="37"/>
      <c r="F3" s="37"/>
      <c r="G3" s="38" t="s">
        <v>514</v>
      </c>
      <c r="H3" s="39" t="s">
        <v>445</v>
      </c>
      <c r="I3" s="40" t="s">
        <v>446</v>
      </c>
      <c r="J3" s="41" t="s">
        <v>447</v>
      </c>
      <c r="K3" s="42" t="s">
        <v>445</v>
      </c>
      <c r="L3" s="43" t="s">
        <v>446</v>
      </c>
      <c r="M3" s="44" t="s">
        <v>447</v>
      </c>
      <c r="N3" s="45" t="s">
        <v>445</v>
      </c>
      <c r="O3" s="46" t="s">
        <v>446</v>
      </c>
      <c r="P3" s="341" t="s">
        <v>465</v>
      </c>
      <c r="Q3" s="346" t="s">
        <v>455</v>
      </c>
      <c r="R3" s="347" t="s">
        <v>441</v>
      </c>
      <c r="S3" s="348" t="s">
        <v>448</v>
      </c>
      <c r="T3" s="349"/>
      <c r="U3" s="350" t="s">
        <v>444</v>
      </c>
      <c r="V3" s="351" t="s">
        <v>564</v>
      </c>
      <c r="W3" s="351" t="s">
        <v>446</v>
      </c>
    </row>
  </sheetData>
  <autoFilter ref="A3:W3" xr:uid="{0B3798D4-5FBB-4D0B-A2BB-E54A7DAE529D}"/>
  <mergeCells count="7">
    <mergeCell ref="U1:W1"/>
    <mergeCell ref="G1:I1"/>
    <mergeCell ref="J1:L1"/>
    <mergeCell ref="M1:O1"/>
    <mergeCell ref="G2:I2"/>
    <mergeCell ref="J2:L2"/>
    <mergeCell ref="M2:O2"/>
  </mergeCells>
  <phoneticPr fontId="38" type="noConversion"/>
  <pageMargins left="0.7" right="0.7" top="0.75" bottom="0.75" header="0.3" footer="0.3"/>
  <pageSetup paperSize="9" scale="1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C000"/>
    <pageSetUpPr fitToPage="1"/>
  </sheetPr>
  <dimension ref="A1:K20"/>
  <sheetViews>
    <sheetView showGridLines="0" showZeros="0" zoomScale="130" zoomScaleNormal="130" zoomScalePageLayoutView="90" workbookViewId="0">
      <pane ySplit="1" topLeftCell="A2" activePane="bottomLeft" state="frozen"/>
      <selection pane="bottomLeft" activeCell="I20" sqref="I20"/>
    </sheetView>
  </sheetViews>
  <sheetFormatPr baseColWidth="10" defaultColWidth="8.59765625" defaultRowHeight="12"/>
  <cols>
    <col min="1" max="1" width="7.19921875" style="296" customWidth="1"/>
    <col min="2" max="2" width="36.3984375" style="278" customWidth="1"/>
    <col min="3" max="3" width="11.3984375" style="281" customWidth="1"/>
    <col min="4" max="4" width="14.3984375" style="281" customWidth="1"/>
    <col min="5" max="5" width="12.59765625" style="309" bestFit="1" customWidth="1"/>
    <col min="6" max="6" width="10.59765625" style="313" customWidth="1"/>
    <col min="7" max="7" width="11.3984375" style="278" customWidth="1"/>
    <col min="8" max="8" width="15" style="309" customWidth="1"/>
    <col min="9" max="10" width="18" style="289" customWidth="1"/>
    <col min="11" max="11" width="12.796875" style="278" bestFit="1" customWidth="1"/>
    <col min="12" max="16384" width="8.59765625" style="278"/>
  </cols>
  <sheetData>
    <row r="1" spans="1:11" s="277" customFormat="1" ht="45" customHeight="1">
      <c r="A1" s="295" t="s">
        <v>504</v>
      </c>
      <c r="B1" s="284" t="s">
        <v>512</v>
      </c>
      <c r="C1" s="287" t="s">
        <v>424</v>
      </c>
      <c r="D1" s="287" t="s">
        <v>552</v>
      </c>
      <c r="E1" s="311" t="s">
        <v>563</v>
      </c>
      <c r="F1" s="312" t="s">
        <v>554</v>
      </c>
      <c r="G1" s="286" t="s">
        <v>553</v>
      </c>
      <c r="H1" s="308" t="s">
        <v>562</v>
      </c>
      <c r="I1" s="288" t="s">
        <v>738</v>
      </c>
      <c r="J1" s="310" t="s">
        <v>555</v>
      </c>
      <c r="K1" s="285" t="s">
        <v>541</v>
      </c>
    </row>
    <row r="2" spans="1:11" s="277" customFormat="1" ht="22" customHeight="1">
      <c r="A2" s="432" t="s">
        <v>645</v>
      </c>
      <c r="B2" s="432" t="s">
        <v>646</v>
      </c>
      <c r="C2" s="433">
        <f>SUMIF('4-Basis ruimtestaat'!A:A,'1-Totaaloverzicht'!A2,'4-Basis ruimtestaat'!I:I)</f>
        <v>113.44999999999997</v>
      </c>
      <c r="D2" s="433">
        <f>SUMIF('4-Basis ruimtestaat'!A:A,'1-Totaaloverzicht'!A2,'4-Basis ruimtestaat'!M:M)</f>
        <v>0</v>
      </c>
      <c r="E2" s="434">
        <f>VLOOKUP(A2,'4a-KST'!A:E,5,FALSE)</f>
        <v>52</v>
      </c>
      <c r="F2" s="435">
        <f>SUMIF('4-Basis ruimtestaat'!A:A,'1-Totaaloverzicht'!A2,'4-Basis ruimtestaat'!Q:Q)</f>
        <v>0</v>
      </c>
      <c r="G2" s="436">
        <f>H2*'2-Tarieven'!$B$28</f>
        <v>0</v>
      </c>
      <c r="H2" s="437">
        <f t="shared" ref="H2:H12" si="0">D2+E2+F2</f>
        <v>52</v>
      </c>
      <c r="I2" s="438">
        <f>H2*'2-Tarieven'!$I$14</f>
        <v>0</v>
      </c>
      <c r="J2" s="438">
        <f>G2*'2-Tarieven'!$I$28</f>
        <v>0</v>
      </c>
      <c r="K2" s="439">
        <f>SUM(I2:J2)</f>
        <v>0</v>
      </c>
    </row>
    <row r="3" spans="1:11" s="277" customFormat="1" ht="22" customHeight="1">
      <c r="A3" s="431" t="s">
        <v>649</v>
      </c>
      <c r="B3" s="431" t="s">
        <v>650</v>
      </c>
      <c r="C3" s="440">
        <f>SUMIF('4-Basis ruimtestaat'!A:A,'1-Totaaloverzicht'!A3,'4-Basis ruimtestaat'!I:I)</f>
        <v>1478.53</v>
      </c>
      <c r="D3" s="440">
        <f>SUMIF('4-Basis ruimtestaat'!A:A,'1-Totaaloverzicht'!A3,'4-Basis ruimtestaat'!M:M)</f>
        <v>0</v>
      </c>
      <c r="E3" s="354">
        <f>VLOOKUP(A3,'4a-KST'!A:E,5,FALSE)</f>
        <v>0</v>
      </c>
      <c r="F3" s="353">
        <f>SUMIF('4-Basis ruimtestaat'!A:A,'1-Totaaloverzicht'!A3,'4-Basis ruimtestaat'!Q:Q)</f>
        <v>0</v>
      </c>
      <c r="G3" s="441">
        <f>H3*'2-Tarieven'!$B$28</f>
        <v>0</v>
      </c>
      <c r="H3" s="355">
        <f t="shared" si="0"/>
        <v>0</v>
      </c>
      <c r="I3" s="442">
        <f>H3*'2-Tarieven'!$I$14</f>
        <v>0</v>
      </c>
      <c r="J3" s="442">
        <f>G3*'2-Tarieven'!$I$28</f>
        <v>0</v>
      </c>
      <c r="K3" s="443">
        <f t="shared" ref="K3:K12" si="1">SUM(I3:J3)</f>
        <v>0</v>
      </c>
    </row>
    <row r="4" spans="1:11" s="292" customFormat="1" ht="22" customHeight="1">
      <c r="A4" s="431" t="s">
        <v>654</v>
      </c>
      <c r="B4" s="431" t="s">
        <v>655</v>
      </c>
      <c r="C4" s="353">
        <f>SUMIF('4-Basis ruimtestaat'!A:A,'1-Totaaloverzicht'!A4,'4-Basis ruimtestaat'!I:I)</f>
        <v>2440.09</v>
      </c>
      <c r="D4" s="353">
        <f>SUMIF('4-Basis ruimtestaat'!A:A,'1-Totaaloverzicht'!A4,'4-Basis ruimtestaat'!M:M)</f>
        <v>0</v>
      </c>
      <c r="E4" s="354">
        <f>VLOOKUP(A4,'4a-KST'!A:E,5,FALSE)</f>
        <v>0</v>
      </c>
      <c r="F4" s="353">
        <f>SUMIF('4-Basis ruimtestaat'!A:A,'1-Totaaloverzicht'!A4,'4-Basis ruimtestaat'!Q:Q)</f>
        <v>0</v>
      </c>
      <c r="G4" s="441">
        <f>H4*'2-Tarieven'!$B$28</f>
        <v>0</v>
      </c>
      <c r="H4" s="355">
        <f t="shared" si="0"/>
        <v>0</v>
      </c>
      <c r="I4" s="442">
        <f>H4*'2-Tarieven'!$I$14</f>
        <v>0</v>
      </c>
      <c r="J4" s="442">
        <f>G4*'2-Tarieven'!$I$28</f>
        <v>0</v>
      </c>
      <c r="K4" s="443">
        <f t="shared" si="1"/>
        <v>0</v>
      </c>
    </row>
    <row r="5" spans="1:11" s="292" customFormat="1" ht="22" customHeight="1">
      <c r="A5" s="431" t="s">
        <v>664</v>
      </c>
      <c r="B5" s="431" t="s">
        <v>665</v>
      </c>
      <c r="C5" s="353">
        <f>SUMIF('4-Basis ruimtestaat'!A:A,'1-Totaaloverzicht'!A5,'4-Basis ruimtestaat'!I:I)</f>
        <v>1489.72</v>
      </c>
      <c r="D5" s="353">
        <f>SUMIF('4-Basis ruimtestaat'!A:A,'1-Totaaloverzicht'!A5,'4-Basis ruimtestaat'!M:M)</f>
        <v>0</v>
      </c>
      <c r="E5" s="354">
        <f>VLOOKUP(A5,'4a-KST'!A:E,5,FALSE)</f>
        <v>0</v>
      </c>
      <c r="F5" s="353">
        <f>SUMIF('4-Basis ruimtestaat'!A:A,'1-Totaaloverzicht'!A5,'4-Basis ruimtestaat'!Q:Q)</f>
        <v>0</v>
      </c>
      <c r="G5" s="441">
        <f>H5*'2-Tarieven'!$B$28</f>
        <v>0</v>
      </c>
      <c r="H5" s="355">
        <f t="shared" si="0"/>
        <v>0</v>
      </c>
      <c r="I5" s="442">
        <f>H5*'2-Tarieven'!$I$14</f>
        <v>0</v>
      </c>
      <c r="J5" s="442">
        <f>G5*'2-Tarieven'!$I$28</f>
        <v>0</v>
      </c>
      <c r="K5" s="443">
        <f t="shared" si="1"/>
        <v>0</v>
      </c>
    </row>
    <row r="6" spans="1:11" s="292" customFormat="1" ht="22" customHeight="1">
      <c r="A6" s="431" t="s">
        <v>667</v>
      </c>
      <c r="B6" s="431" t="s">
        <v>668</v>
      </c>
      <c r="C6" s="353">
        <f>SUMIF('4-Basis ruimtestaat'!A:A,'1-Totaaloverzicht'!A6,'4-Basis ruimtestaat'!I:I)</f>
        <v>1660.1200000000003</v>
      </c>
      <c r="D6" s="353">
        <f>SUMIF('4-Basis ruimtestaat'!A:A,'1-Totaaloverzicht'!A6,'4-Basis ruimtestaat'!M:M)</f>
        <v>0</v>
      </c>
      <c r="E6" s="354">
        <f>VLOOKUP(A6,'4a-KST'!A:E,5,FALSE)</f>
        <v>255</v>
      </c>
      <c r="F6" s="353">
        <f>SUMIF('4-Basis ruimtestaat'!A:A,'1-Totaaloverzicht'!A6,'4-Basis ruimtestaat'!Q:Q)</f>
        <v>0</v>
      </c>
      <c r="G6" s="441">
        <f>H6*'2-Tarieven'!$B$28</f>
        <v>0</v>
      </c>
      <c r="H6" s="355">
        <f t="shared" si="0"/>
        <v>255</v>
      </c>
      <c r="I6" s="442">
        <f>H6*'2-Tarieven'!$I$14</f>
        <v>0</v>
      </c>
      <c r="J6" s="442">
        <f>G6*'2-Tarieven'!$I$28</f>
        <v>0</v>
      </c>
      <c r="K6" s="443">
        <f t="shared" si="1"/>
        <v>0</v>
      </c>
    </row>
    <row r="7" spans="1:11" s="292" customFormat="1" ht="22" customHeight="1">
      <c r="A7" s="431" t="s">
        <v>671</v>
      </c>
      <c r="B7" s="431" t="s">
        <v>672</v>
      </c>
      <c r="C7" s="353">
        <f>SUMIF('4-Basis ruimtestaat'!A:A,'1-Totaaloverzicht'!A7,'4-Basis ruimtestaat'!I:I)</f>
        <v>127.95</v>
      </c>
      <c r="D7" s="353">
        <f>SUMIF('4-Basis ruimtestaat'!A:A,'1-Totaaloverzicht'!A7,'4-Basis ruimtestaat'!M:M)</f>
        <v>0</v>
      </c>
      <c r="E7" s="354">
        <f>VLOOKUP(A7,'4a-KST'!A:E,5,FALSE)</f>
        <v>255</v>
      </c>
      <c r="F7" s="353">
        <f>SUMIF('4-Basis ruimtestaat'!A:A,'1-Totaaloverzicht'!A7,'4-Basis ruimtestaat'!Q:Q)</f>
        <v>0</v>
      </c>
      <c r="G7" s="441">
        <f>H7*'2-Tarieven'!$B$28</f>
        <v>0</v>
      </c>
      <c r="H7" s="355">
        <f t="shared" si="0"/>
        <v>255</v>
      </c>
      <c r="I7" s="442">
        <f>H7*'2-Tarieven'!$I$14</f>
        <v>0</v>
      </c>
      <c r="J7" s="442">
        <f>G7*'2-Tarieven'!$I$28</f>
        <v>0</v>
      </c>
      <c r="K7" s="443">
        <f t="shared" si="1"/>
        <v>0</v>
      </c>
    </row>
    <row r="8" spans="1:11" s="292" customFormat="1" ht="22" customHeight="1">
      <c r="A8" s="431" t="s">
        <v>677</v>
      </c>
      <c r="B8" s="431" t="s">
        <v>678</v>
      </c>
      <c r="C8" s="353">
        <f>SUMIF('4-Basis ruimtestaat'!A:A,'1-Totaaloverzicht'!A8,'4-Basis ruimtestaat'!I:I)</f>
        <v>6428.1300000000065</v>
      </c>
      <c r="D8" s="353">
        <f>SUMIF('4-Basis ruimtestaat'!A:A,'1-Totaaloverzicht'!A8,'4-Basis ruimtestaat'!M:M)</f>
        <v>0</v>
      </c>
      <c r="E8" s="354">
        <f>VLOOKUP(A8,'4a-KST'!A:E,5,FALSE)</f>
        <v>0</v>
      </c>
      <c r="F8" s="353">
        <f>SUMIF('4-Basis ruimtestaat'!A:A,'1-Totaaloverzicht'!A8,'4-Basis ruimtestaat'!Q:Q)</f>
        <v>0</v>
      </c>
      <c r="G8" s="441">
        <f>H8*'2-Tarieven'!$B$28</f>
        <v>0</v>
      </c>
      <c r="H8" s="355">
        <f t="shared" si="0"/>
        <v>0</v>
      </c>
      <c r="I8" s="442">
        <f>H8*'2-Tarieven'!$I$14</f>
        <v>0</v>
      </c>
      <c r="J8" s="442">
        <f>G8*'2-Tarieven'!$I$28</f>
        <v>0</v>
      </c>
      <c r="K8" s="443">
        <f t="shared" si="1"/>
        <v>0</v>
      </c>
    </row>
    <row r="9" spans="1:11" s="292" customFormat="1" ht="22" customHeight="1">
      <c r="A9" s="431" t="s">
        <v>702</v>
      </c>
      <c r="B9" s="431" t="s">
        <v>719</v>
      </c>
      <c r="C9" s="353">
        <f>SUMIF('4-Basis ruimtestaat'!A:A,'1-Totaaloverzicht'!A9,'4-Basis ruimtestaat'!I:I)</f>
        <v>2557.2300000000005</v>
      </c>
      <c r="D9" s="353">
        <f>SUMIF('4-Basis ruimtestaat'!A:A,'1-Totaaloverzicht'!A9,'4-Basis ruimtestaat'!M:M)</f>
        <v>0</v>
      </c>
      <c r="E9" s="354">
        <f>VLOOKUP(A9,'4a-KST'!A:E,5,FALSE)</f>
        <v>255</v>
      </c>
      <c r="F9" s="353">
        <f>SUMIF('4-Basis ruimtestaat'!A:A,'1-Totaaloverzicht'!A9,'4-Basis ruimtestaat'!Q:Q)</f>
        <v>0</v>
      </c>
      <c r="G9" s="441">
        <f>H9*'2-Tarieven'!$B$28</f>
        <v>0</v>
      </c>
      <c r="H9" s="355">
        <f t="shared" si="0"/>
        <v>255</v>
      </c>
      <c r="I9" s="442">
        <f>H9*'2-Tarieven'!$I$14</f>
        <v>0</v>
      </c>
      <c r="J9" s="442">
        <f>G9*'2-Tarieven'!$I$28</f>
        <v>0</v>
      </c>
      <c r="K9" s="443">
        <f t="shared" si="1"/>
        <v>0</v>
      </c>
    </row>
    <row r="10" spans="1:11" s="292" customFormat="1" ht="22" customHeight="1">
      <c r="A10" s="431" t="s">
        <v>703</v>
      </c>
      <c r="B10" s="431" t="s">
        <v>678</v>
      </c>
      <c r="C10" s="353">
        <f>SUMIF('4-Basis ruimtestaat'!A:A,'1-Totaaloverzicht'!A10,'4-Basis ruimtestaat'!I:I)</f>
        <v>22.7</v>
      </c>
      <c r="D10" s="353">
        <f>SUMIF('4-Basis ruimtestaat'!A:A,'1-Totaaloverzicht'!A10,'4-Basis ruimtestaat'!M:M)</f>
        <v>0</v>
      </c>
      <c r="E10" s="354">
        <f>VLOOKUP(A10,'4a-KST'!A:E,5,FALSE)</f>
        <v>0</v>
      </c>
      <c r="F10" s="353">
        <f>SUMIF('4-Basis ruimtestaat'!A:A,'1-Totaaloverzicht'!A10,'4-Basis ruimtestaat'!Q:Q)</f>
        <v>0</v>
      </c>
      <c r="G10" s="441">
        <f>H10*'2-Tarieven'!$B$28</f>
        <v>0</v>
      </c>
      <c r="H10" s="355">
        <f t="shared" si="0"/>
        <v>0</v>
      </c>
      <c r="I10" s="442">
        <f>H10*'2-Tarieven'!$I$14</f>
        <v>0</v>
      </c>
      <c r="J10" s="442">
        <f>G10*'2-Tarieven'!$I$28</f>
        <v>0</v>
      </c>
      <c r="K10" s="443">
        <f t="shared" si="1"/>
        <v>0</v>
      </c>
    </row>
    <row r="11" spans="1:11" s="292" customFormat="1" ht="22" customHeight="1">
      <c r="A11" s="431" t="s">
        <v>704</v>
      </c>
      <c r="B11" s="431" t="s">
        <v>678</v>
      </c>
      <c r="C11" s="353">
        <f>SUMIF('4-Basis ruimtestaat'!A:A,'1-Totaaloverzicht'!A11,'4-Basis ruimtestaat'!I:I)</f>
        <v>3297.26</v>
      </c>
      <c r="D11" s="353">
        <f>SUMIF('4-Basis ruimtestaat'!A:A,'1-Totaaloverzicht'!A11,'4-Basis ruimtestaat'!M:M)</f>
        <v>0</v>
      </c>
      <c r="E11" s="354">
        <f>VLOOKUP(A11,'4a-KST'!A:E,5,FALSE)</f>
        <v>0</v>
      </c>
      <c r="F11" s="353">
        <f>SUMIF('4-Basis ruimtestaat'!A:A,'1-Totaaloverzicht'!A11,'4-Basis ruimtestaat'!Q:Q)</f>
        <v>0</v>
      </c>
      <c r="G11" s="441">
        <f>H11*'2-Tarieven'!$B$28</f>
        <v>0</v>
      </c>
      <c r="H11" s="355">
        <f t="shared" si="0"/>
        <v>0</v>
      </c>
      <c r="I11" s="442">
        <f>H11*'2-Tarieven'!$I$14</f>
        <v>0</v>
      </c>
      <c r="J11" s="442">
        <f>G11*'2-Tarieven'!$I$28</f>
        <v>0</v>
      </c>
      <c r="K11" s="443">
        <f t="shared" si="1"/>
        <v>0</v>
      </c>
    </row>
    <row r="12" spans="1:11" s="292" customFormat="1" ht="22" customHeight="1">
      <c r="A12" s="444" t="s">
        <v>706</v>
      </c>
      <c r="B12" s="444" t="s">
        <v>678</v>
      </c>
      <c r="C12" s="356">
        <f>SUMIF('4-Basis ruimtestaat'!A:A,'1-Totaaloverzicht'!A12,'4-Basis ruimtestaat'!I:I)</f>
        <v>33030.699999999997</v>
      </c>
      <c r="D12" s="356">
        <f>SUMIF('4-Basis ruimtestaat'!A:A,'1-Totaaloverzicht'!A12,'4-Basis ruimtestaat'!M:M)</f>
        <v>0</v>
      </c>
      <c r="E12" s="357">
        <f>VLOOKUP(A12,'4a-KST'!A:E,5,FALSE)</f>
        <v>0</v>
      </c>
      <c r="F12" s="356">
        <f>SUMIF('4-Basis ruimtestaat'!A:A,'1-Totaaloverzicht'!A12,'4-Basis ruimtestaat'!Q:Q)</f>
        <v>0</v>
      </c>
      <c r="G12" s="445">
        <f>H12*'2-Tarieven'!$B$28</f>
        <v>0</v>
      </c>
      <c r="H12" s="358">
        <f t="shared" si="0"/>
        <v>0</v>
      </c>
      <c r="I12" s="446">
        <f>H12*'2-Tarieven'!$I$14</f>
        <v>0</v>
      </c>
      <c r="J12" s="446">
        <f>G12*'2-Tarieven'!$I$28</f>
        <v>0</v>
      </c>
      <c r="K12" s="447">
        <f t="shared" si="1"/>
        <v>0</v>
      </c>
    </row>
    <row r="13" spans="1:11" s="292" customFormat="1" ht="22" customHeight="1">
      <c r="A13" s="448"/>
      <c r="B13" s="449" t="s">
        <v>772</v>
      </c>
      <c r="C13" s="450"/>
      <c r="D13" s="450"/>
      <c r="E13" s="451"/>
      <c r="F13" s="450"/>
      <c r="G13" s="452"/>
      <c r="H13" s="453"/>
      <c r="I13" s="454"/>
      <c r="J13" s="454"/>
      <c r="K13" s="455">
        <f>'4b Glasbewassing '!H31</f>
        <v>0</v>
      </c>
    </row>
    <row r="14" spans="1:11" s="342" customFormat="1" ht="22" customHeight="1">
      <c r="A14" s="456"/>
      <c r="B14" s="457" t="s">
        <v>561</v>
      </c>
      <c r="C14" s="458">
        <f t="shared" ref="C14:J14" si="2">SUM(C2:C12)</f>
        <v>52645.880000000005</v>
      </c>
      <c r="D14" s="458">
        <f t="shared" si="2"/>
        <v>0</v>
      </c>
      <c r="E14" s="459">
        <f t="shared" si="2"/>
        <v>817</v>
      </c>
      <c r="F14" s="460">
        <f t="shared" si="2"/>
        <v>0</v>
      </c>
      <c r="G14" s="460">
        <f t="shared" si="2"/>
        <v>0</v>
      </c>
      <c r="H14" s="461">
        <f t="shared" si="2"/>
        <v>817</v>
      </c>
      <c r="I14" s="462">
        <f t="shared" si="2"/>
        <v>0</v>
      </c>
      <c r="J14" s="462">
        <f t="shared" si="2"/>
        <v>0</v>
      </c>
      <c r="K14" s="463">
        <f>SUM(K2:K13)</f>
        <v>0</v>
      </c>
    </row>
    <row r="19" spans="7:9">
      <c r="G19" s="278">
        <v>270479.34000000003</v>
      </c>
    </row>
    <row r="20" spans="7:9">
      <c r="G20" s="278">
        <v>25090848</v>
      </c>
      <c r="I20" s="494">
        <f>G19/G20</f>
        <v>1.0779999942608557E-2</v>
      </c>
    </row>
  </sheetData>
  <autoFilter ref="A1:K14" xr:uid="{00000000-0001-0000-0100-000000000000}"/>
  <sortState xmlns:xlrd2="http://schemas.microsoft.com/office/spreadsheetml/2017/richdata2" ref="A2:K12">
    <sortCondition ref="B2:B12"/>
  </sortState>
  <phoneticPr fontId="7" type="noConversion"/>
  <conditionalFormatting sqref="C14:G14">
    <cfRule type="cellIs" dxfId="53" priority="66" stopIfTrue="1" operator="equal">
      <formula>0</formula>
    </cfRule>
  </conditionalFormatting>
  <pageMargins left="0.71" right="0.71" top="0.75" bottom="0.75" header="0.31" footer="0.31"/>
  <pageSetup paperSize="9" fitToHeight="0" orientation="landscape" horizontalDpi="4294967293" verticalDpi="4294967293" r:id="rId1"/>
  <colBreaks count="1" manualBreakCount="1">
    <brk id="7" max="1048575" man="1"/>
  </colBreaks>
  <cellWatches>
    <cellWatch r="F59"/>
    <cellWatch r="E59"/>
    <cellWatch r="I186"/>
    <cellWatch r="I187"/>
    <cellWatch r="I4"/>
    <cellWatch r="F183"/>
    <cellWatch r="E183"/>
    <cellWatch r="F76"/>
    <cellWatch r="E76"/>
    <cellWatch r="I166"/>
    <cellWatch r="I183"/>
    <cellWatch r="I130"/>
    <cellWatch r="I105"/>
    <cellWatch r="H183"/>
    <cellWatch r="I75"/>
    <cellWatch r="F4"/>
    <cellWatch r="E4"/>
    <cellWatch r="F177"/>
    <cellWatch r="E177"/>
    <cellWatch r="F84"/>
    <cellWatch r="E84"/>
    <cellWatch r="I151"/>
    <cellWatch r="I150"/>
    <cellWatch r="H4"/>
    <cellWatch r="I63"/>
    <cellWatch r="F89"/>
    <cellWatch r="E89"/>
    <cellWatch r="I76"/>
    <cellWatch r="F151"/>
    <cellWatch r="E151"/>
  </cellWatch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CBC6B-AA37-AE47-B95B-EBB39E2475F2}">
  <sheetPr>
    <tabColor rgb="FFFFFF00"/>
  </sheetPr>
  <dimension ref="A1:I15"/>
  <sheetViews>
    <sheetView workbookViewId="0">
      <selection activeCell="A20" sqref="A20"/>
    </sheetView>
  </sheetViews>
  <sheetFormatPr baseColWidth="10" defaultColWidth="10.796875" defaultRowHeight="13"/>
  <cols>
    <col min="1" max="1" width="43.59765625" bestFit="1" customWidth="1"/>
    <col min="3" max="3" width="32.19921875" customWidth="1"/>
    <col min="4" max="4" width="32.3984375" customWidth="1"/>
    <col min="8" max="8" width="14" bestFit="1" customWidth="1"/>
  </cols>
  <sheetData>
    <row r="1" spans="1:9" ht="39" customHeight="1">
      <c r="A1" s="556" t="s">
        <v>532</v>
      </c>
      <c r="B1" s="557"/>
      <c r="C1" s="181" t="s">
        <v>524</v>
      </c>
      <c r="D1" s="182" t="s">
        <v>525</v>
      </c>
    </row>
    <row r="2" spans="1:9" ht="78" customHeight="1">
      <c r="A2" s="190" t="s">
        <v>526</v>
      </c>
      <c r="B2" s="191"/>
      <c r="C2" s="215">
        <f>'1-Totaaloverzicht'!K14</f>
        <v>0</v>
      </c>
      <c r="D2" s="183"/>
      <c r="H2" s="279"/>
      <c r="I2" s="280"/>
    </row>
    <row r="3" spans="1:9" ht="67" customHeight="1">
      <c r="A3" s="184" t="s">
        <v>527</v>
      </c>
      <c r="B3" s="185"/>
      <c r="C3" s="186">
        <f>C2*4</f>
        <v>0</v>
      </c>
      <c r="D3" s="187"/>
    </row>
    <row r="4" spans="1:9">
      <c r="A4" s="188"/>
      <c r="B4" s="188"/>
      <c r="C4" s="189"/>
      <c r="D4" s="189"/>
      <c r="E4" s="189"/>
      <c r="F4" s="189"/>
    </row>
    <row r="5" spans="1:9">
      <c r="A5" s="188"/>
      <c r="B5" s="188"/>
      <c r="C5" s="189"/>
      <c r="D5" s="189"/>
      <c r="E5" s="189"/>
      <c r="F5" s="189"/>
    </row>
    <row r="6" spans="1:9">
      <c r="A6" s="188"/>
      <c r="B6" s="188"/>
      <c r="C6" s="209" t="s">
        <v>528</v>
      </c>
      <c r="D6" s="189"/>
      <c r="E6" s="189"/>
      <c r="F6" s="189"/>
    </row>
    <row r="7" spans="1:9" ht="19" customHeight="1">
      <c r="A7" s="192" t="s">
        <v>466</v>
      </c>
      <c r="B7" s="193" t="s">
        <v>529</v>
      </c>
      <c r="C7" s="204" t="s">
        <v>466</v>
      </c>
      <c r="D7" s="208" t="s">
        <v>529</v>
      </c>
    </row>
    <row r="8" spans="1:9" ht="19" customHeight="1">
      <c r="A8" s="195" t="s">
        <v>558</v>
      </c>
      <c r="B8" s="196"/>
      <c r="C8" s="205"/>
      <c r="D8" s="197"/>
    </row>
    <row r="9" spans="1:9" ht="19" customHeight="1">
      <c r="A9" s="198"/>
      <c r="B9" s="199"/>
      <c r="C9" s="206"/>
      <c r="D9" s="200"/>
    </row>
    <row r="10" spans="1:9" ht="19" customHeight="1">
      <c r="A10" s="192" t="s">
        <v>530</v>
      </c>
      <c r="B10" s="194"/>
      <c r="C10" s="207" t="s">
        <v>530</v>
      </c>
      <c r="D10" s="202"/>
    </row>
    <row r="11" spans="1:9" ht="19" customHeight="1">
      <c r="A11" s="195"/>
      <c r="B11" s="196"/>
      <c r="C11" s="205"/>
      <c r="D11" s="201"/>
    </row>
    <row r="12" spans="1:9" ht="18" customHeight="1">
      <c r="A12" s="198"/>
      <c r="B12" s="199"/>
      <c r="C12" s="206"/>
      <c r="D12" s="203"/>
    </row>
    <row r="13" spans="1:9" ht="19" customHeight="1">
      <c r="A13" s="195" t="s">
        <v>531</v>
      </c>
      <c r="B13" s="196"/>
      <c r="C13" s="205" t="s">
        <v>531</v>
      </c>
      <c r="D13" s="201"/>
    </row>
    <row r="14" spans="1:9" ht="19" customHeight="1">
      <c r="A14" s="195" t="s">
        <v>559</v>
      </c>
      <c r="B14" s="196"/>
      <c r="C14" s="205"/>
      <c r="D14" s="201"/>
    </row>
    <row r="15" spans="1:9" ht="19" customHeight="1">
      <c r="A15" s="198"/>
      <c r="B15" s="199"/>
      <c r="C15" s="206"/>
      <c r="D15" s="203"/>
    </row>
  </sheetData>
  <mergeCells count="1">
    <mergeCell ref="A1:B1"/>
  </mergeCells>
  <pageMargins left="0.7" right="0.7" top="0.75" bottom="0.75" header="0.3" footer="0.3"/>
  <pageSetup paperSize="9"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FF00"/>
    <pageSetUpPr fitToPage="1"/>
  </sheetPr>
  <dimension ref="A1:P30"/>
  <sheetViews>
    <sheetView showGridLines="0" zoomScaleNormal="100" zoomScalePageLayoutView="90" workbookViewId="0">
      <pane ySplit="1" topLeftCell="A2" activePane="bottomLeft" state="frozen"/>
      <selection activeCell="E25" sqref="E25"/>
      <selection pane="bottomLeft" activeCell="E5" sqref="E5"/>
    </sheetView>
  </sheetViews>
  <sheetFormatPr baseColWidth="10" defaultColWidth="8.59765625" defaultRowHeight="15"/>
  <cols>
    <col min="1" max="1" width="40.3984375" style="19" bestFit="1" customWidth="1"/>
    <col min="2" max="2" width="14.3984375" style="19" customWidth="1"/>
    <col min="3" max="3" width="12.19921875" style="19" customWidth="1"/>
    <col min="4" max="4" width="8.59765625" style="19"/>
    <col min="5" max="5" width="15.3984375" style="19" customWidth="1"/>
    <col min="6" max="6" width="11.19921875" style="19" customWidth="1"/>
    <col min="7" max="7" width="20.3984375" style="19" customWidth="1"/>
    <col min="8" max="8" width="8.59765625" style="19"/>
    <col min="9" max="9" width="13" style="19" customWidth="1"/>
    <col min="10" max="10" width="8.59765625" style="19"/>
    <col min="11" max="11" width="14.3984375" style="19" bestFit="1" customWidth="1"/>
    <col min="12" max="16384" width="8.59765625" style="19"/>
  </cols>
  <sheetData>
    <row r="1" spans="1:16" ht="45" customHeight="1">
      <c r="A1" s="48" t="s">
        <v>557</v>
      </c>
      <c r="B1" s="49"/>
      <c r="C1" s="50" t="s">
        <v>165</v>
      </c>
      <c r="D1" s="50" t="s">
        <v>166</v>
      </c>
      <c r="E1" s="50" t="s">
        <v>167</v>
      </c>
      <c r="F1" s="50" t="s">
        <v>168</v>
      </c>
      <c r="G1" s="50" t="s">
        <v>169</v>
      </c>
      <c r="H1" s="51"/>
      <c r="I1" s="51"/>
    </row>
    <row r="2" spans="1:16">
      <c r="A2" s="52"/>
      <c r="B2" s="53"/>
      <c r="C2" s="54"/>
      <c r="D2" s="54"/>
      <c r="E2" s="54"/>
      <c r="F2" s="54"/>
      <c r="G2" s="55"/>
      <c r="H2" s="51"/>
      <c r="I2" s="51"/>
    </row>
    <row r="3" spans="1:16">
      <c r="A3" s="56" t="s">
        <v>170</v>
      </c>
      <c r="B3" s="57"/>
      <c r="C3" s="57"/>
      <c r="D3" s="58"/>
      <c r="E3" s="58"/>
      <c r="F3" s="59"/>
      <c r="G3" s="58"/>
      <c r="H3" s="51"/>
      <c r="I3" s="51"/>
    </row>
    <row r="4" spans="1:16">
      <c r="A4" s="60" t="s">
        <v>549</v>
      </c>
      <c r="B4" s="53"/>
      <c r="C4" s="53"/>
      <c r="D4" s="53"/>
      <c r="E4" s="53"/>
      <c r="F4" s="53"/>
      <c r="G4" s="61"/>
      <c r="H4" s="53"/>
      <c r="I4" s="53"/>
    </row>
    <row r="5" spans="1:16">
      <c r="A5" s="62" t="s">
        <v>171</v>
      </c>
      <c r="B5" s="63"/>
      <c r="C5" s="64"/>
      <c r="D5" s="65">
        <v>255</v>
      </c>
      <c r="E5" s="376">
        <f>'1-Totaaloverzicht'!$H$14*'2-Tarieven'!C5</f>
        <v>0</v>
      </c>
      <c r="F5" s="67">
        <f>'5-Opbouw uurtarieven'!E41</f>
        <v>0</v>
      </c>
      <c r="G5" s="67">
        <f>F5*E5</f>
        <v>0</v>
      </c>
      <c r="H5" s="68"/>
      <c r="I5" s="53"/>
    </row>
    <row r="6" spans="1:16">
      <c r="A6" s="60" t="s">
        <v>550</v>
      </c>
      <c r="B6" s="53"/>
      <c r="C6" s="69"/>
      <c r="D6" s="53"/>
      <c r="E6" s="66"/>
      <c r="F6" s="53"/>
      <c r="G6" s="61"/>
      <c r="H6" s="53"/>
      <c r="I6" s="53"/>
    </row>
    <row r="7" spans="1:16">
      <c r="A7" s="62" t="s">
        <v>171</v>
      </c>
      <c r="B7" s="63"/>
      <c r="C7" s="64"/>
      <c r="D7" s="65">
        <v>255</v>
      </c>
      <c r="E7" s="376">
        <f>'1-Totaaloverzicht'!$H$14*'2-Tarieven'!C7</f>
        <v>0</v>
      </c>
      <c r="F7" s="67">
        <f>'5-Opbouw uurtarieven'!H41</f>
        <v>0</v>
      </c>
      <c r="G7" s="67">
        <f>F7*E7</f>
        <v>0</v>
      </c>
      <c r="H7" s="68"/>
      <c r="I7" s="53"/>
    </row>
    <row r="8" spans="1:16">
      <c r="A8" s="60" t="s">
        <v>551</v>
      </c>
      <c r="B8" s="53"/>
      <c r="C8" s="70"/>
      <c r="D8" s="53"/>
      <c r="E8" s="66"/>
      <c r="F8" s="53"/>
      <c r="G8" s="61"/>
      <c r="H8" s="53"/>
      <c r="I8" s="53"/>
    </row>
    <row r="9" spans="1:16">
      <c r="A9" s="62" t="s">
        <v>171</v>
      </c>
      <c r="B9" s="63"/>
      <c r="C9" s="64"/>
      <c r="D9" s="65">
        <v>255</v>
      </c>
      <c r="E9" s="376">
        <f>'1-Totaaloverzicht'!$H$14*'2-Tarieven'!C9</f>
        <v>0</v>
      </c>
      <c r="F9" s="67">
        <f>'5-Opbouw uurtarieven'!K41</f>
        <v>0</v>
      </c>
      <c r="G9" s="67">
        <f>F9*E9</f>
        <v>0</v>
      </c>
      <c r="H9" s="68"/>
      <c r="I9" s="53"/>
    </row>
    <row r="10" spans="1:16">
      <c r="A10" s="60" t="s">
        <v>740</v>
      </c>
      <c r="B10" s="53"/>
      <c r="C10" s="70"/>
      <c r="D10" s="53"/>
      <c r="E10" s="66"/>
      <c r="F10" s="53"/>
      <c r="G10" s="61"/>
      <c r="H10" s="53"/>
      <c r="I10" s="53"/>
    </row>
    <row r="11" spans="1:16">
      <c r="A11" s="62" t="s">
        <v>171</v>
      </c>
      <c r="B11" s="63"/>
      <c r="C11" s="64"/>
      <c r="D11" s="65">
        <v>255</v>
      </c>
      <c r="E11" s="376">
        <f>'1-Totaaloverzicht'!$H$14*'2-Tarieven'!C11</f>
        <v>0</v>
      </c>
      <c r="F11" s="67">
        <f>'5-Opbouw uurtarieven'!N41</f>
        <v>0</v>
      </c>
      <c r="G11" s="67">
        <f>F11*E11</f>
        <v>0</v>
      </c>
      <c r="H11" s="68"/>
      <c r="I11" s="53"/>
    </row>
    <row r="12" spans="1:16">
      <c r="A12" s="60" t="s">
        <v>741</v>
      </c>
      <c r="B12" s="53"/>
      <c r="C12" s="70"/>
      <c r="D12" s="71"/>
      <c r="E12" s="66"/>
      <c r="F12" s="67"/>
      <c r="G12" s="67"/>
      <c r="H12" s="53"/>
      <c r="I12" s="53"/>
    </row>
    <row r="13" spans="1:16" ht="16">
      <c r="A13" s="62" t="s">
        <v>171</v>
      </c>
      <c r="B13" s="63"/>
      <c r="C13" s="64"/>
      <c r="D13" s="65">
        <v>255</v>
      </c>
      <c r="E13" s="376">
        <f>'1-Totaaloverzicht'!$H$14*'2-Tarieven'!C13</f>
        <v>0</v>
      </c>
      <c r="F13" s="72">
        <f>'5-Opbouw uurtarieven'!Q41</f>
        <v>0</v>
      </c>
      <c r="G13" s="72">
        <f>F13*E13</f>
        <v>0</v>
      </c>
      <c r="H13" s="53"/>
      <c r="I13" s="50" t="s">
        <v>172</v>
      </c>
    </row>
    <row r="14" spans="1:16">
      <c r="A14" s="73"/>
      <c r="B14" s="53"/>
      <c r="C14" s="74">
        <f>SUM(C5:C13)</f>
        <v>0</v>
      </c>
      <c r="D14" s="75"/>
      <c r="E14" s="76">
        <f>SUM(E5:E13)</f>
        <v>0</v>
      </c>
      <c r="F14" s="77"/>
      <c r="G14" s="78">
        <f>SUM(G5:G13)</f>
        <v>0</v>
      </c>
      <c r="H14" s="53"/>
      <c r="I14" s="79">
        <f>IF(G14&gt;0,G14/E14,0)</f>
        <v>0</v>
      </c>
      <c r="K14" s="80"/>
    </row>
    <row r="15" spans="1:16">
      <c r="A15" s="73"/>
      <c r="B15" s="53"/>
      <c r="C15" s="81"/>
      <c r="D15" s="58"/>
      <c r="E15" s="76"/>
      <c r="F15" s="77"/>
      <c r="G15" s="78"/>
      <c r="H15" s="53"/>
      <c r="I15" s="82"/>
      <c r="P15" s="211"/>
    </row>
    <row r="16" spans="1:16">
      <c r="A16" s="73"/>
      <c r="B16" s="53"/>
      <c r="C16" s="81"/>
      <c r="D16" s="58"/>
      <c r="E16" s="76"/>
      <c r="F16" s="77"/>
      <c r="G16" s="83"/>
      <c r="H16" s="53"/>
      <c r="I16" s="53"/>
    </row>
    <row r="17" spans="1:11" ht="64">
      <c r="A17" s="48" t="s">
        <v>556</v>
      </c>
      <c r="B17" s="49" t="s">
        <v>165</v>
      </c>
      <c r="C17" s="50" t="s">
        <v>173</v>
      </c>
      <c r="D17" s="50" t="s">
        <v>166</v>
      </c>
      <c r="E17" s="50" t="s">
        <v>167</v>
      </c>
      <c r="F17" s="50" t="s">
        <v>168</v>
      </c>
      <c r="G17" s="50" t="s">
        <v>169</v>
      </c>
      <c r="H17" s="84"/>
      <c r="I17" s="84"/>
    </row>
    <row r="18" spans="1:11">
      <c r="A18" s="60" t="s">
        <v>550</v>
      </c>
      <c r="B18" s="85"/>
      <c r="C18" s="53"/>
      <c r="D18" s="53"/>
      <c r="E18" s="53"/>
      <c r="F18" s="53"/>
      <c r="G18" s="61"/>
      <c r="H18" s="84"/>
      <c r="I18" s="84"/>
    </row>
    <row r="19" spans="1:11">
      <c r="A19" s="62" t="s">
        <v>171</v>
      </c>
      <c r="B19" s="64"/>
      <c r="C19" s="71">
        <v>0</v>
      </c>
      <c r="D19" s="86">
        <v>255</v>
      </c>
      <c r="E19" s="87">
        <f>B19*$E$14</f>
        <v>0</v>
      </c>
      <c r="F19" s="67">
        <f>'5-Opbouw uurtarieven'!H41</f>
        <v>0</v>
      </c>
      <c r="G19" s="67">
        <f>F19*E19</f>
        <v>0</v>
      </c>
      <c r="H19" s="84"/>
      <c r="I19" s="88"/>
    </row>
    <row r="20" spans="1:11">
      <c r="A20" s="60" t="s">
        <v>551</v>
      </c>
      <c r="B20" s="53"/>
      <c r="C20" s="53"/>
      <c r="D20" s="53"/>
      <c r="E20" s="53"/>
      <c r="F20" s="53"/>
      <c r="G20" s="53"/>
      <c r="H20" s="84"/>
      <c r="I20" s="84"/>
    </row>
    <row r="21" spans="1:11">
      <c r="A21" s="62" t="s">
        <v>171</v>
      </c>
      <c r="B21" s="64"/>
      <c r="C21" s="71">
        <v>0</v>
      </c>
      <c r="D21" s="86">
        <v>255</v>
      </c>
      <c r="E21" s="87">
        <f>B21*$E$14</f>
        <v>0</v>
      </c>
      <c r="F21" s="67">
        <f>'5-Opbouw uurtarieven'!K41</f>
        <v>0</v>
      </c>
      <c r="G21" s="67">
        <f>F21*E21</f>
        <v>0</v>
      </c>
      <c r="H21" s="84"/>
      <c r="I21" s="84"/>
    </row>
    <row r="22" spans="1:11">
      <c r="A22" s="60" t="s">
        <v>740</v>
      </c>
      <c r="B22" s="53"/>
      <c r="C22" s="53"/>
      <c r="D22" s="53"/>
      <c r="E22" s="53"/>
      <c r="F22" s="67"/>
      <c r="G22" s="67"/>
      <c r="H22" s="84"/>
      <c r="I22" s="84"/>
    </row>
    <row r="23" spans="1:11">
      <c r="A23" s="62" t="s">
        <v>171</v>
      </c>
      <c r="B23" s="64"/>
      <c r="C23" s="71">
        <f>IF(ISERROR(E23/D23),0,E23/D23)</f>
        <v>0</v>
      </c>
      <c r="D23" s="86">
        <v>255</v>
      </c>
      <c r="E23" s="87">
        <f>B23*$E$14</f>
        <v>0</v>
      </c>
      <c r="F23" s="67">
        <f>'5-Opbouw uurtarieven'!N41</f>
        <v>0</v>
      </c>
      <c r="G23" s="67">
        <f>F23*E23</f>
        <v>0</v>
      </c>
      <c r="H23" s="84"/>
      <c r="I23" s="88"/>
    </row>
    <row r="24" spans="1:11">
      <c r="A24" s="60" t="s">
        <v>741</v>
      </c>
      <c r="B24" s="53"/>
      <c r="C24" s="53"/>
      <c r="D24" s="53"/>
      <c r="E24" s="53"/>
      <c r="F24" s="67"/>
      <c r="G24" s="67"/>
      <c r="H24" s="84"/>
      <c r="I24" s="84"/>
    </row>
    <row r="25" spans="1:11">
      <c r="A25" s="62" t="s">
        <v>171</v>
      </c>
      <c r="B25" s="64"/>
      <c r="C25" s="71">
        <f>IF(ISERROR(E25/D25),0,E25/D25)</f>
        <v>0</v>
      </c>
      <c r="D25" s="86">
        <v>255</v>
      </c>
      <c r="E25" s="87">
        <f>B25*$E$14</f>
        <v>0</v>
      </c>
      <c r="F25" s="67">
        <f>'5-Opbouw uurtarieven'!Q41</f>
        <v>0</v>
      </c>
      <c r="G25" s="67">
        <f>F25*E25</f>
        <v>0</v>
      </c>
      <c r="H25" s="84"/>
      <c r="I25" s="88"/>
    </row>
    <row r="26" spans="1:11">
      <c r="A26" s="60" t="s">
        <v>742</v>
      </c>
      <c r="B26" s="89"/>
      <c r="C26" s="89"/>
      <c r="D26" s="71"/>
      <c r="E26" s="71"/>
      <c r="F26" s="67"/>
      <c r="G26" s="67"/>
      <c r="H26" s="84"/>
      <c r="I26" s="84"/>
    </row>
    <row r="27" spans="1:11" ht="16">
      <c r="A27" s="62" t="s">
        <v>171</v>
      </c>
      <c r="B27" s="64"/>
      <c r="C27" s="90">
        <v>0</v>
      </c>
      <c r="D27" s="86">
        <v>255</v>
      </c>
      <c r="E27" s="87">
        <f>B27*$E$14</f>
        <v>0</v>
      </c>
      <c r="F27" s="72">
        <f>'5-Opbouw uurtarieven'!T41</f>
        <v>0</v>
      </c>
      <c r="G27" s="72">
        <f>F27*E27</f>
        <v>0</v>
      </c>
      <c r="H27" s="84"/>
      <c r="I27" s="50" t="s">
        <v>172</v>
      </c>
    </row>
    <row r="28" spans="1:11">
      <c r="A28" s="73"/>
      <c r="B28" s="63">
        <f>IF(E$14=0,0,E28/E$14)</f>
        <v>0</v>
      </c>
      <c r="C28" s="76">
        <f>SUM(C19:C27)</f>
        <v>0</v>
      </c>
      <c r="D28" s="75"/>
      <c r="E28" s="76">
        <f>SUM(E19:E27)</f>
        <v>0</v>
      </c>
      <c r="F28" s="77"/>
      <c r="G28" s="83">
        <f>SUM(G19:G27)</f>
        <v>0</v>
      </c>
      <c r="H28" s="84"/>
      <c r="I28" s="79">
        <f>ROUND(IF(G28&gt;0,G28/E28,0),2)</f>
        <v>0</v>
      </c>
      <c r="K28" s="91"/>
    </row>
    <row r="29" spans="1:11">
      <c r="A29" s="73"/>
      <c r="B29" s="63"/>
      <c r="C29" s="76"/>
      <c r="D29" s="58"/>
      <c r="E29" s="76"/>
      <c r="F29" s="77"/>
      <c r="G29" s="83"/>
      <c r="H29" s="84"/>
      <c r="I29" s="82"/>
    </row>
    <row r="30" spans="1:11">
      <c r="A30" s="73"/>
      <c r="B30" s="84"/>
      <c r="C30" s="84"/>
      <c r="D30" s="58"/>
      <c r="E30" s="76"/>
      <c r="F30" s="77"/>
      <c r="G30" s="84"/>
      <c r="H30" s="84"/>
      <c r="I30" s="84"/>
    </row>
  </sheetData>
  <phoneticPr fontId="0" type="noConversion"/>
  <conditionalFormatting sqref="B19 B21 B23 B25 B27">
    <cfRule type="cellIs" dxfId="52" priority="11" stopIfTrue="1" operator="equal">
      <formula>""</formula>
    </cfRule>
  </conditionalFormatting>
  <conditionalFormatting sqref="C5">
    <cfRule type="cellIs" dxfId="51" priority="39" stopIfTrue="1" operator="equal">
      <formula>""</formula>
    </cfRule>
  </conditionalFormatting>
  <conditionalFormatting sqref="C7">
    <cfRule type="cellIs" dxfId="50" priority="38" stopIfTrue="1" operator="equal">
      <formula>""</formula>
    </cfRule>
  </conditionalFormatting>
  <conditionalFormatting sqref="C9">
    <cfRule type="cellIs" dxfId="49" priority="37" stopIfTrue="1" operator="equal">
      <formula>""</formula>
    </cfRule>
  </conditionalFormatting>
  <conditionalFormatting sqref="C11">
    <cfRule type="cellIs" dxfId="48" priority="36" stopIfTrue="1" operator="equal">
      <formula>""</formula>
    </cfRule>
  </conditionalFormatting>
  <conditionalFormatting sqref="C13">
    <cfRule type="cellIs" dxfId="47" priority="35" stopIfTrue="1" operator="equal">
      <formula>""</formula>
    </cfRule>
  </conditionalFormatting>
  <conditionalFormatting sqref="D19:E19">
    <cfRule type="cellIs" dxfId="46" priority="7" stopIfTrue="1" operator="equal">
      <formula>""</formula>
    </cfRule>
  </conditionalFormatting>
  <conditionalFormatting sqref="D21:E21">
    <cfRule type="cellIs" dxfId="45" priority="6" stopIfTrue="1" operator="equal">
      <formula>""</formula>
    </cfRule>
  </conditionalFormatting>
  <conditionalFormatting sqref="D23:E23 D25:E25">
    <cfRule type="cellIs" dxfId="44" priority="43" stopIfTrue="1" operator="equal">
      <formula>""</formula>
    </cfRule>
  </conditionalFormatting>
  <conditionalFormatting sqref="D27:E27">
    <cfRule type="cellIs" dxfId="43" priority="8" stopIfTrue="1" operator="equal">
      <formula>""</formula>
    </cfRule>
  </conditionalFormatting>
  <conditionalFormatting sqref="E5">
    <cfRule type="cellIs" dxfId="42" priority="5" stopIfTrue="1" operator="equal">
      <formula>""</formula>
    </cfRule>
  </conditionalFormatting>
  <conditionalFormatting sqref="E7">
    <cfRule type="cellIs" dxfId="41" priority="4" stopIfTrue="1" operator="equal">
      <formula>""</formula>
    </cfRule>
  </conditionalFormatting>
  <conditionalFormatting sqref="E9">
    <cfRule type="cellIs" dxfId="40" priority="3" stopIfTrue="1" operator="equal">
      <formula>""</formula>
    </cfRule>
  </conditionalFormatting>
  <conditionalFormatting sqref="E11">
    <cfRule type="cellIs" dxfId="39" priority="2" stopIfTrue="1" operator="equal">
      <formula>""</formula>
    </cfRule>
  </conditionalFormatting>
  <conditionalFormatting sqref="E13">
    <cfRule type="cellIs" dxfId="38" priority="1" stopIfTrue="1" operator="equal">
      <formula>""</formula>
    </cfRule>
  </conditionalFormatting>
  <pageMargins left="0.70866141732283472" right="0.70866141732283472" top="0.55118110236220474" bottom="0.55118110236220474" header="0.31496062992125984" footer="0.31496062992125984"/>
  <pageSetup paperSize="9" scale="58" orientation="portrait" horizontalDpi="4294967292" verticalDpi="4294967292"/>
  <cellWatches>
    <cellWatch r="Q33"/>
  </cellWatches>
  <ignoredErrors>
    <ignoredError sqref="E14" emptyCellReferenc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FFFF00"/>
    <pageSetUpPr fitToPage="1"/>
  </sheetPr>
  <dimension ref="A1:AA34"/>
  <sheetViews>
    <sheetView showGridLines="0" showZeros="0" zoomScale="110" zoomScaleNormal="110" zoomScalePageLayoutView="80" workbookViewId="0">
      <pane xSplit="1" ySplit="1" topLeftCell="B2" activePane="bottomRight" state="frozen"/>
      <selection activeCell="E25" sqref="E25"/>
      <selection pane="topRight" activeCell="E25" sqref="E25"/>
      <selection pane="bottomLeft" activeCell="E25" sqref="E25"/>
      <selection pane="bottomRight" activeCell="L2" sqref="L2"/>
    </sheetView>
  </sheetViews>
  <sheetFormatPr baseColWidth="10" defaultColWidth="10.59765625" defaultRowHeight="15"/>
  <cols>
    <col min="1" max="1" width="50.19921875" style="102" customWidth="1"/>
    <col min="2" max="9" width="11.19921875" style="24" customWidth="1"/>
    <col min="10" max="11" width="18" style="24" customWidth="1"/>
    <col min="12" max="12" width="11.19921875" style="24" customWidth="1"/>
    <col min="13" max="16" width="10.796875" style="24" customWidth="1"/>
    <col min="17" max="17" width="10.796875" style="19" customWidth="1"/>
    <col min="18" max="19" width="10.796875" style="24" customWidth="1"/>
    <col min="20" max="20" width="10.59765625" style="24" customWidth="1"/>
    <col min="21" max="21" width="11" style="24" bestFit="1" customWidth="1"/>
    <col min="22" max="22" width="15.3984375" style="24" customWidth="1"/>
    <col min="23" max="23" width="7.59765625" style="24" customWidth="1"/>
    <col min="24" max="24" width="6" style="24" customWidth="1"/>
    <col min="25" max="25" width="16" style="24" customWidth="1"/>
    <col min="26" max="26" width="14.3984375" style="24" customWidth="1"/>
    <col min="27" max="27" width="16.19921875" style="24" bestFit="1" customWidth="1"/>
    <col min="28" max="16384" width="10.59765625" style="24"/>
  </cols>
  <sheetData>
    <row r="1" spans="1:17" s="19" customFormat="1" ht="47.25" customHeight="1">
      <c r="A1" s="92" t="s">
        <v>225</v>
      </c>
      <c r="B1" s="92" t="s">
        <v>226</v>
      </c>
      <c r="C1" s="92">
        <v>12</v>
      </c>
      <c r="D1" s="92">
        <v>52</v>
      </c>
      <c r="E1" s="92">
        <v>104</v>
      </c>
      <c r="F1" s="92">
        <v>156</v>
      </c>
      <c r="G1" s="92" t="s">
        <v>726</v>
      </c>
      <c r="H1" s="92">
        <v>365</v>
      </c>
      <c r="I1" s="92" t="s">
        <v>727</v>
      </c>
      <c r="K1" s="93"/>
      <c r="L1" s="16" t="s">
        <v>233</v>
      </c>
      <c r="M1" s="48" t="s">
        <v>237</v>
      </c>
    </row>
    <row r="2" spans="1:17" s="95" customFormat="1">
      <c r="A2" s="363" t="s">
        <v>4</v>
      </c>
      <c r="B2" s="94"/>
      <c r="C2" s="94"/>
      <c r="D2" s="94"/>
      <c r="E2" s="94"/>
      <c r="F2" s="94"/>
      <c r="G2" s="94"/>
      <c r="H2" s="94"/>
      <c r="I2" s="94"/>
      <c r="K2" s="96"/>
      <c r="L2" s="343">
        <f>SUMIF('4-Basis ruimtestaat'!E:E,'3A-Prestatie'!A2,'4-Basis ruimtestaat'!I:I)</f>
        <v>4.9499999999999993</v>
      </c>
      <c r="M2" s="97" t="s">
        <v>240</v>
      </c>
      <c r="N2" s="98"/>
      <c r="O2" s="98"/>
      <c r="P2" s="98"/>
      <c r="Q2" s="98"/>
    </row>
    <row r="3" spans="1:17" s="95" customFormat="1">
      <c r="A3" s="364" t="s">
        <v>334</v>
      </c>
      <c r="B3" s="94"/>
      <c r="C3" s="94"/>
      <c r="D3" s="94"/>
      <c r="E3" s="94"/>
      <c r="F3" s="94"/>
      <c r="G3" s="94"/>
      <c r="H3" s="94"/>
      <c r="I3" s="94"/>
      <c r="K3" s="100"/>
      <c r="L3" s="283">
        <f>SUMIF('4-Basis ruimtestaat'!E:E,'3A-Prestatie'!A3,'4-Basis ruimtestaat'!I:I)</f>
        <v>122.57000000000001</v>
      </c>
      <c r="M3" s="101" t="s">
        <v>239</v>
      </c>
      <c r="N3" s="98"/>
      <c r="O3" s="98"/>
      <c r="P3" s="98"/>
      <c r="Q3" s="98"/>
    </row>
    <row r="4" spans="1:17" s="95" customFormat="1">
      <c r="A4" s="364" t="s">
        <v>470</v>
      </c>
      <c r="B4" s="94"/>
      <c r="C4" s="94"/>
      <c r="D4" s="94"/>
      <c r="E4" s="94"/>
      <c r="F4" s="94"/>
      <c r="G4" s="94"/>
      <c r="H4" s="94"/>
      <c r="I4" s="94"/>
      <c r="K4" s="100"/>
      <c r="L4" s="283">
        <f>SUMIF('4-Basis ruimtestaat'!E:E,'3A-Prestatie'!A4,'4-Basis ruimtestaat'!I:I)</f>
        <v>0</v>
      </c>
      <c r="M4" s="101" t="s">
        <v>239</v>
      </c>
      <c r="N4" s="98"/>
      <c r="O4" s="98"/>
      <c r="P4" s="98"/>
      <c r="Q4" s="98"/>
    </row>
    <row r="5" spans="1:17" s="95" customFormat="1">
      <c r="A5" s="364" t="s">
        <v>6</v>
      </c>
      <c r="B5" s="94"/>
      <c r="C5" s="94"/>
      <c r="D5" s="94"/>
      <c r="E5" s="94"/>
      <c r="F5" s="94"/>
      <c r="G5" s="94"/>
      <c r="H5" s="94"/>
      <c r="I5" s="94"/>
      <c r="K5" s="100"/>
      <c r="L5" s="283">
        <f>SUMIF('4-Basis ruimtestaat'!E:E,'3A-Prestatie'!A5,'4-Basis ruimtestaat'!I:I)</f>
        <v>673.03999999999985</v>
      </c>
      <c r="M5" s="101" t="s">
        <v>239</v>
      </c>
      <c r="N5" s="98"/>
      <c r="O5" s="98"/>
      <c r="P5" s="98"/>
      <c r="Q5" s="98"/>
    </row>
    <row r="6" spans="1:17" s="95" customFormat="1">
      <c r="A6" s="364" t="s">
        <v>286</v>
      </c>
      <c r="B6" s="94"/>
      <c r="C6" s="94"/>
      <c r="D6" s="94"/>
      <c r="E6" s="94"/>
      <c r="F6" s="94"/>
      <c r="G6" s="94"/>
      <c r="H6" s="94"/>
      <c r="I6" s="94"/>
      <c r="K6" s="100"/>
      <c r="L6" s="283">
        <f>SUMIF('4-Basis ruimtestaat'!E:E,'3A-Prestatie'!A6,'4-Basis ruimtestaat'!I:I)</f>
        <v>25.65</v>
      </c>
      <c r="M6" s="101" t="s">
        <v>239</v>
      </c>
      <c r="N6" s="98"/>
      <c r="O6" s="98"/>
      <c r="P6" s="98"/>
      <c r="Q6" s="98"/>
    </row>
    <row r="7" spans="1:17" s="95" customFormat="1">
      <c r="A7" s="364" t="s">
        <v>306</v>
      </c>
      <c r="B7" s="94"/>
      <c r="C7" s="94"/>
      <c r="D7" s="94"/>
      <c r="E7" s="94"/>
      <c r="F7" s="94"/>
      <c r="G7" s="94"/>
      <c r="H7" s="94"/>
      <c r="I7" s="94"/>
      <c r="K7" s="100"/>
      <c r="L7" s="283">
        <f>SUMIF('4-Basis ruimtestaat'!E:E,'3A-Prestatie'!A7,'4-Basis ruimtestaat'!I:I)</f>
        <v>230.01999999999998</v>
      </c>
      <c r="M7" s="101" t="s">
        <v>239</v>
      </c>
      <c r="N7" s="98"/>
      <c r="O7" s="98"/>
      <c r="P7" s="98"/>
      <c r="Q7" s="98"/>
    </row>
    <row r="8" spans="1:17" s="95" customFormat="1">
      <c r="A8" s="364" t="s">
        <v>5</v>
      </c>
      <c r="B8" s="94"/>
      <c r="C8" s="94"/>
      <c r="D8" s="94"/>
      <c r="E8" s="94"/>
      <c r="F8" s="94"/>
      <c r="G8" s="94"/>
      <c r="H8" s="94"/>
      <c r="I8" s="94"/>
      <c r="J8" s="373"/>
      <c r="K8" s="100"/>
      <c r="L8" s="283">
        <f>SUMIF('4-Basis ruimtestaat'!E:E,'3A-Prestatie'!A8,'4-Basis ruimtestaat'!I:I)</f>
        <v>2422.7500000000005</v>
      </c>
      <c r="M8" s="101" t="s">
        <v>238</v>
      </c>
      <c r="N8" s="98"/>
      <c r="O8" s="98"/>
      <c r="P8" s="98"/>
      <c r="Q8" s="98"/>
    </row>
    <row r="9" spans="1:17" s="95" customFormat="1">
      <c r="A9" s="364" t="s">
        <v>307</v>
      </c>
      <c r="B9" s="94"/>
      <c r="C9" s="94"/>
      <c r="D9" s="94"/>
      <c r="E9" s="94"/>
      <c r="F9" s="94"/>
      <c r="G9" s="94"/>
      <c r="H9" s="94"/>
      <c r="I9" s="94"/>
      <c r="K9" s="100"/>
      <c r="L9" s="283">
        <f>SUMIF('4-Basis ruimtestaat'!E:E,'3A-Prestatie'!A9,'4-Basis ruimtestaat'!I:I)</f>
        <v>86.830000000000013</v>
      </c>
      <c r="M9" s="101" t="s">
        <v>239</v>
      </c>
      <c r="N9" s="98"/>
      <c r="O9" s="98"/>
      <c r="P9" s="98"/>
      <c r="Q9" s="98"/>
    </row>
    <row r="10" spans="1:17" s="95" customFormat="1">
      <c r="A10" s="364" t="s">
        <v>1</v>
      </c>
      <c r="B10" s="94"/>
      <c r="C10" s="94"/>
      <c r="D10" s="94"/>
      <c r="E10" s="94"/>
      <c r="F10" s="94"/>
      <c r="G10" s="94"/>
      <c r="H10" s="94"/>
      <c r="I10" s="94"/>
      <c r="K10" s="100"/>
      <c r="L10" s="283">
        <f>SUMIF('4-Basis ruimtestaat'!E:E,'3A-Prestatie'!A10,'4-Basis ruimtestaat'!I:I)</f>
        <v>335.67</v>
      </c>
      <c r="M10" s="101" t="s">
        <v>240</v>
      </c>
      <c r="N10" s="98"/>
      <c r="O10" s="98"/>
      <c r="P10" s="98"/>
      <c r="Q10" s="98"/>
    </row>
    <row r="11" spans="1:17" s="95" customFormat="1">
      <c r="A11" s="364" t="s">
        <v>696</v>
      </c>
      <c r="B11" s="94"/>
      <c r="C11" s="94"/>
      <c r="D11" s="94"/>
      <c r="E11" s="94"/>
      <c r="F11" s="94"/>
      <c r="G11" s="94"/>
      <c r="H11" s="94"/>
      <c r="I11" s="94"/>
      <c r="K11" s="100"/>
      <c r="L11" s="283">
        <f>SUMIF('4-Basis ruimtestaat'!E:E,'3A-Prestatie'!A11,'4-Basis ruimtestaat'!I:I)</f>
        <v>3.26</v>
      </c>
      <c r="M11" s="101" t="s">
        <v>239</v>
      </c>
      <c r="N11" s="98"/>
      <c r="O11" s="98"/>
      <c r="P11" s="98"/>
      <c r="Q11" s="98"/>
    </row>
    <row r="12" spans="1:17" s="95" customFormat="1">
      <c r="A12" s="364" t="s">
        <v>335</v>
      </c>
      <c r="B12" s="94"/>
      <c r="C12" s="94"/>
      <c r="D12" s="94"/>
      <c r="E12" s="94"/>
      <c r="F12" s="94"/>
      <c r="G12" s="94"/>
      <c r="H12" s="94"/>
      <c r="I12" s="94"/>
      <c r="K12" s="100"/>
      <c r="L12" s="283">
        <f>SUMIF('4-Basis ruimtestaat'!E:E,'3A-Prestatie'!A12,'4-Basis ruimtestaat'!I:I)</f>
        <v>21.909999999999997</v>
      </c>
      <c r="M12" s="101" t="s">
        <v>239</v>
      </c>
      <c r="N12" s="98"/>
      <c r="O12" s="98"/>
      <c r="P12" s="98"/>
      <c r="Q12" s="98"/>
    </row>
    <row r="13" spans="1:17" s="95" customFormat="1">
      <c r="A13" s="364" t="s">
        <v>283</v>
      </c>
      <c r="B13" s="94"/>
      <c r="C13" s="94"/>
      <c r="D13" s="94"/>
      <c r="E13" s="94"/>
      <c r="F13" s="94"/>
      <c r="G13" s="94"/>
      <c r="H13" s="94"/>
      <c r="I13" s="94"/>
      <c r="K13" s="100"/>
      <c r="L13" s="283">
        <f>SUMIF('4-Basis ruimtestaat'!E:E,'3A-Prestatie'!A13,'4-Basis ruimtestaat'!I:I)</f>
        <v>13.299999999999999</v>
      </c>
      <c r="M13" s="101" t="s">
        <v>239</v>
      </c>
      <c r="N13" s="98"/>
      <c r="O13" s="98"/>
      <c r="P13" s="98"/>
      <c r="Q13" s="98"/>
    </row>
    <row r="14" spans="1:17" s="95" customFormat="1">
      <c r="A14" s="364" t="s">
        <v>372</v>
      </c>
      <c r="B14" s="94"/>
      <c r="C14" s="94"/>
      <c r="D14" s="94"/>
      <c r="E14" s="94"/>
      <c r="F14" s="94"/>
      <c r="G14" s="94"/>
      <c r="H14" s="94"/>
      <c r="I14" s="94"/>
      <c r="K14" s="100"/>
      <c r="L14" s="283">
        <f>SUMIF('4-Basis ruimtestaat'!E:E,'3A-Prestatie'!A14,'4-Basis ruimtestaat'!I:I)</f>
        <v>41.810000000000009</v>
      </c>
      <c r="M14" s="101" t="s">
        <v>239</v>
      </c>
      <c r="N14" s="98"/>
      <c r="O14" s="98"/>
      <c r="P14" s="98"/>
      <c r="Q14" s="98"/>
    </row>
    <row r="15" spans="1:17" s="95" customFormat="1">
      <c r="A15" s="364" t="s">
        <v>684</v>
      </c>
      <c r="B15" s="94"/>
      <c r="C15" s="94"/>
      <c r="D15" s="94"/>
      <c r="E15" s="94"/>
      <c r="F15" s="94"/>
      <c r="G15" s="94"/>
      <c r="H15" s="94"/>
      <c r="I15" s="94"/>
      <c r="K15" s="100"/>
      <c r="L15" s="283">
        <f>SUMIF('4-Basis ruimtestaat'!E:E,'3A-Prestatie'!A15,'4-Basis ruimtestaat'!I:I)</f>
        <v>491.42</v>
      </c>
      <c r="M15" s="101" t="s">
        <v>239</v>
      </c>
      <c r="N15" s="98"/>
      <c r="O15" s="98"/>
      <c r="P15" s="98"/>
      <c r="Q15" s="98"/>
    </row>
    <row r="16" spans="1:17" s="95" customFormat="1">
      <c r="A16" s="364" t="s">
        <v>653</v>
      </c>
      <c r="B16" s="94"/>
      <c r="C16" s="94"/>
      <c r="D16" s="94"/>
      <c r="E16" s="94"/>
      <c r="F16" s="94"/>
      <c r="G16" s="94"/>
      <c r="H16" s="94"/>
      <c r="I16" s="94"/>
      <c r="K16" s="100"/>
      <c r="L16" s="283">
        <f>SUMIF('4-Basis ruimtestaat'!E:E,'3A-Prestatie'!A16,'4-Basis ruimtestaat'!I:I)</f>
        <v>326.29999999999995</v>
      </c>
      <c r="M16" s="101" t="s">
        <v>240</v>
      </c>
      <c r="N16" s="98"/>
      <c r="O16" s="98"/>
      <c r="P16" s="98"/>
      <c r="Q16" s="98"/>
    </row>
    <row r="17" spans="1:27">
      <c r="A17" s="364" t="s">
        <v>285</v>
      </c>
      <c r="B17" s="94"/>
      <c r="C17" s="94"/>
      <c r="D17" s="94"/>
      <c r="E17" s="94"/>
      <c r="F17" s="94"/>
      <c r="G17" s="94"/>
      <c r="H17" s="94"/>
      <c r="I17" s="94"/>
      <c r="J17" s="95"/>
      <c r="K17" s="100"/>
      <c r="L17" s="283">
        <f>SUMIF('4-Basis ruimtestaat'!E:E,'3A-Prestatie'!A17,'4-Basis ruimtestaat'!I:I)</f>
        <v>393.79000000000013</v>
      </c>
      <c r="M17" s="101" t="s">
        <v>239</v>
      </c>
      <c r="N17" s="98"/>
      <c r="O17" s="98"/>
      <c r="P17" s="98"/>
      <c r="Q17" s="98"/>
    </row>
    <row r="18" spans="1:27">
      <c r="A18" s="364" t="s">
        <v>341</v>
      </c>
      <c r="B18" s="94"/>
      <c r="C18" s="94"/>
      <c r="D18" s="94"/>
      <c r="E18" s="94"/>
      <c r="F18" s="94"/>
      <c r="G18" s="94"/>
      <c r="H18" s="94"/>
      <c r="I18" s="94"/>
      <c r="J18" s="95"/>
      <c r="K18" s="100"/>
      <c r="L18" s="283">
        <f>SUMIF('4-Basis ruimtestaat'!E:E,'3A-Prestatie'!A18,'4-Basis ruimtestaat'!I:I)</f>
        <v>357.32</v>
      </c>
      <c r="M18" s="101" t="s">
        <v>239</v>
      </c>
      <c r="N18" s="98"/>
      <c r="O18" s="98"/>
      <c r="P18" s="98"/>
      <c r="Q18" s="98"/>
    </row>
    <row r="19" spans="1:27">
      <c r="A19" s="364" t="s">
        <v>474</v>
      </c>
      <c r="B19" s="94"/>
      <c r="C19" s="94"/>
      <c r="D19" s="94"/>
      <c r="E19" s="94"/>
      <c r="F19" s="94"/>
      <c r="G19" s="94"/>
      <c r="H19" s="94"/>
      <c r="I19" s="94"/>
      <c r="J19" s="95"/>
      <c r="K19" s="100"/>
      <c r="L19" s="283">
        <f>SUMIF('4-Basis ruimtestaat'!E:E,'3A-Prestatie'!A19,'4-Basis ruimtestaat'!I:I)</f>
        <v>107.76</v>
      </c>
      <c r="M19" s="101" t="s">
        <v>239</v>
      </c>
      <c r="N19" s="98"/>
      <c r="O19" s="98"/>
      <c r="P19" s="98"/>
      <c r="Q19" s="98"/>
    </row>
    <row r="20" spans="1:27">
      <c r="A20" s="364" t="s">
        <v>302</v>
      </c>
      <c r="B20" s="94"/>
      <c r="C20" s="94"/>
      <c r="D20" s="94"/>
      <c r="E20" s="94"/>
      <c r="F20" s="94"/>
      <c r="G20" s="94"/>
      <c r="H20" s="94"/>
      <c r="I20" s="94"/>
      <c r="J20" s="95"/>
      <c r="K20" s="100"/>
      <c r="L20" s="283">
        <f>SUMIF('4-Basis ruimtestaat'!E:E,'3A-Prestatie'!A20,'4-Basis ruimtestaat'!I:I)</f>
        <v>14.12</v>
      </c>
      <c r="M20" s="101" t="s">
        <v>240</v>
      </c>
      <c r="N20" s="98"/>
      <c r="O20" s="98"/>
      <c r="P20" s="98"/>
      <c r="Q20" s="98"/>
    </row>
    <row r="21" spans="1:27">
      <c r="A21" s="364" t="s">
        <v>651</v>
      </c>
      <c r="B21" s="94"/>
      <c r="C21" s="94"/>
      <c r="D21" s="94"/>
      <c r="E21" s="94"/>
      <c r="F21" s="94"/>
      <c r="G21" s="94"/>
      <c r="H21" s="94"/>
      <c r="I21" s="94"/>
      <c r="J21" s="95"/>
      <c r="K21" s="100"/>
      <c r="L21" s="283">
        <f>SUMIF('4-Basis ruimtestaat'!E:E,'3A-Prestatie'!A21,'4-Basis ruimtestaat'!I:I)</f>
        <v>255.1</v>
      </c>
      <c r="M21" s="101" t="s">
        <v>239</v>
      </c>
      <c r="N21" s="98"/>
      <c r="O21" s="98"/>
      <c r="P21" s="98"/>
      <c r="Q21" s="98"/>
    </row>
    <row r="22" spans="1:27">
      <c r="A22" s="365" t="s">
        <v>728</v>
      </c>
      <c r="B22" s="94"/>
      <c r="C22" s="94"/>
      <c r="D22" s="94"/>
      <c r="E22" s="94"/>
      <c r="F22" s="94"/>
      <c r="G22" s="94"/>
      <c r="H22" s="94"/>
      <c r="I22" s="94"/>
      <c r="J22" s="95"/>
      <c r="K22" s="100"/>
      <c r="L22" s="283">
        <f>SUMIF('4-Basis ruimtestaat'!E:E,'3A-Prestatie'!A22,'4-Basis ruimtestaat'!I:I)</f>
        <v>46718.310000000005</v>
      </c>
      <c r="M22" s="101" t="s">
        <v>88</v>
      </c>
      <c r="N22" s="98"/>
      <c r="O22" s="98"/>
      <c r="P22" s="98"/>
      <c r="Q22" s="98"/>
    </row>
    <row r="23" spans="1:27">
      <c r="L23" s="103">
        <f>SUM(L2:L22)</f>
        <v>52645.880000000005</v>
      </c>
      <c r="N23" s="103"/>
      <c r="Q23" s="24"/>
      <c r="Y23" s="103"/>
      <c r="Z23" s="103"/>
      <c r="AA23" s="359"/>
    </row>
    <row r="24" spans="1:27">
      <c r="B24" s="24" t="s">
        <v>773</v>
      </c>
      <c r="N24" s="282"/>
      <c r="Y24" s="98"/>
    </row>
    <row r="25" spans="1:27" ht="29" customHeight="1">
      <c r="Y25" s="98"/>
    </row>
    <row r="26" spans="1:27">
      <c r="Y26" s="98"/>
    </row>
    <row r="27" spans="1:27" s="119" customFormat="1" ht="33" customHeight="1">
      <c r="A27" s="344" t="s">
        <v>234</v>
      </c>
      <c r="B27" s="344" t="s">
        <v>464</v>
      </c>
      <c r="C27" s="344" t="s">
        <v>228</v>
      </c>
      <c r="D27" s="344" t="s">
        <v>229</v>
      </c>
      <c r="E27" s="344" t="s">
        <v>230</v>
      </c>
      <c r="F27" s="344" t="s">
        <v>463</v>
      </c>
      <c r="G27" s="344" t="s">
        <v>462</v>
      </c>
      <c r="H27" s="344" t="s">
        <v>461</v>
      </c>
      <c r="I27" s="344"/>
      <c r="J27" s="344"/>
      <c r="K27" s="344"/>
      <c r="L27" s="344"/>
      <c r="M27" s="344"/>
      <c r="N27" s="344"/>
      <c r="Y27" s="345"/>
    </row>
    <row r="28" spans="1:27" ht="22" customHeight="1">
      <c r="A28" s="104">
        <v>12</v>
      </c>
      <c r="B28" s="105">
        <v>3</v>
      </c>
      <c r="C28" s="105">
        <v>12</v>
      </c>
      <c r="D28" s="105"/>
      <c r="E28" s="105"/>
      <c r="F28" s="106">
        <v>12</v>
      </c>
      <c r="G28" s="106" t="s">
        <v>457</v>
      </c>
      <c r="H28" s="107" t="s">
        <v>460</v>
      </c>
      <c r="I28" s="108"/>
      <c r="J28" s="108"/>
      <c r="K28" s="108"/>
      <c r="L28" s="108"/>
      <c r="M28" s="108"/>
      <c r="N28" s="109"/>
      <c r="Q28" s="24"/>
      <c r="Y28" s="98"/>
    </row>
    <row r="29" spans="1:27" ht="22" customHeight="1">
      <c r="A29" s="104">
        <v>52</v>
      </c>
      <c r="B29" s="105">
        <v>4</v>
      </c>
      <c r="C29" s="105">
        <v>52</v>
      </c>
      <c r="D29" s="105"/>
      <c r="E29" s="105"/>
      <c r="F29" s="106">
        <v>1</v>
      </c>
      <c r="G29" s="106" t="s">
        <v>457</v>
      </c>
      <c r="H29" s="107" t="s">
        <v>459</v>
      </c>
      <c r="I29" s="108"/>
      <c r="J29" s="108"/>
      <c r="K29" s="108"/>
      <c r="L29" s="108"/>
      <c r="M29" s="108"/>
      <c r="N29" s="109"/>
      <c r="Q29" s="24"/>
      <c r="Y29" s="98"/>
    </row>
    <row r="30" spans="1:27" ht="22" customHeight="1">
      <c r="A30" s="104">
        <v>104</v>
      </c>
      <c r="B30" s="105">
        <v>5</v>
      </c>
      <c r="C30" s="105">
        <v>104</v>
      </c>
      <c r="D30" s="105"/>
      <c r="E30" s="105"/>
      <c r="F30" s="106">
        <v>2</v>
      </c>
      <c r="G30" s="106" t="s">
        <v>457</v>
      </c>
      <c r="H30" s="107" t="s">
        <v>459</v>
      </c>
      <c r="I30" s="108"/>
      <c r="J30" s="108"/>
      <c r="K30" s="108"/>
      <c r="L30" s="108"/>
      <c r="M30" s="108"/>
      <c r="N30" s="109"/>
      <c r="Q30" s="24"/>
      <c r="Y30" s="98"/>
    </row>
    <row r="31" spans="1:27" ht="22" customHeight="1">
      <c r="A31" s="104">
        <v>156</v>
      </c>
      <c r="B31" s="105">
        <v>6</v>
      </c>
      <c r="C31" s="105">
        <v>156</v>
      </c>
      <c r="D31" s="105"/>
      <c r="E31" s="105"/>
      <c r="F31" s="106">
        <v>3</v>
      </c>
      <c r="G31" s="106" t="s">
        <v>457</v>
      </c>
      <c r="H31" s="107" t="s">
        <v>459</v>
      </c>
      <c r="I31" s="108"/>
      <c r="J31" s="108"/>
      <c r="K31" s="108"/>
      <c r="L31" s="108"/>
      <c r="M31" s="108"/>
      <c r="N31" s="109"/>
      <c r="Q31" s="24"/>
    </row>
    <row r="32" spans="1:27" ht="22" customHeight="1">
      <c r="A32" s="104">
        <v>255</v>
      </c>
      <c r="B32" s="105">
        <v>7</v>
      </c>
      <c r="C32" s="105">
        <v>255</v>
      </c>
      <c r="D32" s="105"/>
      <c r="E32" s="105"/>
      <c r="F32" s="106">
        <v>5</v>
      </c>
      <c r="G32" s="106" t="s">
        <v>457</v>
      </c>
      <c r="H32" s="107" t="s">
        <v>459</v>
      </c>
      <c r="I32" s="108"/>
      <c r="J32" s="108"/>
      <c r="K32" s="108"/>
      <c r="L32" s="108"/>
      <c r="M32" s="108"/>
      <c r="N32" s="109"/>
      <c r="Q32" s="24"/>
    </row>
    <row r="33" spans="1:17" ht="22" customHeight="1">
      <c r="A33" s="104">
        <v>365</v>
      </c>
      <c r="B33" s="105">
        <v>8</v>
      </c>
      <c r="C33" s="105">
        <v>255</v>
      </c>
      <c r="D33" s="105">
        <v>102</v>
      </c>
      <c r="E33" s="105">
        <v>10</v>
      </c>
      <c r="F33" s="106">
        <v>7</v>
      </c>
      <c r="G33" s="106" t="s">
        <v>457</v>
      </c>
      <c r="H33" s="107" t="s">
        <v>459</v>
      </c>
      <c r="I33" s="108"/>
      <c r="J33" s="108"/>
      <c r="K33" s="108"/>
      <c r="L33" s="108"/>
      <c r="M33" s="108"/>
      <c r="N33" s="109"/>
      <c r="Q33" s="24"/>
    </row>
    <row r="34" spans="1:17" ht="22" customHeight="1">
      <c r="A34" s="104">
        <v>510</v>
      </c>
      <c r="B34" s="105">
        <v>9</v>
      </c>
      <c r="C34" s="105">
        <v>510</v>
      </c>
      <c r="D34" s="105"/>
      <c r="E34" s="105"/>
      <c r="F34" s="106">
        <v>2</v>
      </c>
      <c r="G34" s="106" t="s">
        <v>457</v>
      </c>
      <c r="H34" s="107" t="s">
        <v>458</v>
      </c>
      <c r="I34" s="108"/>
      <c r="J34" s="108"/>
      <c r="K34" s="108"/>
      <c r="L34" s="108"/>
      <c r="M34" s="108"/>
      <c r="N34" s="109"/>
      <c r="Q34" s="24"/>
    </row>
  </sheetData>
  <phoneticPr fontId="7"/>
  <conditionalFormatting sqref="B2:I22">
    <cfRule type="cellIs" dxfId="37" priority="4" stopIfTrue="1" operator="equal">
      <formula>""</formula>
    </cfRule>
  </conditionalFormatting>
  <printOptions horizontalCentered="1" gridLinesSet="0"/>
  <pageMargins left="0.59055118110236227" right="0.59055118110236227" top="0.59055118110236227" bottom="0.78740157480314965" header="0.39370078740157483" footer="0.19685039370078741"/>
  <pageSetup paperSize="9" scale="53" orientation="portrait"/>
  <headerFooter alignWithMargins="0"/>
  <cellWatches>
    <cellWatch r="N60"/>
    <cellWatch r="M60"/>
    <cellWatch r="N62"/>
    <cellWatch r="M62"/>
    <cellWatch r="N46"/>
    <cellWatch r="M46"/>
  </cellWatches>
  <ignoredErrors>
    <ignoredError sqref="I1 G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FFFF00"/>
    <pageSetUpPr fitToPage="1"/>
  </sheetPr>
  <dimension ref="A1:T135"/>
  <sheetViews>
    <sheetView showGridLines="0" showZeros="0" zoomScale="106" zoomScaleNormal="106" zoomScalePageLayoutView="80" workbookViewId="0">
      <pane xSplit="1" ySplit="1" topLeftCell="B2" activePane="bottomRight" state="frozen"/>
      <selection activeCell="E25" sqref="E25"/>
      <selection pane="topRight" activeCell="E25" sqref="E25"/>
      <selection pane="bottomLeft" activeCell="E25" sqref="E25"/>
      <selection pane="bottomRight" activeCell="C20" sqref="C20"/>
    </sheetView>
  </sheetViews>
  <sheetFormatPr baseColWidth="10" defaultColWidth="10.59765625" defaultRowHeight="15"/>
  <cols>
    <col min="1" max="1" width="48.3984375" style="102" customWidth="1"/>
    <col min="2" max="2" width="19.19921875" style="24" bestFit="1" customWidth="1"/>
    <col min="3" max="4" width="12.3984375" style="24" customWidth="1"/>
    <col min="5" max="5" width="3.3984375" style="127" customWidth="1"/>
    <col min="6" max="6" width="17.19921875" style="24" bestFit="1" customWidth="1"/>
    <col min="7" max="7" width="15" style="24" bestFit="1" customWidth="1"/>
    <col min="8" max="8" width="17.796875" style="24" bestFit="1" customWidth="1"/>
    <col min="9" max="9" width="1.59765625" style="24" customWidth="1"/>
    <col min="10" max="10" width="10.59765625" style="24" customWidth="1"/>
    <col min="11" max="11" width="12.3984375" style="24" bestFit="1" customWidth="1"/>
    <col min="12" max="12" width="10.59765625" style="24" customWidth="1"/>
    <col min="13" max="13" width="12.3984375" style="24" bestFit="1" customWidth="1"/>
    <col min="14" max="14" width="14.59765625" style="24" customWidth="1"/>
    <col min="15" max="16" width="10.59765625" style="112"/>
    <col min="17" max="16384" width="10.59765625" style="24"/>
  </cols>
  <sheetData>
    <row r="1" spans="1:20" ht="38.25" customHeight="1">
      <c r="A1" s="48" t="s">
        <v>80</v>
      </c>
      <c r="B1" s="562" t="s">
        <v>235</v>
      </c>
      <c r="C1" s="562"/>
      <c r="D1" s="562"/>
      <c r="E1" s="110"/>
      <c r="F1" s="562" t="s">
        <v>236</v>
      </c>
      <c r="G1" s="562"/>
      <c r="H1" s="562"/>
      <c r="I1" s="111"/>
      <c r="J1" s="558" t="s">
        <v>235</v>
      </c>
      <c r="K1" s="559"/>
      <c r="L1" s="560" t="s">
        <v>236</v>
      </c>
      <c r="M1" s="561"/>
    </row>
    <row r="2" spans="1:20" s="119" customFormat="1" ht="61" customHeight="1">
      <c r="A2" s="113"/>
      <c r="B2" s="114" t="s">
        <v>196</v>
      </c>
      <c r="C2" s="114" t="s">
        <v>195</v>
      </c>
      <c r="D2" s="114" t="s">
        <v>197</v>
      </c>
      <c r="E2" s="115"/>
      <c r="F2" s="116" t="s">
        <v>196</v>
      </c>
      <c r="G2" s="116" t="s">
        <v>195</v>
      </c>
      <c r="H2" s="116" t="s">
        <v>197</v>
      </c>
      <c r="I2" s="117"/>
      <c r="J2" s="118" t="s">
        <v>425</v>
      </c>
      <c r="K2" s="118" t="s">
        <v>193</v>
      </c>
      <c r="L2" s="118" t="s">
        <v>425</v>
      </c>
      <c r="M2" s="118" t="s">
        <v>193</v>
      </c>
      <c r="O2" s="120"/>
      <c r="P2" s="120"/>
    </row>
    <row r="3" spans="1:20" ht="15" customHeight="1">
      <c r="A3" s="128" t="s">
        <v>4</v>
      </c>
      <c r="B3" s="124">
        <v>52</v>
      </c>
      <c r="C3" s="124">
        <v>12</v>
      </c>
      <c r="D3" s="124"/>
      <c r="E3" s="121"/>
      <c r="F3" s="99"/>
      <c r="G3" s="99"/>
      <c r="H3" s="99"/>
      <c r="I3" s="122"/>
      <c r="J3" s="99">
        <f>C3-1</f>
        <v>11</v>
      </c>
      <c r="K3" s="99">
        <v>1</v>
      </c>
      <c r="L3" s="99"/>
      <c r="M3" s="99"/>
      <c r="N3" s="66"/>
      <c r="Q3" s="123"/>
      <c r="R3" s="123"/>
    </row>
    <row r="4" spans="1:20" ht="15" customHeight="1">
      <c r="A4" s="128" t="s">
        <v>334</v>
      </c>
      <c r="B4" s="124">
        <v>12</v>
      </c>
      <c r="C4" s="124">
        <v>12</v>
      </c>
      <c r="D4" s="124">
        <v>1</v>
      </c>
      <c r="E4" s="121"/>
      <c r="F4" s="99"/>
      <c r="G4" s="99"/>
      <c r="H4" s="99"/>
      <c r="I4" s="122"/>
      <c r="J4" s="99">
        <f t="shared" ref="J4:J23" si="0">C4-1</f>
        <v>11</v>
      </c>
      <c r="K4" s="99">
        <v>1</v>
      </c>
      <c r="L4" s="99"/>
      <c r="M4" s="99"/>
      <c r="N4" s="66"/>
      <c r="Q4" s="123"/>
    </row>
    <row r="5" spans="1:20" ht="15" customHeight="1">
      <c r="A5" s="128" t="s">
        <v>470</v>
      </c>
      <c r="B5" s="124">
        <v>1</v>
      </c>
      <c r="C5" s="124">
        <v>1</v>
      </c>
      <c r="D5" s="124"/>
      <c r="E5" s="121"/>
      <c r="F5" s="99"/>
      <c r="G5" s="99"/>
      <c r="H5" s="99"/>
      <c r="I5" s="122"/>
      <c r="J5" s="99">
        <f t="shared" si="0"/>
        <v>0</v>
      </c>
      <c r="K5" s="99">
        <v>1</v>
      </c>
      <c r="L5" s="99"/>
      <c r="M5" s="99"/>
      <c r="N5" s="66"/>
      <c r="Q5" s="123"/>
    </row>
    <row r="6" spans="1:20" ht="15" customHeight="1">
      <c r="A6" s="128" t="s">
        <v>6</v>
      </c>
      <c r="B6" s="124">
        <v>4</v>
      </c>
      <c r="C6" s="124">
        <v>4</v>
      </c>
      <c r="D6" s="124">
        <v>1</v>
      </c>
      <c r="E6" s="121"/>
      <c r="F6" s="99"/>
      <c r="G6" s="99"/>
      <c r="H6" s="99"/>
      <c r="I6" s="122"/>
      <c r="J6" s="99">
        <f t="shared" si="0"/>
        <v>3</v>
      </c>
      <c r="K6" s="99">
        <v>1</v>
      </c>
      <c r="L6" s="99"/>
      <c r="M6" s="99"/>
      <c r="N6" s="66"/>
      <c r="Q6" s="123"/>
    </row>
    <row r="7" spans="1:20" ht="15" customHeight="1">
      <c r="A7" s="128" t="s">
        <v>286</v>
      </c>
      <c r="B7" s="124">
        <v>4</v>
      </c>
      <c r="C7" s="124">
        <v>4</v>
      </c>
      <c r="D7" s="124">
        <v>1</v>
      </c>
      <c r="E7" s="121"/>
      <c r="F7" s="99"/>
      <c r="G7" s="99"/>
      <c r="H7" s="99"/>
      <c r="I7" s="122"/>
      <c r="J7" s="99">
        <f t="shared" si="0"/>
        <v>3</v>
      </c>
      <c r="K7" s="99">
        <v>1</v>
      </c>
      <c r="L7" s="99"/>
      <c r="M7" s="99"/>
      <c r="N7" s="66"/>
      <c r="Q7" s="123"/>
    </row>
    <row r="8" spans="1:20" ht="15" customHeight="1">
      <c r="A8" s="128" t="s">
        <v>306</v>
      </c>
      <c r="B8" s="124">
        <v>12</v>
      </c>
      <c r="C8" s="124">
        <v>12</v>
      </c>
      <c r="D8" s="124">
        <v>1</v>
      </c>
      <c r="E8" s="121"/>
      <c r="F8" s="99"/>
      <c r="G8" s="99"/>
      <c r="H8" s="99"/>
      <c r="I8" s="122"/>
      <c r="J8" s="99">
        <f t="shared" si="0"/>
        <v>11</v>
      </c>
      <c r="K8" s="99">
        <v>1</v>
      </c>
      <c r="L8" s="99"/>
      <c r="M8" s="99"/>
      <c r="N8" s="66"/>
      <c r="Q8" s="123"/>
    </row>
    <row r="9" spans="1:20" ht="15" customHeight="1">
      <c r="A9" s="128" t="s">
        <v>5</v>
      </c>
      <c r="B9" s="124">
        <v>4</v>
      </c>
      <c r="C9" s="124">
        <v>4</v>
      </c>
      <c r="D9" s="124">
        <v>1</v>
      </c>
      <c r="E9" s="121"/>
      <c r="F9" s="99"/>
      <c r="G9" s="99"/>
      <c r="H9" s="99"/>
      <c r="I9" s="122"/>
      <c r="J9" s="99">
        <f t="shared" si="0"/>
        <v>3</v>
      </c>
      <c r="K9" s="99">
        <v>1</v>
      </c>
      <c r="L9" s="99"/>
      <c r="M9" s="99"/>
      <c r="N9" s="66"/>
      <c r="Q9" s="123"/>
      <c r="T9" s="126"/>
    </row>
    <row r="10" spans="1:20" ht="15" customHeight="1">
      <c r="A10" s="128" t="s">
        <v>307</v>
      </c>
      <c r="B10" s="124">
        <v>52</v>
      </c>
      <c r="C10" s="124">
        <v>12</v>
      </c>
      <c r="D10" s="124">
        <v>1</v>
      </c>
      <c r="E10" s="121"/>
      <c r="F10" s="99"/>
      <c r="G10" s="99"/>
      <c r="H10" s="99"/>
      <c r="I10" s="122"/>
      <c r="J10" s="99">
        <f t="shared" si="0"/>
        <v>11</v>
      </c>
      <c r="K10" s="99">
        <v>1</v>
      </c>
      <c r="L10" s="99"/>
      <c r="M10" s="99"/>
      <c r="N10" s="66"/>
      <c r="Q10" s="123"/>
    </row>
    <row r="11" spans="1:20" ht="15" customHeight="1">
      <c r="A11" s="128" t="s">
        <v>1</v>
      </c>
      <c r="B11" s="124">
        <v>255</v>
      </c>
      <c r="C11" s="124">
        <v>12</v>
      </c>
      <c r="D11" s="124">
        <v>1</v>
      </c>
      <c r="E11" s="121"/>
      <c r="F11" s="99"/>
      <c r="G11" s="99"/>
      <c r="H11" s="99"/>
      <c r="I11" s="122"/>
      <c r="J11" s="99">
        <f t="shared" si="0"/>
        <v>11</v>
      </c>
      <c r="K11" s="99">
        <v>1</v>
      </c>
      <c r="L11" s="99"/>
      <c r="M11" s="99"/>
      <c r="N11" s="66"/>
      <c r="Q11" s="123"/>
    </row>
    <row r="12" spans="1:20" ht="15" customHeight="1">
      <c r="A12" s="128" t="s">
        <v>696</v>
      </c>
      <c r="B12" s="124">
        <v>4</v>
      </c>
      <c r="C12" s="124">
        <v>4</v>
      </c>
      <c r="D12" s="124">
        <v>1</v>
      </c>
      <c r="E12" s="121"/>
      <c r="F12" s="99"/>
      <c r="G12" s="99"/>
      <c r="H12" s="99"/>
      <c r="I12" s="122"/>
      <c r="J12" s="99">
        <f t="shared" si="0"/>
        <v>3</v>
      </c>
      <c r="K12" s="99">
        <v>1</v>
      </c>
      <c r="L12" s="99"/>
      <c r="M12" s="99"/>
      <c r="N12" s="66"/>
      <c r="Q12" s="123"/>
    </row>
    <row r="13" spans="1:20" ht="15" customHeight="1">
      <c r="A13" s="128" t="s">
        <v>335</v>
      </c>
      <c r="B13" s="124">
        <v>12</v>
      </c>
      <c r="C13" s="124">
        <v>12</v>
      </c>
      <c r="D13" s="124">
        <v>1</v>
      </c>
      <c r="E13" s="121"/>
      <c r="F13" s="99"/>
      <c r="G13" s="99"/>
      <c r="H13" s="99"/>
      <c r="I13" s="122"/>
      <c r="J13" s="99">
        <f t="shared" si="0"/>
        <v>11</v>
      </c>
      <c r="K13" s="99">
        <v>1</v>
      </c>
      <c r="L13" s="99"/>
      <c r="M13" s="99"/>
      <c r="N13" s="66"/>
      <c r="Q13" s="123"/>
    </row>
    <row r="14" spans="1:20" ht="15" customHeight="1">
      <c r="A14" s="128" t="s">
        <v>283</v>
      </c>
      <c r="B14" s="124">
        <v>12</v>
      </c>
      <c r="C14" s="124">
        <v>12</v>
      </c>
      <c r="D14" s="124">
        <v>1</v>
      </c>
      <c r="E14" s="121"/>
      <c r="F14" s="99"/>
      <c r="G14" s="99"/>
      <c r="H14" s="99"/>
      <c r="I14" s="122"/>
      <c r="J14" s="99">
        <f t="shared" ref="J14" si="1">C14-1</f>
        <v>11</v>
      </c>
      <c r="K14" s="99">
        <v>1</v>
      </c>
      <c r="L14" s="99"/>
      <c r="M14" s="99"/>
      <c r="N14" s="66"/>
      <c r="Q14" s="123"/>
    </row>
    <row r="15" spans="1:20" ht="15" customHeight="1">
      <c r="A15" s="128" t="s">
        <v>372</v>
      </c>
      <c r="B15" s="124">
        <v>12</v>
      </c>
      <c r="C15" s="124">
        <v>12</v>
      </c>
      <c r="D15" s="124">
        <v>1</v>
      </c>
      <c r="E15" s="121"/>
      <c r="F15" s="99"/>
      <c r="G15" s="99"/>
      <c r="H15" s="99"/>
      <c r="I15" s="122"/>
      <c r="J15" s="99">
        <f t="shared" si="0"/>
        <v>11</v>
      </c>
      <c r="K15" s="99">
        <v>1</v>
      </c>
      <c r="L15" s="99"/>
      <c r="M15" s="99"/>
      <c r="N15" s="66"/>
      <c r="Q15" s="123"/>
    </row>
    <row r="16" spans="1:20" ht="15" customHeight="1">
      <c r="A16" s="128" t="s">
        <v>684</v>
      </c>
      <c r="B16" s="124">
        <v>12</v>
      </c>
      <c r="C16" s="124">
        <v>12</v>
      </c>
      <c r="D16" s="124">
        <v>1</v>
      </c>
      <c r="E16" s="121"/>
      <c r="F16" s="99"/>
      <c r="G16" s="99"/>
      <c r="H16" s="99"/>
      <c r="J16" s="99">
        <f t="shared" si="0"/>
        <v>11</v>
      </c>
      <c r="K16" s="99">
        <v>1</v>
      </c>
      <c r="L16" s="99"/>
      <c r="M16" s="99"/>
      <c r="N16" s="66"/>
      <c r="Q16" s="123"/>
    </row>
    <row r="17" spans="1:17" ht="15" customHeight="1">
      <c r="A17" s="128" t="s">
        <v>653</v>
      </c>
      <c r="B17" s="124">
        <v>52</v>
      </c>
      <c r="C17" s="124">
        <v>12</v>
      </c>
      <c r="D17" s="124">
        <v>1</v>
      </c>
      <c r="E17" s="121"/>
      <c r="F17" s="99"/>
      <c r="G17" s="99"/>
      <c r="H17" s="99"/>
      <c r="I17" s="122"/>
      <c r="J17" s="99">
        <f t="shared" si="0"/>
        <v>11</v>
      </c>
      <c r="K17" s="99">
        <v>1</v>
      </c>
      <c r="L17" s="99"/>
      <c r="M17" s="99"/>
      <c r="N17" s="66"/>
      <c r="Q17" s="123"/>
    </row>
    <row r="18" spans="1:17" ht="15" customHeight="1">
      <c r="A18" s="128" t="s">
        <v>330</v>
      </c>
      <c r="B18" s="124">
        <v>52</v>
      </c>
      <c r="C18" s="124">
        <v>12</v>
      </c>
      <c r="D18" s="124">
        <v>1</v>
      </c>
      <c r="E18" s="121"/>
      <c r="F18" s="99"/>
      <c r="G18" s="99"/>
      <c r="H18" s="99"/>
      <c r="I18" s="122"/>
      <c r="J18" s="99">
        <f t="shared" si="0"/>
        <v>11</v>
      </c>
      <c r="K18" s="99">
        <v>1</v>
      </c>
      <c r="L18" s="99"/>
      <c r="M18" s="99"/>
      <c r="N18" s="66"/>
      <c r="Q18" s="123"/>
    </row>
    <row r="19" spans="1:17" ht="15" customHeight="1">
      <c r="A19" s="128" t="s">
        <v>285</v>
      </c>
      <c r="B19" s="124">
        <v>52</v>
      </c>
      <c r="C19" s="124">
        <v>12</v>
      </c>
      <c r="D19" s="124">
        <v>1</v>
      </c>
      <c r="E19" s="121"/>
      <c r="F19" s="99"/>
      <c r="G19" s="99"/>
      <c r="H19" s="99"/>
      <c r="I19" s="122"/>
      <c r="J19" s="99">
        <f t="shared" si="0"/>
        <v>11</v>
      </c>
      <c r="K19" s="99">
        <v>1</v>
      </c>
      <c r="L19" s="99"/>
      <c r="M19" s="99"/>
      <c r="N19" s="66"/>
      <c r="Q19" s="123"/>
    </row>
    <row r="20" spans="1:17" ht="15" customHeight="1">
      <c r="A20" s="128" t="s">
        <v>341</v>
      </c>
      <c r="B20" s="124">
        <v>4</v>
      </c>
      <c r="C20" s="124">
        <v>4</v>
      </c>
      <c r="D20" s="124">
        <v>1</v>
      </c>
      <c r="E20" s="121"/>
      <c r="F20" s="99"/>
      <c r="G20" s="99"/>
      <c r="H20" s="99"/>
      <c r="I20" s="122"/>
      <c r="J20" s="99">
        <f t="shared" si="0"/>
        <v>3</v>
      </c>
      <c r="K20" s="99">
        <v>1</v>
      </c>
      <c r="L20" s="99"/>
      <c r="M20" s="99"/>
      <c r="N20" s="66"/>
      <c r="Q20" s="123"/>
    </row>
    <row r="21" spans="1:17" ht="15" customHeight="1">
      <c r="A21" s="128" t="s">
        <v>474</v>
      </c>
      <c r="B21" s="124">
        <v>4</v>
      </c>
      <c r="C21" s="124">
        <v>4</v>
      </c>
      <c r="D21" s="124">
        <v>1</v>
      </c>
      <c r="E21" s="121"/>
      <c r="F21" s="99"/>
      <c r="G21" s="99"/>
      <c r="H21" s="99"/>
      <c r="I21" s="122"/>
      <c r="J21" s="99">
        <f t="shared" si="0"/>
        <v>3</v>
      </c>
      <c r="K21" s="99">
        <v>1</v>
      </c>
      <c r="L21" s="99"/>
      <c r="M21" s="99"/>
      <c r="N21" s="66"/>
      <c r="Q21" s="123"/>
    </row>
    <row r="22" spans="1:17" ht="15" customHeight="1">
      <c r="A22" s="128" t="s">
        <v>302</v>
      </c>
      <c r="B22" s="124">
        <v>4</v>
      </c>
      <c r="C22" s="124">
        <v>4</v>
      </c>
      <c r="D22" s="124">
        <v>1</v>
      </c>
      <c r="E22" s="121"/>
      <c r="F22" s="99"/>
      <c r="G22" s="99"/>
      <c r="H22" s="99"/>
      <c r="I22" s="122"/>
      <c r="J22" s="99">
        <f t="shared" si="0"/>
        <v>3</v>
      </c>
      <c r="K22" s="99">
        <v>1</v>
      </c>
      <c r="L22" s="99"/>
      <c r="M22" s="99"/>
      <c r="N22" s="66"/>
      <c r="Q22" s="123"/>
    </row>
    <row r="23" spans="1:17" ht="15" customHeight="1">
      <c r="A23" s="128" t="s">
        <v>651</v>
      </c>
      <c r="B23" s="124">
        <v>4</v>
      </c>
      <c r="C23" s="124">
        <v>4</v>
      </c>
      <c r="D23" s="124">
        <v>1</v>
      </c>
      <c r="E23" s="121"/>
      <c r="F23" s="99"/>
      <c r="G23" s="99"/>
      <c r="H23" s="99"/>
      <c r="I23" s="122"/>
      <c r="J23" s="99">
        <f t="shared" si="0"/>
        <v>3</v>
      </c>
      <c r="K23" s="99">
        <v>1</v>
      </c>
      <c r="L23" s="99"/>
      <c r="M23" s="99"/>
      <c r="N23" s="66"/>
      <c r="Q23" s="123"/>
    </row>
    <row r="24" spans="1:17" ht="15" customHeight="1">
      <c r="A24" s="128" t="s">
        <v>728</v>
      </c>
      <c r="B24" s="124">
        <v>1</v>
      </c>
      <c r="C24" s="124">
        <v>1</v>
      </c>
      <c r="D24" s="124">
        <v>1</v>
      </c>
      <c r="E24" s="121"/>
      <c r="F24" s="99"/>
      <c r="G24" s="99"/>
      <c r="H24" s="99"/>
      <c r="I24" s="122"/>
      <c r="J24" s="99">
        <v>1</v>
      </c>
      <c r="K24" s="99">
        <v>1</v>
      </c>
      <c r="L24" s="99"/>
      <c r="M24" s="99"/>
      <c r="N24" s="66"/>
      <c r="Q24" s="123"/>
    </row>
    <row r="25" spans="1:17">
      <c r="G25" s="126"/>
    </row>
    <row r="27" spans="1:17" ht="25.5" customHeight="1">
      <c r="A27" s="48" t="s">
        <v>71</v>
      </c>
      <c r="B27" s="562" t="s">
        <v>198</v>
      </c>
      <c r="C27" s="562"/>
    </row>
    <row r="28" spans="1:17">
      <c r="A28" s="128" t="s">
        <v>199</v>
      </c>
      <c r="B28" s="128" t="s">
        <v>88</v>
      </c>
      <c r="C28" s="128"/>
    </row>
    <row r="29" spans="1:17">
      <c r="A29" s="128" t="s">
        <v>468</v>
      </c>
      <c r="B29" s="128" t="s">
        <v>196</v>
      </c>
      <c r="C29" s="128"/>
    </row>
    <row r="30" spans="1:17">
      <c r="A30" s="128" t="s">
        <v>69</v>
      </c>
      <c r="B30" s="128" t="s">
        <v>196</v>
      </c>
      <c r="C30" s="128"/>
    </row>
    <row r="31" spans="1:17">
      <c r="A31" s="128" t="s">
        <v>178</v>
      </c>
      <c r="B31" s="128" t="s">
        <v>196</v>
      </c>
      <c r="C31" s="128"/>
    </row>
    <row r="32" spans="1:17">
      <c r="A32" s="128" t="s">
        <v>411</v>
      </c>
      <c r="B32" s="128" t="s">
        <v>196</v>
      </c>
      <c r="C32" s="128"/>
    </row>
    <row r="33" spans="1:3">
      <c r="A33" s="128" t="s">
        <v>469</v>
      </c>
      <c r="B33" s="128" t="s">
        <v>196</v>
      </c>
      <c r="C33" s="128"/>
    </row>
    <row r="34" spans="1:3">
      <c r="A34" s="128" t="s">
        <v>574</v>
      </c>
      <c r="B34" s="128" t="s">
        <v>196</v>
      </c>
      <c r="C34" s="128"/>
    </row>
    <row r="35" spans="1:3">
      <c r="A35" s="128" t="s">
        <v>572</v>
      </c>
      <c r="B35" s="128" t="s">
        <v>196</v>
      </c>
      <c r="C35" s="128"/>
    </row>
    <row r="36" spans="1:3">
      <c r="A36" s="128" t="s">
        <v>200</v>
      </c>
      <c r="B36" s="128" t="s">
        <v>196</v>
      </c>
      <c r="C36" s="128"/>
    </row>
    <row r="37" spans="1:3">
      <c r="A37" s="128" t="s">
        <v>267</v>
      </c>
      <c r="B37" s="128" t="s">
        <v>196</v>
      </c>
      <c r="C37" s="128"/>
    </row>
    <row r="38" spans="1:3">
      <c r="A38" s="128" t="s">
        <v>534</v>
      </c>
      <c r="B38" s="128" t="s">
        <v>196</v>
      </c>
      <c r="C38" s="128"/>
    </row>
    <row r="39" spans="1:3">
      <c r="A39" s="128" t="s">
        <v>201</v>
      </c>
      <c r="B39" s="128" t="s">
        <v>196</v>
      </c>
      <c r="C39" s="128"/>
    </row>
    <row r="40" spans="1:3">
      <c r="A40" s="128" t="s">
        <v>202</v>
      </c>
      <c r="B40" s="128" t="s">
        <v>196</v>
      </c>
      <c r="C40" s="128"/>
    </row>
    <row r="41" spans="1:3">
      <c r="A41" s="128" t="s">
        <v>83</v>
      </c>
      <c r="B41" s="128" t="s">
        <v>195</v>
      </c>
      <c r="C41" s="128"/>
    </row>
    <row r="42" spans="1:3">
      <c r="A42" s="128" t="s">
        <v>725</v>
      </c>
      <c r="B42" s="128" t="s">
        <v>196</v>
      </c>
      <c r="C42" s="128"/>
    </row>
    <row r="43" spans="1:3">
      <c r="A43" s="128" t="s">
        <v>418</v>
      </c>
      <c r="B43" s="128" t="s">
        <v>197</v>
      </c>
      <c r="C43" s="128"/>
    </row>
    <row r="44" spans="1:3">
      <c r="A44" s="128" t="s">
        <v>85</v>
      </c>
      <c r="B44" s="128" t="s">
        <v>196</v>
      </c>
      <c r="C44" s="128"/>
    </row>
    <row r="45" spans="1:3">
      <c r="A45" s="128" t="s">
        <v>203</v>
      </c>
      <c r="B45" s="128" t="s">
        <v>197</v>
      </c>
      <c r="C45" s="128"/>
    </row>
    <row r="46" spans="1:3">
      <c r="A46" s="128" t="s">
        <v>648</v>
      </c>
      <c r="B46" s="128" t="s">
        <v>196</v>
      </c>
      <c r="C46" s="128"/>
    </row>
    <row r="47" spans="1:3">
      <c r="A47" s="128" t="s">
        <v>66</v>
      </c>
      <c r="B47" s="128" t="s">
        <v>196</v>
      </c>
      <c r="C47" s="128"/>
    </row>
    <row r="48" spans="1:3">
      <c r="A48" s="290" t="s">
        <v>570</v>
      </c>
      <c r="B48" s="128" t="s">
        <v>196</v>
      </c>
      <c r="C48" s="128"/>
    </row>
    <row r="49" spans="1:3">
      <c r="A49" s="128" t="s">
        <v>177</v>
      </c>
      <c r="B49" s="128" t="s">
        <v>196</v>
      </c>
      <c r="C49" s="128"/>
    </row>
    <row r="50" spans="1:3">
      <c r="A50" s="294" t="s">
        <v>575</v>
      </c>
      <c r="B50" s="128" t="s">
        <v>196</v>
      </c>
      <c r="C50" s="128"/>
    </row>
    <row r="51" spans="1:3">
      <c r="A51" s="128" t="s">
        <v>266</v>
      </c>
      <c r="B51" s="128" t="s">
        <v>195</v>
      </c>
      <c r="C51" s="128"/>
    </row>
    <row r="52" spans="1:3">
      <c r="A52" s="128" t="s">
        <v>543</v>
      </c>
      <c r="B52" s="128" t="s">
        <v>195</v>
      </c>
      <c r="C52" s="128"/>
    </row>
    <row r="53" spans="1:3">
      <c r="A53" s="128" t="s">
        <v>573</v>
      </c>
      <c r="B53" s="128" t="s">
        <v>195</v>
      </c>
      <c r="C53" s="128"/>
    </row>
    <row r="54" spans="1:3">
      <c r="A54" s="128" t="s">
        <v>87</v>
      </c>
      <c r="B54" s="128" t="s">
        <v>195</v>
      </c>
      <c r="C54" s="128"/>
    </row>
    <row r="55" spans="1:3">
      <c r="A55" s="128" t="s">
        <v>204</v>
      </c>
      <c r="B55" s="128" t="s">
        <v>195</v>
      </c>
      <c r="C55" s="128"/>
    </row>
    <row r="56" spans="1:3">
      <c r="A56" s="128" t="s">
        <v>205</v>
      </c>
      <c r="B56" s="128" t="s">
        <v>195</v>
      </c>
      <c r="C56" s="128"/>
    </row>
    <row r="57" spans="1:3">
      <c r="A57" s="128" t="s">
        <v>206</v>
      </c>
      <c r="B57" s="128" t="s">
        <v>195</v>
      </c>
      <c r="C57" s="128"/>
    </row>
    <row r="58" spans="1:3">
      <c r="A58" s="128" t="s">
        <v>207</v>
      </c>
      <c r="B58" s="128" t="s">
        <v>195</v>
      </c>
      <c r="C58" s="128"/>
    </row>
    <row r="59" spans="1:3" ht="12" customHeight="1">
      <c r="A59" s="128" t="s">
        <v>176</v>
      </c>
      <c r="B59" s="128" t="s">
        <v>196</v>
      </c>
      <c r="C59" s="128"/>
    </row>
    <row r="60" spans="1:3">
      <c r="A60" s="128" t="s">
        <v>208</v>
      </c>
      <c r="B60" s="128" t="s">
        <v>196</v>
      </c>
      <c r="C60" s="128"/>
    </row>
    <row r="61" spans="1:3">
      <c r="A61" s="128" t="s">
        <v>175</v>
      </c>
      <c r="B61" s="128" t="s">
        <v>196</v>
      </c>
      <c r="C61" s="128"/>
    </row>
    <row r="62" spans="1:3">
      <c r="A62" s="128" t="s">
        <v>190</v>
      </c>
      <c r="B62" s="128" t="s">
        <v>196</v>
      </c>
      <c r="C62" s="128"/>
    </row>
    <row r="63" spans="1:3">
      <c r="A63" s="128" t="s">
        <v>501</v>
      </c>
      <c r="B63" s="128" t="s">
        <v>196</v>
      </c>
      <c r="C63" s="128"/>
    </row>
    <row r="64" spans="1:3">
      <c r="A64" s="128" t="s">
        <v>188</v>
      </c>
      <c r="B64" s="128" t="s">
        <v>196</v>
      </c>
      <c r="C64" s="128"/>
    </row>
    <row r="65" spans="1:3">
      <c r="A65" s="128" t="s">
        <v>191</v>
      </c>
      <c r="B65" s="128" t="s">
        <v>197</v>
      </c>
      <c r="C65" s="128"/>
    </row>
    <row r="66" spans="1:3">
      <c r="A66" s="128" t="s">
        <v>184</v>
      </c>
      <c r="B66" s="128" t="s">
        <v>195</v>
      </c>
      <c r="C66" s="128"/>
    </row>
    <row r="67" spans="1:3">
      <c r="A67" s="128" t="s">
        <v>567</v>
      </c>
      <c r="B67" s="128" t="s">
        <v>195</v>
      </c>
      <c r="C67" s="128"/>
    </row>
    <row r="68" spans="1:3">
      <c r="A68" s="128" t="s">
        <v>64</v>
      </c>
      <c r="B68" s="128" t="s">
        <v>195</v>
      </c>
      <c r="C68" s="128"/>
    </row>
    <row r="69" spans="1:3">
      <c r="A69" s="128" t="s">
        <v>209</v>
      </c>
      <c r="B69" s="128" t="s">
        <v>195</v>
      </c>
      <c r="C69" s="128"/>
    </row>
    <row r="70" spans="1:3">
      <c r="A70" s="128" t="s">
        <v>210</v>
      </c>
      <c r="B70" s="128" t="s">
        <v>195</v>
      </c>
      <c r="C70" s="128"/>
    </row>
    <row r="71" spans="1:3">
      <c r="A71" s="128" t="s">
        <v>211</v>
      </c>
      <c r="B71" s="128" t="s">
        <v>195</v>
      </c>
      <c r="C71" s="128"/>
    </row>
    <row r="72" spans="1:3">
      <c r="A72" s="128" t="s">
        <v>212</v>
      </c>
      <c r="B72" s="128" t="s">
        <v>195</v>
      </c>
      <c r="C72" s="128"/>
    </row>
    <row r="73" spans="1:3">
      <c r="A73" s="128" t="s">
        <v>213</v>
      </c>
      <c r="B73" s="128" t="s">
        <v>195</v>
      </c>
      <c r="C73" s="128"/>
    </row>
    <row r="74" spans="1:3">
      <c r="A74" s="128" t="s">
        <v>214</v>
      </c>
      <c r="B74" s="128" t="s">
        <v>195</v>
      </c>
      <c r="C74" s="128"/>
    </row>
    <row r="75" spans="1:3">
      <c r="A75" s="128" t="s">
        <v>182</v>
      </c>
      <c r="B75" s="128" t="s">
        <v>195</v>
      </c>
      <c r="C75" s="128"/>
    </row>
    <row r="76" spans="1:3">
      <c r="A76" s="128" t="s">
        <v>186</v>
      </c>
      <c r="B76" s="128" t="s">
        <v>195</v>
      </c>
      <c r="C76" s="128"/>
    </row>
    <row r="77" spans="1:3">
      <c r="A77" s="290" t="s">
        <v>571</v>
      </c>
      <c r="B77" s="128" t="s">
        <v>195</v>
      </c>
      <c r="C77" s="128"/>
    </row>
    <row r="78" spans="1:3">
      <c r="A78" s="128" t="s">
        <v>500</v>
      </c>
      <c r="B78" s="128" t="s">
        <v>195</v>
      </c>
      <c r="C78" s="128"/>
    </row>
    <row r="79" spans="1:3">
      <c r="A79" s="128" t="s">
        <v>471</v>
      </c>
      <c r="B79" s="128" t="s">
        <v>196</v>
      </c>
      <c r="C79" s="128"/>
    </row>
    <row r="80" spans="1:3">
      <c r="A80" s="128" t="s">
        <v>185</v>
      </c>
      <c r="B80" s="128" t="s">
        <v>196</v>
      </c>
      <c r="C80" s="128"/>
    </row>
    <row r="81" spans="1:3">
      <c r="A81" s="128" t="s">
        <v>670</v>
      </c>
      <c r="B81" s="128" t="s">
        <v>196</v>
      </c>
      <c r="C81" s="128"/>
    </row>
    <row r="82" spans="1:3">
      <c r="A82" s="128" t="s">
        <v>88</v>
      </c>
      <c r="B82" s="128" t="s">
        <v>88</v>
      </c>
      <c r="C82" s="128"/>
    </row>
    <row r="83" spans="1:3">
      <c r="A83" s="128" t="s">
        <v>67</v>
      </c>
      <c r="B83" s="128" t="s">
        <v>196</v>
      </c>
      <c r="C83" s="128"/>
    </row>
    <row r="84" spans="1:3">
      <c r="A84" s="290" t="s">
        <v>568</v>
      </c>
      <c r="B84" s="128" t="s">
        <v>196</v>
      </c>
      <c r="C84" s="128"/>
    </row>
    <row r="85" spans="1:3">
      <c r="A85" s="128" t="s">
        <v>179</v>
      </c>
      <c r="B85" s="128" t="s">
        <v>88</v>
      </c>
      <c r="C85" s="128"/>
    </row>
    <row r="86" spans="1:3">
      <c r="A86" s="128" t="s">
        <v>68</v>
      </c>
      <c r="B86" s="128" t="s">
        <v>196</v>
      </c>
      <c r="C86" s="128"/>
    </row>
    <row r="87" spans="1:3">
      <c r="A87" s="128" t="s">
        <v>215</v>
      </c>
      <c r="B87" s="128" t="s">
        <v>196</v>
      </c>
      <c r="C87" s="128"/>
    </row>
    <row r="88" spans="1:3">
      <c r="A88" s="128" t="s">
        <v>416</v>
      </c>
      <c r="B88" s="128" t="s">
        <v>196</v>
      </c>
      <c r="C88" s="128"/>
    </row>
    <row r="89" spans="1:3">
      <c r="A89" s="128" t="s">
        <v>566</v>
      </c>
      <c r="B89" s="128" t="s">
        <v>196</v>
      </c>
      <c r="C89" s="128"/>
    </row>
    <row r="90" spans="1:3">
      <c r="A90" s="128" t="s">
        <v>187</v>
      </c>
      <c r="B90" s="128" t="s">
        <v>196</v>
      </c>
      <c r="C90" s="128"/>
    </row>
    <row r="91" spans="1:3">
      <c r="A91" s="128" t="s">
        <v>414</v>
      </c>
      <c r="B91" s="128" t="s">
        <v>196</v>
      </c>
      <c r="C91" s="128"/>
    </row>
    <row r="92" spans="1:3">
      <c r="A92" s="128" t="s">
        <v>84</v>
      </c>
      <c r="B92" s="128" t="s">
        <v>196</v>
      </c>
      <c r="C92" s="128"/>
    </row>
    <row r="93" spans="1:3">
      <c r="A93" s="128" t="s">
        <v>417</v>
      </c>
      <c r="B93" s="128" t="s">
        <v>196</v>
      </c>
      <c r="C93" s="128"/>
    </row>
    <row r="94" spans="1:3">
      <c r="A94" s="128" t="s">
        <v>495</v>
      </c>
      <c r="B94" s="128" t="s">
        <v>196</v>
      </c>
      <c r="C94" s="128"/>
    </row>
    <row r="95" spans="1:3">
      <c r="A95" s="128" t="s">
        <v>174</v>
      </c>
      <c r="B95" s="128" t="s">
        <v>196</v>
      </c>
      <c r="C95" s="128"/>
    </row>
    <row r="96" spans="1:3">
      <c r="A96" s="128" t="s">
        <v>502</v>
      </c>
      <c r="B96" s="128" t="s">
        <v>196</v>
      </c>
      <c r="C96" s="128"/>
    </row>
    <row r="97" spans="1:3">
      <c r="A97" s="128" t="s">
        <v>415</v>
      </c>
      <c r="B97" s="128" t="s">
        <v>196</v>
      </c>
      <c r="C97" s="128"/>
    </row>
    <row r="98" spans="1:3">
      <c r="A98" s="128" t="s">
        <v>535</v>
      </c>
      <c r="B98" s="128" t="s">
        <v>196</v>
      </c>
      <c r="C98" s="128"/>
    </row>
    <row r="99" spans="1:3">
      <c r="A99" s="128" t="s">
        <v>523</v>
      </c>
      <c r="B99" s="128" t="s">
        <v>196</v>
      </c>
      <c r="C99" s="128"/>
    </row>
    <row r="100" spans="1:3">
      <c r="A100" s="128" t="s">
        <v>216</v>
      </c>
      <c r="B100" s="128" t="s">
        <v>195</v>
      </c>
      <c r="C100" s="128"/>
    </row>
    <row r="101" spans="1:3">
      <c r="A101" s="128" t="s">
        <v>183</v>
      </c>
      <c r="B101" s="128" t="s">
        <v>195</v>
      </c>
      <c r="C101" s="128"/>
    </row>
    <row r="102" spans="1:3">
      <c r="A102" s="128" t="s">
        <v>217</v>
      </c>
      <c r="B102" s="128" t="s">
        <v>195</v>
      </c>
      <c r="C102" s="128"/>
    </row>
    <row r="103" spans="1:3">
      <c r="A103" s="128" t="s">
        <v>218</v>
      </c>
      <c r="B103" s="128" t="s">
        <v>195</v>
      </c>
      <c r="C103" s="128"/>
    </row>
    <row r="104" spans="1:3">
      <c r="A104" s="128" t="s">
        <v>219</v>
      </c>
      <c r="B104" s="128" t="s">
        <v>195</v>
      </c>
      <c r="C104" s="128"/>
    </row>
    <row r="105" spans="1:3">
      <c r="A105" s="128" t="s">
        <v>569</v>
      </c>
      <c r="B105" s="128" t="s">
        <v>196</v>
      </c>
      <c r="C105" s="128"/>
    </row>
    <row r="106" spans="1:3">
      <c r="A106" s="128" t="s">
        <v>537</v>
      </c>
      <c r="B106" s="128" t="s">
        <v>196</v>
      </c>
      <c r="C106" s="128"/>
    </row>
    <row r="107" spans="1:3">
      <c r="A107" s="128" t="s">
        <v>180</v>
      </c>
      <c r="B107" s="128" t="s">
        <v>196</v>
      </c>
      <c r="C107" s="128"/>
    </row>
    <row r="108" spans="1:3">
      <c r="A108" s="128" t="s">
        <v>220</v>
      </c>
      <c r="B108" s="128" t="s">
        <v>196</v>
      </c>
      <c r="C108" s="128"/>
    </row>
    <row r="109" spans="1:3">
      <c r="A109" s="128" t="s">
        <v>65</v>
      </c>
      <c r="B109" s="128" t="s">
        <v>197</v>
      </c>
      <c r="C109" s="128"/>
    </row>
    <row r="110" spans="1:3">
      <c r="A110" s="128" t="s">
        <v>412</v>
      </c>
      <c r="B110" s="128" t="s">
        <v>197</v>
      </c>
      <c r="C110" s="128"/>
    </row>
    <row r="111" spans="1:3">
      <c r="A111" s="128" t="s">
        <v>413</v>
      </c>
      <c r="B111" s="128" t="s">
        <v>197</v>
      </c>
      <c r="C111" s="128"/>
    </row>
    <row r="112" spans="1:3">
      <c r="A112" s="128" t="s">
        <v>536</v>
      </c>
      <c r="B112" s="128" t="s">
        <v>197</v>
      </c>
      <c r="C112" s="128"/>
    </row>
    <row r="113" spans="1:3">
      <c r="A113" s="128" t="s">
        <v>221</v>
      </c>
      <c r="B113" s="128" t="s">
        <v>197</v>
      </c>
      <c r="C113" s="128"/>
    </row>
    <row r="114" spans="1:3">
      <c r="A114" s="128" t="s">
        <v>189</v>
      </c>
      <c r="B114" s="128" t="s">
        <v>197</v>
      </c>
      <c r="C114" s="128"/>
    </row>
    <row r="115" spans="1:3">
      <c r="A115" s="128" t="s">
        <v>222</v>
      </c>
      <c r="B115" s="128" t="s">
        <v>197</v>
      </c>
      <c r="C115" s="128"/>
    </row>
    <row r="116" spans="1:3">
      <c r="A116" s="128" t="s">
        <v>223</v>
      </c>
      <c r="B116" s="128" t="s">
        <v>197</v>
      </c>
      <c r="C116" s="128"/>
    </row>
    <row r="117" spans="1:3">
      <c r="A117" s="128" t="s">
        <v>224</v>
      </c>
      <c r="B117" s="128" t="s">
        <v>196</v>
      </c>
      <c r="C117" s="128"/>
    </row>
    <row r="118" spans="1:3">
      <c r="A118" s="128" t="s">
        <v>497</v>
      </c>
      <c r="B118" s="128" t="s">
        <v>196</v>
      </c>
      <c r="C118" s="128"/>
    </row>
    <row r="121" spans="1:3" ht="16">
      <c r="A121" s="48" t="s">
        <v>234</v>
      </c>
      <c r="B121" s="48"/>
      <c r="C121" s="48" t="s">
        <v>228</v>
      </c>
    </row>
    <row r="122" spans="1:3">
      <c r="A122" s="129">
        <v>52</v>
      </c>
      <c r="B122" s="125">
        <v>2</v>
      </c>
      <c r="C122" s="125">
        <v>52</v>
      </c>
    </row>
    <row r="123" spans="1:3">
      <c r="A123" s="129">
        <v>104</v>
      </c>
      <c r="B123" s="125">
        <v>3</v>
      </c>
      <c r="C123" s="125">
        <v>104</v>
      </c>
    </row>
    <row r="124" spans="1:3">
      <c r="A124" s="129">
        <v>156</v>
      </c>
      <c r="B124" s="125">
        <v>4</v>
      </c>
      <c r="C124" s="125">
        <v>156</v>
      </c>
    </row>
    <row r="125" spans="1:3">
      <c r="A125" s="129">
        <v>255</v>
      </c>
      <c r="B125" s="125">
        <v>5</v>
      </c>
      <c r="C125" s="125">
        <v>255</v>
      </c>
    </row>
    <row r="126" spans="1:3">
      <c r="A126" s="129">
        <v>307</v>
      </c>
      <c r="B126" s="125">
        <v>6</v>
      </c>
      <c r="C126" s="125">
        <v>255</v>
      </c>
    </row>
    <row r="127" spans="1:3">
      <c r="A127" s="129">
        <v>365</v>
      </c>
      <c r="B127" s="125">
        <v>7</v>
      </c>
      <c r="C127" s="125">
        <v>255</v>
      </c>
    </row>
    <row r="128" spans="1:3">
      <c r="A128" s="129">
        <v>510</v>
      </c>
      <c r="B128" s="125">
        <v>8</v>
      </c>
      <c r="C128" s="125">
        <v>510</v>
      </c>
    </row>
    <row r="129" spans="1:3">
      <c r="A129" s="129">
        <v>620</v>
      </c>
      <c r="B129" s="125">
        <v>9</v>
      </c>
      <c r="C129" s="125">
        <v>510</v>
      </c>
    </row>
    <row r="130" spans="1:3">
      <c r="A130" s="129">
        <v>730</v>
      </c>
      <c r="B130" s="125">
        <v>10</v>
      </c>
      <c r="C130" s="125">
        <v>510</v>
      </c>
    </row>
    <row r="131" spans="1:3">
      <c r="A131" s="129" t="s">
        <v>226</v>
      </c>
      <c r="B131" s="125">
        <v>11</v>
      </c>
      <c r="C131" s="125"/>
    </row>
    <row r="132" spans="1:3">
      <c r="A132" s="129" t="s">
        <v>196</v>
      </c>
      <c r="B132" s="125">
        <v>12</v>
      </c>
      <c r="C132" s="125">
        <v>8</v>
      </c>
    </row>
    <row r="133" spans="1:3">
      <c r="A133" s="129" t="s">
        <v>195</v>
      </c>
      <c r="B133" s="125">
        <v>13</v>
      </c>
      <c r="C133" s="125">
        <v>9</v>
      </c>
    </row>
    <row r="134" spans="1:3">
      <c r="A134" s="129" t="s">
        <v>197</v>
      </c>
      <c r="B134" s="125">
        <v>14</v>
      </c>
      <c r="C134" s="125">
        <v>10</v>
      </c>
    </row>
    <row r="135" spans="1:3">
      <c r="A135" s="129" t="s">
        <v>88</v>
      </c>
      <c r="B135" s="125">
        <v>13</v>
      </c>
      <c r="C135" s="125">
        <v>9</v>
      </c>
    </row>
  </sheetData>
  <mergeCells count="5">
    <mergeCell ref="J1:K1"/>
    <mergeCell ref="L1:M1"/>
    <mergeCell ref="F1:H1"/>
    <mergeCell ref="B27:C27"/>
    <mergeCell ref="B1:D1"/>
  </mergeCells>
  <phoneticPr fontId="0" type="noConversion"/>
  <conditionalFormatting sqref="F3:H24 J3:M24">
    <cfRule type="cellIs" dxfId="36" priority="4" stopIfTrue="1" operator="equal">
      <formula>""</formula>
    </cfRule>
  </conditionalFormatting>
  <printOptions horizontalCentered="1" gridLinesSet="0"/>
  <pageMargins left="0.59055118110236227" right="0.59055118110236227" top="0.59055118110236227" bottom="0.78740157480314965" header="0.39370078740157483" footer="0.19685039370078741"/>
  <pageSetup paperSize="9" scale="53" orientation="portrait" r:id="rId1"/>
  <headerFooter alignWithMargins="0"/>
  <ignoredErrors>
    <ignoredError sqref="J3:K3 J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filterMode="1">
    <tabColor rgb="FFFFC000"/>
  </sheetPr>
  <dimension ref="A1:W438"/>
  <sheetViews>
    <sheetView showGridLines="0" showZeros="0" tabSelected="1" zoomScaleNormal="100" zoomScalePageLayoutView="75" workbookViewId="0">
      <pane ySplit="1" topLeftCell="A158" activePane="bottomLeft" state="frozen"/>
      <selection activeCell="E25" sqref="E25"/>
      <selection pane="bottomLeft" activeCell="P158" sqref="P158"/>
    </sheetView>
  </sheetViews>
  <sheetFormatPr baseColWidth="10" defaultColWidth="8.59765625" defaultRowHeight="14.25" customHeight="1"/>
  <cols>
    <col min="1" max="1" width="13"/>
    <col min="2" max="2" width="35.796875" bestFit="1" customWidth="1"/>
    <col min="3" max="4" width="13"/>
    <col min="5" max="5" width="21.796875" bestFit="1" customWidth="1"/>
    <col min="6" max="6" width="13"/>
    <col min="7" max="7" width="18.796875" bestFit="1" customWidth="1"/>
    <col min="8" max="8" width="17.796875" customWidth="1"/>
    <col min="9" max="9" width="13"/>
    <col min="10" max="10" width="13" style="13"/>
    <col min="11" max="11" width="13" style="429"/>
    <col min="12" max="12" width="10.796875" customWidth="1"/>
    <col min="13" max="13" width="20.3984375" style="21" customWidth="1"/>
    <col min="14" max="14" width="19.3984375" style="179" customWidth="1"/>
    <col min="15" max="15" width="13" style="179" customWidth="1"/>
    <col min="16" max="16" width="11.19921875" style="19" customWidth="1"/>
    <col min="17" max="17" width="19.3984375" style="20" customWidth="1"/>
    <col min="18" max="18" width="22.19921875" style="20" customWidth="1"/>
    <col min="19" max="19" width="17" style="180" customWidth="1"/>
    <col min="20" max="20" width="12.59765625" style="19" customWidth="1"/>
    <col min="21" max="21" width="13.59765625" style="19" customWidth="1"/>
    <col min="22" max="23" width="12.59765625" style="19" customWidth="1"/>
    <col min="24" max="24" width="8.59765625" style="19" customWidth="1"/>
    <col min="25" max="16384" width="8.59765625" style="19"/>
  </cols>
  <sheetData>
    <row r="1" spans="1:23" s="17" customFormat="1" ht="63.5" customHeight="1">
      <c r="A1" s="171" t="s">
        <v>522</v>
      </c>
      <c r="B1" s="171" t="s">
        <v>521</v>
      </c>
      <c r="C1" s="171" t="s">
        <v>74</v>
      </c>
      <c r="D1" s="172" t="s">
        <v>86</v>
      </c>
      <c r="E1" s="171" t="s">
        <v>80</v>
      </c>
      <c r="F1" s="171" t="s">
        <v>71</v>
      </c>
      <c r="G1" s="171" t="s">
        <v>198</v>
      </c>
      <c r="H1" s="171" t="s">
        <v>644</v>
      </c>
      <c r="I1" s="171" t="s">
        <v>70</v>
      </c>
      <c r="J1" s="417" t="s">
        <v>643</v>
      </c>
      <c r="K1" s="424" t="s">
        <v>19</v>
      </c>
      <c r="L1" s="171" t="s">
        <v>227</v>
      </c>
      <c r="M1" s="173" t="s">
        <v>739</v>
      </c>
      <c r="N1" s="173" t="s">
        <v>232</v>
      </c>
      <c r="O1" s="173" t="s">
        <v>242</v>
      </c>
      <c r="P1" s="171" t="s">
        <v>750</v>
      </c>
      <c r="Q1" s="174" t="s">
        <v>452</v>
      </c>
      <c r="R1" s="174" t="s">
        <v>82</v>
      </c>
      <c r="S1" s="175" t="s">
        <v>231</v>
      </c>
      <c r="T1" s="176" t="s">
        <v>426</v>
      </c>
      <c r="U1" s="176" t="s">
        <v>427</v>
      </c>
      <c r="V1" s="177" t="s">
        <v>428</v>
      </c>
      <c r="W1" s="178" t="s">
        <v>429</v>
      </c>
    </row>
    <row r="2" spans="1:23" ht="15" hidden="1">
      <c r="A2" s="377" t="s">
        <v>706</v>
      </c>
      <c r="B2" s="377" t="s">
        <v>678</v>
      </c>
      <c r="C2" s="377">
        <v>0</v>
      </c>
      <c r="D2" s="377" t="s">
        <v>293</v>
      </c>
      <c r="E2" s="377" t="s">
        <v>728</v>
      </c>
      <c r="F2" s="377" t="s">
        <v>695</v>
      </c>
      <c r="G2" s="377" t="str">
        <f>VLOOKUP(F2,'3B-Prestaties vloeren'!$A$28:$B$118,2,0)</f>
        <v>N.v.t.</v>
      </c>
      <c r="H2" s="377" t="s">
        <v>283</v>
      </c>
      <c r="I2" s="378" t="s">
        <v>657</v>
      </c>
      <c r="J2" s="418"/>
      <c r="K2" s="425">
        <v>0</v>
      </c>
      <c r="L2" s="377">
        <f t="shared" ref="L2:L65" si="0">IF(K2=0,0,K2*I2)</f>
        <v>0</v>
      </c>
      <c r="M2" s="380">
        <f>IF(K2=0,0,IF(COUNTBLANK('3A-Prestatie'!$B$2:$I$22)=0,L2/VLOOKUP(E2,'3A-Prestatie'!$A$1:$M$22,VLOOKUP(K2,'3A-Prestatie'!$A$28:$B$34,2,FALSE),FALSE),"3A prestatie invullen"))</f>
        <v>0</v>
      </c>
      <c r="N2" s="380">
        <f>IF(M2="3A prestatie invullen",0,IF(K2&lt;&gt;0,L2/M2,0))</f>
        <v>0</v>
      </c>
      <c r="O2" s="274" t="str">
        <f>VLOOKUP(E2,'3A-Prestatie'!A:M,13,FALSE)</f>
        <v>N.v.t.</v>
      </c>
      <c r="P2" s="18">
        <f>IF(R2="Niet van toepassing",0,VLOOKUP(E2,'3B-Prestaties vloeren'!$A$3:$D$24,IF(G2="Hard onbehandeld",2,IF(G2="Hard behandeld",3,4)),FALSE))</f>
        <v>0</v>
      </c>
      <c r="Q2" s="275">
        <f t="shared" ref="Q2:Q65" si="1">SUM(T2:W2)</f>
        <v>0</v>
      </c>
      <c r="R2" s="273" t="str">
        <f>IF(K2=0,"Niet van toepassing",IF(G2='3B-Prestaties vloeren'!$B$2,"Schrobben",IF(G2='3B-Prestaties vloeren'!$C$2,"Sprayen/conserveren",IF(G2='3B-Prestaties vloeren'!$D$2,"Sproei-extractie",0))))</f>
        <v>Niet van toepassing</v>
      </c>
      <c r="S2" s="293">
        <f>IF('2-Tarieven'!$B$28=0,0,IF(M2=0,0,'2-Tarieven'!$B$28*M2))</f>
        <v>0</v>
      </c>
      <c r="T2" s="272">
        <f>IF(AND(COUNTBLANK('3B-Prestaties vloeren'!$F$3:$H$24)=0,COUNTBLANK('3B-Prestaties vloeren'!$L$3:$M$24)=0),IF(R2="Sprayen/conserveren",I2/VLOOKUP(E2,'3B-Prestaties vloeren'!$A$3:$M$24,12,FALSE),0)*(P2-1),0)</f>
        <v>0</v>
      </c>
      <c r="U2" s="272">
        <f>IF(AND(COUNTBLANK('3B-Prestaties vloeren'!$F$3:$H$24)=0,COUNTBLANK('3B-Prestaties vloeren'!$L$3:$M$24)=0),IF(R2="Sprayen/conserveren",I2/VLOOKUP(E2,'3B-Prestaties vloeren'!$A$3:$M$24,13,FALSE),0),0)</f>
        <v>0</v>
      </c>
      <c r="V2" s="272">
        <f>IF(AND(COUNTBLANK('3B-Prestaties vloeren'!$F$3:$H$24)=0,COUNTBLANK('3B-Prestaties vloeren'!$L$3:$M$24)=0),IF(R2="schrobben",I2/VLOOKUP(E2,'3B-Prestaties vloeren'!$A$3:$H$24,6,FALSE),0)*P2,0)</f>
        <v>0</v>
      </c>
      <c r="W2" s="272">
        <f>IF(AND(COUNTBLANK('3B-Prestaties vloeren'!$F$3:$H$24)=0,COUNTBLANK('3B-Prestaties vloeren'!$L$3:$M$24)=0),IF(R2="sproei-extractie",I2/VLOOKUP(E2,'3B-Prestaties vloeren'!$A$3:$H$24,8,FALSE),0)*P2,0)</f>
        <v>0</v>
      </c>
    </row>
    <row r="3" spans="1:23" ht="15" hidden="1">
      <c r="A3" s="378" t="s">
        <v>706</v>
      </c>
      <c r="B3" s="378" t="s">
        <v>678</v>
      </c>
      <c r="C3" s="378">
        <v>0</v>
      </c>
      <c r="D3" s="378" t="s">
        <v>295</v>
      </c>
      <c r="E3" s="378" t="s">
        <v>728</v>
      </c>
      <c r="F3" s="378" t="s">
        <v>695</v>
      </c>
      <c r="G3" s="378" t="str">
        <f>VLOOKUP(F3,'3B-Prestaties vloeren'!$A$28:$B$118,2,0)</f>
        <v>N.v.t.</v>
      </c>
      <c r="H3" s="378" t="s">
        <v>283</v>
      </c>
      <c r="I3" s="378" t="s">
        <v>657</v>
      </c>
      <c r="J3" s="419"/>
      <c r="K3" s="426">
        <v>0</v>
      </c>
      <c r="L3" s="378">
        <f t="shared" si="0"/>
        <v>0</v>
      </c>
      <c r="M3" s="380">
        <f>IF(K3=0,0,IF(COUNTBLANK('3A-Prestatie'!$B$2:$I$22)=0,L3/VLOOKUP(E3,'3A-Prestatie'!$A$1:$M$22,VLOOKUP(K3,'3A-Prestatie'!$A$28:$B$34,2,FALSE),FALSE),"3A prestatie invullen"))</f>
        <v>0</v>
      </c>
      <c r="N3" s="380">
        <f t="shared" ref="N3:N66" si="2">IF(M3="3A prestatie invullen",0,IF(K3&lt;&gt;0,L3/M3,0))</f>
        <v>0</v>
      </c>
      <c r="O3" s="381" t="str">
        <f>VLOOKUP(E3,'3A-Prestatie'!A:M,13,FALSE)</f>
        <v>N.v.t.</v>
      </c>
      <c r="P3" s="382">
        <f>IF(R3="Niet van toepassing",0,VLOOKUP(E3,'3B-Prestaties vloeren'!$A$3:$D$24,IF(G3="Hard onbehandeld",2,IF(G3="Hard behandeld",3,4)),FALSE))</f>
        <v>0</v>
      </c>
      <c r="Q3" s="383">
        <f t="shared" si="1"/>
        <v>0</v>
      </c>
      <c r="R3" s="384" t="str">
        <f>IF(K3=0,"Niet van toepassing",IF(G3='3B-Prestaties vloeren'!$B$2,"Schrobben",IF(G3='3B-Prestaties vloeren'!$C$2,"Sprayen/conserveren",IF(G3='3B-Prestaties vloeren'!$D$2,"Sproei-extractie",0))))</f>
        <v>Niet van toepassing</v>
      </c>
      <c r="S3" s="385">
        <f>IF('2-Tarieven'!$B$28=0,0,IF(M3=0,0,'2-Tarieven'!$B$28*M3))</f>
        <v>0</v>
      </c>
      <c r="T3" s="386">
        <f>IF(AND(COUNTBLANK('3B-Prestaties vloeren'!$F$3:$H$24)=0,COUNTBLANK('3B-Prestaties vloeren'!$L$3:$M$24)=0),IF(R3="Sprayen/conserveren",I3/VLOOKUP(E3,'3B-Prestaties vloeren'!$A$3:$M$24,12,FALSE),0)*(P3-1),0)</f>
        <v>0</v>
      </c>
      <c r="U3" s="386">
        <f>IF(AND(COUNTBLANK('3B-Prestaties vloeren'!$F$3:$H$24)=0,COUNTBLANK('3B-Prestaties vloeren'!$L$3:$M$24)=0),IF(R3="Sprayen/conserveren",I3/VLOOKUP(E3,'3B-Prestaties vloeren'!$A$3:$M$24,13,FALSE),0),0)</f>
        <v>0</v>
      </c>
      <c r="V3" s="386">
        <f>IF(AND(COUNTBLANK('3B-Prestaties vloeren'!$F$3:$H$24)=0,COUNTBLANK('3B-Prestaties vloeren'!$L$3:$M$24)=0),IF(R3="schrobben",I3/VLOOKUP(E3,'3B-Prestaties vloeren'!$A$3:$H$24,6,FALSE),0)*P3,0)</f>
        <v>0</v>
      </c>
      <c r="W3" s="386">
        <f>IF(AND(COUNTBLANK('3B-Prestaties vloeren'!$F$3:$H$24)=0,COUNTBLANK('3B-Prestaties vloeren'!$L$3:$M$24)=0),IF(R3="sproei-extractie",I3/VLOOKUP(E3,'3B-Prestaties vloeren'!$A$3:$H$24,8,FALSE),0)*P3,0)</f>
        <v>0</v>
      </c>
    </row>
    <row r="4" spans="1:23" ht="15" hidden="1">
      <c r="A4" s="378" t="s">
        <v>706</v>
      </c>
      <c r="B4" s="378" t="s">
        <v>678</v>
      </c>
      <c r="C4" s="378">
        <v>0</v>
      </c>
      <c r="D4" s="378" t="s">
        <v>297</v>
      </c>
      <c r="E4" s="378" t="s">
        <v>728</v>
      </c>
      <c r="F4" s="378" t="s">
        <v>695</v>
      </c>
      <c r="G4" s="378" t="str">
        <f>VLOOKUP(F4,'3B-Prestaties vloeren'!$A$28:$B$118,2,0)</f>
        <v>N.v.t.</v>
      </c>
      <c r="H4" s="378" t="s">
        <v>283</v>
      </c>
      <c r="I4" s="378" t="s">
        <v>657</v>
      </c>
      <c r="J4" s="419"/>
      <c r="K4" s="426">
        <v>0</v>
      </c>
      <c r="L4" s="378">
        <f t="shared" si="0"/>
        <v>0</v>
      </c>
      <c r="M4" s="380">
        <f>IF(K4=0,0,IF(COUNTBLANK('3A-Prestatie'!$B$2:$I$22)=0,L4/VLOOKUP(E4,'3A-Prestatie'!$A$1:$M$22,VLOOKUP(K4,'3A-Prestatie'!$A$28:$B$34,2,FALSE),FALSE),"3A prestatie invullen"))</f>
        <v>0</v>
      </c>
      <c r="N4" s="380">
        <f t="shared" si="2"/>
        <v>0</v>
      </c>
      <c r="O4" s="381" t="str">
        <f>VLOOKUP(E4,'3A-Prestatie'!A:M,13,FALSE)</f>
        <v>N.v.t.</v>
      </c>
      <c r="P4" s="382">
        <f>IF(R4="Niet van toepassing",0,VLOOKUP(E4,'3B-Prestaties vloeren'!$A$3:$D$24,IF(G4="Hard onbehandeld",2,IF(G4="Hard behandeld",3,4)),FALSE))</f>
        <v>0</v>
      </c>
      <c r="Q4" s="383">
        <f t="shared" si="1"/>
        <v>0</v>
      </c>
      <c r="R4" s="384" t="str">
        <f>IF(K4=0,"Niet van toepassing",IF(G4='3B-Prestaties vloeren'!$B$2,"Schrobben",IF(G4='3B-Prestaties vloeren'!$C$2,"Sprayen/conserveren",IF(G4='3B-Prestaties vloeren'!$D$2,"Sproei-extractie",0))))</f>
        <v>Niet van toepassing</v>
      </c>
      <c r="S4" s="385">
        <f>IF('2-Tarieven'!$B$28=0,0,IF(M4=0,0,'2-Tarieven'!$B$28*M4))</f>
        <v>0</v>
      </c>
      <c r="T4" s="386">
        <f>IF(AND(COUNTBLANK('3B-Prestaties vloeren'!$F$3:$H$24)=0,COUNTBLANK('3B-Prestaties vloeren'!$L$3:$M$24)=0),IF(R4="Sprayen/conserveren",I4/VLOOKUP(E4,'3B-Prestaties vloeren'!$A$3:$M$24,12,FALSE),0)*(P4-1),0)</f>
        <v>0</v>
      </c>
      <c r="U4" s="386">
        <f>IF(AND(COUNTBLANK('3B-Prestaties vloeren'!$F$3:$H$24)=0,COUNTBLANK('3B-Prestaties vloeren'!$L$3:$M$24)=0),IF(R4="Sprayen/conserveren",I4/VLOOKUP(E4,'3B-Prestaties vloeren'!$A$3:$M$24,13,FALSE),0),0)</f>
        <v>0</v>
      </c>
      <c r="V4" s="386">
        <f>IF(AND(COUNTBLANK('3B-Prestaties vloeren'!$F$3:$H$24)=0,COUNTBLANK('3B-Prestaties vloeren'!$L$3:$M$24)=0),IF(R4="schrobben",I4/VLOOKUP(E4,'3B-Prestaties vloeren'!$A$3:$H$24,6,FALSE),0)*P4,0)</f>
        <v>0</v>
      </c>
      <c r="W4" s="386">
        <f>IF(AND(COUNTBLANK('3B-Prestaties vloeren'!$F$3:$H$24)=0,COUNTBLANK('3B-Prestaties vloeren'!$L$3:$M$24)=0),IF(R4="sproei-extractie",I4/VLOOKUP(E4,'3B-Prestaties vloeren'!$A$3:$H$24,8,FALSE),0)*P4,0)</f>
        <v>0</v>
      </c>
    </row>
    <row r="5" spans="1:23" ht="15" hidden="1">
      <c r="A5" s="378" t="s">
        <v>706</v>
      </c>
      <c r="B5" s="378" t="s">
        <v>678</v>
      </c>
      <c r="C5" s="378">
        <v>0</v>
      </c>
      <c r="D5" s="378" t="s">
        <v>304</v>
      </c>
      <c r="E5" s="378" t="s">
        <v>728</v>
      </c>
      <c r="F5" s="378" t="s">
        <v>695</v>
      </c>
      <c r="G5" s="378" t="str">
        <f>VLOOKUP(F5,'3B-Prestaties vloeren'!$A$28:$B$118,2,0)</f>
        <v>N.v.t.</v>
      </c>
      <c r="H5" s="378" t="s">
        <v>705</v>
      </c>
      <c r="I5" s="378" t="s">
        <v>657</v>
      </c>
      <c r="J5" s="419"/>
      <c r="K5" s="426">
        <v>0</v>
      </c>
      <c r="L5" s="378">
        <f t="shared" si="0"/>
        <v>0</v>
      </c>
      <c r="M5" s="380">
        <f>IF(K5=0,0,IF(COUNTBLANK('3A-Prestatie'!$B$2:$I$22)=0,L5/VLOOKUP(E5,'3A-Prestatie'!$A$1:$M$22,VLOOKUP(K5,'3A-Prestatie'!$A$28:$B$34,2,FALSE),FALSE),"3A prestatie invullen"))</f>
        <v>0</v>
      </c>
      <c r="N5" s="380">
        <f t="shared" si="2"/>
        <v>0</v>
      </c>
      <c r="O5" s="381" t="str">
        <f>VLOOKUP(E5,'3A-Prestatie'!A:M,13,FALSE)</f>
        <v>N.v.t.</v>
      </c>
      <c r="P5" s="382">
        <f>IF(R5="Niet van toepassing",0,VLOOKUP(E5,'3B-Prestaties vloeren'!$A$3:$D$24,IF(G5="Hard onbehandeld",2,IF(G5="Hard behandeld",3,4)),FALSE))</f>
        <v>0</v>
      </c>
      <c r="Q5" s="383">
        <f t="shared" si="1"/>
        <v>0</v>
      </c>
      <c r="R5" s="384" t="str">
        <f>IF(K5=0,"Niet van toepassing",IF(G5='3B-Prestaties vloeren'!$B$2,"Schrobben",IF(G5='3B-Prestaties vloeren'!$C$2,"Sprayen/conserveren",IF(G5='3B-Prestaties vloeren'!$D$2,"Sproei-extractie",0))))</f>
        <v>Niet van toepassing</v>
      </c>
      <c r="S5" s="385">
        <f>IF('2-Tarieven'!$B$28=0,0,IF(M5=0,0,'2-Tarieven'!$B$28*M5))</f>
        <v>0</v>
      </c>
      <c r="T5" s="386">
        <f>IF(AND(COUNTBLANK('3B-Prestaties vloeren'!$F$3:$H$24)=0,COUNTBLANK('3B-Prestaties vloeren'!$L$3:$M$24)=0),IF(R5="Sprayen/conserveren",I5/VLOOKUP(E5,'3B-Prestaties vloeren'!$A$3:$M$24,12,FALSE),0)*(P5-1),0)</f>
        <v>0</v>
      </c>
      <c r="U5" s="386">
        <f>IF(AND(COUNTBLANK('3B-Prestaties vloeren'!$F$3:$H$24)=0,COUNTBLANK('3B-Prestaties vloeren'!$L$3:$M$24)=0),IF(R5="Sprayen/conserveren",I5/VLOOKUP(E5,'3B-Prestaties vloeren'!$A$3:$M$24,13,FALSE),0),0)</f>
        <v>0</v>
      </c>
      <c r="V5" s="386">
        <f>IF(AND(COUNTBLANK('3B-Prestaties vloeren'!$F$3:$H$24)=0,COUNTBLANK('3B-Prestaties vloeren'!$L$3:$M$24)=0),IF(R5="schrobben",I5/VLOOKUP(E5,'3B-Prestaties vloeren'!$A$3:$H$24,6,FALSE),0)*P5,0)</f>
        <v>0</v>
      </c>
      <c r="W5" s="386">
        <f>IF(AND(COUNTBLANK('3B-Prestaties vloeren'!$F$3:$H$24)=0,COUNTBLANK('3B-Prestaties vloeren'!$L$3:$M$24)=0),IF(R5="sproei-extractie",I5/VLOOKUP(E5,'3B-Prestaties vloeren'!$A$3:$H$24,8,FALSE),0)*P5,0)</f>
        <v>0</v>
      </c>
    </row>
    <row r="6" spans="1:23" ht="15" hidden="1">
      <c r="A6" s="378" t="s">
        <v>706</v>
      </c>
      <c r="B6" s="378" t="s">
        <v>678</v>
      </c>
      <c r="C6" s="378">
        <v>0</v>
      </c>
      <c r="D6" s="378" t="s">
        <v>312</v>
      </c>
      <c r="E6" s="378" t="s">
        <v>728</v>
      </c>
      <c r="F6" s="378" t="s">
        <v>695</v>
      </c>
      <c r="G6" s="378" t="str">
        <f>VLOOKUP(F6,'3B-Prestaties vloeren'!$A$28:$B$118,2,0)</f>
        <v>N.v.t.</v>
      </c>
      <c r="H6" s="378" t="s">
        <v>283</v>
      </c>
      <c r="I6" s="378" t="s">
        <v>657</v>
      </c>
      <c r="J6" s="419"/>
      <c r="K6" s="426">
        <v>0</v>
      </c>
      <c r="L6" s="378">
        <f t="shared" si="0"/>
        <v>0</v>
      </c>
      <c r="M6" s="380">
        <f>IF(K6=0,0,IF(COUNTBLANK('3A-Prestatie'!$B$2:$I$22)=0,L6/VLOOKUP(E6,'3A-Prestatie'!$A$1:$M$22,VLOOKUP(K6,'3A-Prestatie'!$A$28:$B$34,2,FALSE),FALSE),"3A prestatie invullen"))</f>
        <v>0</v>
      </c>
      <c r="N6" s="380">
        <f t="shared" si="2"/>
        <v>0</v>
      </c>
      <c r="O6" s="381" t="str">
        <f>VLOOKUP(E6,'3A-Prestatie'!A:M,13,FALSE)</f>
        <v>N.v.t.</v>
      </c>
      <c r="P6" s="382">
        <f>IF(R6="Niet van toepassing",0,VLOOKUP(E6,'3B-Prestaties vloeren'!$A$3:$D$24,IF(G6="Hard onbehandeld",2,IF(G6="Hard behandeld",3,4)),FALSE))</f>
        <v>0</v>
      </c>
      <c r="Q6" s="383">
        <f t="shared" si="1"/>
        <v>0</v>
      </c>
      <c r="R6" s="384" t="str">
        <f>IF(K6=0,"Niet van toepassing",IF(G6='3B-Prestaties vloeren'!$B$2,"Schrobben",IF(G6='3B-Prestaties vloeren'!$C$2,"Sprayen/conserveren",IF(G6='3B-Prestaties vloeren'!$D$2,"Sproei-extractie",0))))</f>
        <v>Niet van toepassing</v>
      </c>
      <c r="S6" s="385">
        <f>IF('2-Tarieven'!$B$28=0,0,IF(M6=0,0,'2-Tarieven'!$B$28*M6))</f>
        <v>0</v>
      </c>
      <c r="T6" s="386">
        <f>IF(AND(COUNTBLANK('3B-Prestaties vloeren'!$F$3:$H$24)=0,COUNTBLANK('3B-Prestaties vloeren'!$L$3:$M$24)=0),IF(R6="Sprayen/conserveren",I6/VLOOKUP(E6,'3B-Prestaties vloeren'!$A$3:$M$24,12,FALSE),0)*(P6-1),0)</f>
        <v>0</v>
      </c>
      <c r="U6" s="386">
        <f>IF(AND(COUNTBLANK('3B-Prestaties vloeren'!$F$3:$H$24)=0,COUNTBLANK('3B-Prestaties vloeren'!$L$3:$M$24)=0),IF(R6="Sprayen/conserveren",I6/VLOOKUP(E6,'3B-Prestaties vloeren'!$A$3:$M$24,13,FALSE),0),0)</f>
        <v>0</v>
      </c>
      <c r="V6" s="386">
        <f>IF(AND(COUNTBLANK('3B-Prestaties vloeren'!$F$3:$H$24)=0,COUNTBLANK('3B-Prestaties vloeren'!$L$3:$M$24)=0),IF(R6="schrobben",I6/VLOOKUP(E6,'3B-Prestaties vloeren'!$A$3:$H$24,6,FALSE),0)*P6,0)</f>
        <v>0</v>
      </c>
      <c r="W6" s="386">
        <f>IF(AND(COUNTBLANK('3B-Prestaties vloeren'!$F$3:$H$24)=0,COUNTBLANK('3B-Prestaties vloeren'!$L$3:$M$24)=0),IF(R6="sproei-extractie",I6/VLOOKUP(E6,'3B-Prestaties vloeren'!$A$3:$H$24,8,FALSE),0)*P6,0)</f>
        <v>0</v>
      </c>
    </row>
    <row r="7" spans="1:23" ht="15" hidden="1">
      <c r="A7" s="378" t="s">
        <v>706</v>
      </c>
      <c r="B7" s="378" t="s">
        <v>678</v>
      </c>
      <c r="C7" s="378">
        <v>0</v>
      </c>
      <c r="D7" s="378" t="s">
        <v>314</v>
      </c>
      <c r="E7" s="378" t="s">
        <v>728</v>
      </c>
      <c r="F7" s="378" t="s">
        <v>695</v>
      </c>
      <c r="G7" s="378" t="str">
        <f>VLOOKUP(F7,'3B-Prestaties vloeren'!$A$28:$B$118,2,0)</f>
        <v>N.v.t.</v>
      </c>
      <c r="H7" s="378" t="s">
        <v>651</v>
      </c>
      <c r="I7" s="378" t="s">
        <v>657</v>
      </c>
      <c r="J7" s="419"/>
      <c r="K7" s="426">
        <v>0</v>
      </c>
      <c r="L7" s="378">
        <f t="shared" si="0"/>
        <v>0</v>
      </c>
      <c r="M7" s="380">
        <f>IF(K7=0,0,IF(COUNTBLANK('3A-Prestatie'!$B$2:$I$22)=0,L7/VLOOKUP(E7,'3A-Prestatie'!$A$1:$M$22,VLOOKUP(K7,'3A-Prestatie'!$A$28:$B$34,2,FALSE),FALSE),"3A prestatie invullen"))</f>
        <v>0</v>
      </c>
      <c r="N7" s="380">
        <f t="shared" si="2"/>
        <v>0</v>
      </c>
      <c r="O7" s="381" t="str">
        <f>VLOOKUP(E7,'3A-Prestatie'!A:M,13,FALSE)</f>
        <v>N.v.t.</v>
      </c>
      <c r="P7" s="382">
        <f>IF(R7="Niet van toepassing",0,VLOOKUP(E7,'3B-Prestaties vloeren'!$A$3:$D$24,IF(G7="Hard onbehandeld",2,IF(G7="Hard behandeld",3,4)),FALSE))</f>
        <v>0</v>
      </c>
      <c r="Q7" s="383">
        <f t="shared" si="1"/>
        <v>0</v>
      </c>
      <c r="R7" s="384" t="str">
        <f>IF(K7=0,"Niet van toepassing",IF(G7='3B-Prestaties vloeren'!$B$2,"Schrobben",IF(G7='3B-Prestaties vloeren'!$C$2,"Sprayen/conserveren",IF(G7='3B-Prestaties vloeren'!$D$2,"Sproei-extractie",0))))</f>
        <v>Niet van toepassing</v>
      </c>
      <c r="S7" s="385">
        <f>IF('2-Tarieven'!$B$28=0,0,IF(M7=0,0,'2-Tarieven'!$B$28*M7))</f>
        <v>0</v>
      </c>
      <c r="T7" s="386">
        <f>IF(AND(COUNTBLANK('3B-Prestaties vloeren'!$F$3:$H$24)=0,COUNTBLANK('3B-Prestaties vloeren'!$L$3:$M$24)=0),IF(R7="Sprayen/conserveren",I7/VLOOKUP(E7,'3B-Prestaties vloeren'!$A$3:$M$24,12,FALSE),0)*(P7-1),0)</f>
        <v>0</v>
      </c>
      <c r="U7" s="386">
        <f>IF(AND(COUNTBLANK('3B-Prestaties vloeren'!$F$3:$H$24)=0,COUNTBLANK('3B-Prestaties vloeren'!$L$3:$M$24)=0),IF(R7="Sprayen/conserveren",I7/VLOOKUP(E7,'3B-Prestaties vloeren'!$A$3:$M$24,13,FALSE),0),0)</f>
        <v>0</v>
      </c>
      <c r="V7" s="386">
        <f>IF(AND(COUNTBLANK('3B-Prestaties vloeren'!$F$3:$H$24)=0,COUNTBLANK('3B-Prestaties vloeren'!$L$3:$M$24)=0),IF(R7="schrobben",I7/VLOOKUP(E7,'3B-Prestaties vloeren'!$A$3:$H$24,6,FALSE),0)*P7,0)</f>
        <v>0</v>
      </c>
      <c r="W7" s="386">
        <f>IF(AND(COUNTBLANK('3B-Prestaties vloeren'!$F$3:$H$24)=0,COUNTBLANK('3B-Prestaties vloeren'!$L$3:$M$24)=0),IF(R7="sproei-extractie",I7/VLOOKUP(E7,'3B-Prestaties vloeren'!$A$3:$H$24,8,FALSE),0)*P7,0)</f>
        <v>0</v>
      </c>
    </row>
    <row r="8" spans="1:23" ht="15" hidden="1">
      <c r="A8" s="378" t="s">
        <v>706</v>
      </c>
      <c r="B8" s="378" t="s">
        <v>678</v>
      </c>
      <c r="C8" s="378">
        <v>0</v>
      </c>
      <c r="D8" s="378" t="s">
        <v>316</v>
      </c>
      <c r="E8" s="378" t="s">
        <v>728</v>
      </c>
      <c r="F8" s="378" t="s">
        <v>695</v>
      </c>
      <c r="G8" s="378" t="str">
        <f>VLOOKUP(F8,'3B-Prestaties vloeren'!$A$28:$B$118,2,0)</f>
        <v>N.v.t.</v>
      </c>
      <c r="H8" s="378" t="s">
        <v>283</v>
      </c>
      <c r="I8" s="378" t="s">
        <v>657</v>
      </c>
      <c r="J8" s="419"/>
      <c r="K8" s="426">
        <v>0</v>
      </c>
      <c r="L8" s="378">
        <f t="shared" si="0"/>
        <v>0</v>
      </c>
      <c r="M8" s="380">
        <f>IF(K8=0,0,IF(COUNTBLANK('3A-Prestatie'!$B$2:$I$22)=0,L8/VLOOKUP(E8,'3A-Prestatie'!$A$1:$M$22,VLOOKUP(K8,'3A-Prestatie'!$A$28:$B$34,2,FALSE),FALSE),"3A prestatie invullen"))</f>
        <v>0</v>
      </c>
      <c r="N8" s="380">
        <f t="shared" si="2"/>
        <v>0</v>
      </c>
      <c r="O8" s="381" t="str">
        <f>VLOOKUP(E8,'3A-Prestatie'!A:M,13,FALSE)</f>
        <v>N.v.t.</v>
      </c>
      <c r="P8" s="382">
        <f>IF(R8="Niet van toepassing",0,VLOOKUP(E8,'3B-Prestaties vloeren'!$A$3:$D$24,IF(G8="Hard onbehandeld",2,IF(G8="Hard behandeld",3,4)),FALSE))</f>
        <v>0</v>
      </c>
      <c r="Q8" s="383">
        <f t="shared" si="1"/>
        <v>0</v>
      </c>
      <c r="R8" s="384" t="str">
        <f>IF(K8=0,"Niet van toepassing",IF(G8='3B-Prestaties vloeren'!$B$2,"Schrobben",IF(G8='3B-Prestaties vloeren'!$C$2,"Sprayen/conserveren",IF(G8='3B-Prestaties vloeren'!$D$2,"Sproei-extractie",0))))</f>
        <v>Niet van toepassing</v>
      </c>
      <c r="S8" s="385">
        <f>IF('2-Tarieven'!$B$28=0,0,IF(M8=0,0,'2-Tarieven'!$B$28*M8))</f>
        <v>0</v>
      </c>
      <c r="T8" s="386">
        <f>IF(AND(COUNTBLANK('3B-Prestaties vloeren'!$F$3:$H$24)=0,COUNTBLANK('3B-Prestaties vloeren'!$L$3:$M$24)=0),IF(R8="Sprayen/conserveren",I8/VLOOKUP(E8,'3B-Prestaties vloeren'!$A$3:$M$24,12,FALSE),0)*(P8-1),0)</f>
        <v>0</v>
      </c>
      <c r="U8" s="386">
        <f>IF(AND(COUNTBLANK('3B-Prestaties vloeren'!$F$3:$H$24)=0,COUNTBLANK('3B-Prestaties vloeren'!$L$3:$M$24)=0),IF(R8="Sprayen/conserveren",I8/VLOOKUP(E8,'3B-Prestaties vloeren'!$A$3:$M$24,13,FALSE),0),0)</f>
        <v>0</v>
      </c>
      <c r="V8" s="386">
        <f>IF(AND(COUNTBLANK('3B-Prestaties vloeren'!$F$3:$H$24)=0,COUNTBLANK('3B-Prestaties vloeren'!$L$3:$M$24)=0),IF(R8="schrobben",I8/VLOOKUP(E8,'3B-Prestaties vloeren'!$A$3:$H$24,6,FALSE),0)*P8,0)</f>
        <v>0</v>
      </c>
      <c r="W8" s="386">
        <f>IF(AND(COUNTBLANK('3B-Prestaties vloeren'!$F$3:$H$24)=0,COUNTBLANK('3B-Prestaties vloeren'!$L$3:$M$24)=0),IF(R8="sproei-extractie",I8/VLOOKUP(E8,'3B-Prestaties vloeren'!$A$3:$H$24,8,FALSE),0)*P8,0)</f>
        <v>0</v>
      </c>
    </row>
    <row r="9" spans="1:23" ht="15" hidden="1">
      <c r="A9" s="378" t="s">
        <v>706</v>
      </c>
      <c r="B9" s="378" t="s">
        <v>678</v>
      </c>
      <c r="C9" s="378">
        <v>0</v>
      </c>
      <c r="D9" s="378" t="s">
        <v>318</v>
      </c>
      <c r="E9" s="378" t="s">
        <v>728</v>
      </c>
      <c r="F9" s="378" t="s">
        <v>695</v>
      </c>
      <c r="G9" s="378" t="str">
        <f>VLOOKUP(F9,'3B-Prestaties vloeren'!$A$28:$B$118,2,0)</f>
        <v>N.v.t.</v>
      </c>
      <c r="H9" s="378" t="s">
        <v>283</v>
      </c>
      <c r="I9" s="378" t="s">
        <v>657</v>
      </c>
      <c r="J9" s="419"/>
      <c r="K9" s="426">
        <v>0</v>
      </c>
      <c r="L9" s="378">
        <f t="shared" si="0"/>
        <v>0</v>
      </c>
      <c r="M9" s="380">
        <f>IF(K9=0,0,IF(COUNTBLANK('3A-Prestatie'!$B$2:$I$22)=0,L9/VLOOKUP(E9,'3A-Prestatie'!$A$1:$M$22,VLOOKUP(K9,'3A-Prestatie'!$A$28:$B$34,2,FALSE),FALSE),"3A prestatie invullen"))</f>
        <v>0</v>
      </c>
      <c r="N9" s="380">
        <f t="shared" si="2"/>
        <v>0</v>
      </c>
      <c r="O9" s="381" t="str">
        <f>VLOOKUP(E9,'3A-Prestatie'!A:M,13,FALSE)</f>
        <v>N.v.t.</v>
      </c>
      <c r="P9" s="382">
        <f>IF(R9="Niet van toepassing",0,VLOOKUP(E9,'3B-Prestaties vloeren'!$A$3:$D$24,IF(G9="Hard onbehandeld",2,IF(G9="Hard behandeld",3,4)),FALSE))</f>
        <v>0</v>
      </c>
      <c r="Q9" s="383">
        <f t="shared" si="1"/>
        <v>0</v>
      </c>
      <c r="R9" s="384" t="str">
        <f>IF(K9=0,"Niet van toepassing",IF(G9='3B-Prestaties vloeren'!$B$2,"Schrobben",IF(G9='3B-Prestaties vloeren'!$C$2,"Sprayen/conserveren",IF(G9='3B-Prestaties vloeren'!$D$2,"Sproei-extractie",0))))</f>
        <v>Niet van toepassing</v>
      </c>
      <c r="S9" s="385">
        <f>IF('2-Tarieven'!$B$28=0,0,IF(M9=0,0,'2-Tarieven'!$B$28*M9))</f>
        <v>0</v>
      </c>
      <c r="T9" s="386">
        <f>IF(AND(COUNTBLANK('3B-Prestaties vloeren'!$F$3:$H$24)=0,COUNTBLANK('3B-Prestaties vloeren'!$L$3:$M$24)=0),IF(R9="Sprayen/conserveren",I9/VLOOKUP(E9,'3B-Prestaties vloeren'!$A$3:$M$24,12,FALSE),0)*(P9-1),0)</f>
        <v>0</v>
      </c>
      <c r="U9" s="386">
        <f>IF(AND(COUNTBLANK('3B-Prestaties vloeren'!$F$3:$H$24)=0,COUNTBLANK('3B-Prestaties vloeren'!$L$3:$M$24)=0),IF(R9="Sprayen/conserveren",I9/VLOOKUP(E9,'3B-Prestaties vloeren'!$A$3:$M$24,13,FALSE),0),0)</f>
        <v>0</v>
      </c>
      <c r="V9" s="386">
        <f>IF(AND(COUNTBLANK('3B-Prestaties vloeren'!$F$3:$H$24)=0,COUNTBLANK('3B-Prestaties vloeren'!$L$3:$M$24)=0),IF(R9="schrobben",I9/VLOOKUP(E9,'3B-Prestaties vloeren'!$A$3:$H$24,6,FALSE),0)*P9,0)</f>
        <v>0</v>
      </c>
      <c r="W9" s="386">
        <f>IF(AND(COUNTBLANK('3B-Prestaties vloeren'!$F$3:$H$24)=0,COUNTBLANK('3B-Prestaties vloeren'!$L$3:$M$24)=0),IF(R9="sproei-extractie",I9/VLOOKUP(E9,'3B-Prestaties vloeren'!$A$3:$H$24,8,FALSE),0)*P9,0)</f>
        <v>0</v>
      </c>
    </row>
    <row r="10" spans="1:23" ht="15" hidden="1">
      <c r="A10" s="378" t="s">
        <v>706</v>
      </c>
      <c r="B10" s="378" t="s">
        <v>678</v>
      </c>
      <c r="C10" s="378">
        <v>0</v>
      </c>
      <c r="D10" s="378" t="s">
        <v>319</v>
      </c>
      <c r="E10" s="378" t="s">
        <v>728</v>
      </c>
      <c r="F10" s="378" t="s">
        <v>695</v>
      </c>
      <c r="G10" s="378" t="str">
        <f>VLOOKUP(F10,'3B-Prestaties vloeren'!$A$28:$B$118,2,0)</f>
        <v>N.v.t.</v>
      </c>
      <c r="H10" s="378" t="s">
        <v>287</v>
      </c>
      <c r="I10" s="378" t="s">
        <v>657</v>
      </c>
      <c r="J10" s="419"/>
      <c r="K10" s="426">
        <v>0</v>
      </c>
      <c r="L10" s="378">
        <f t="shared" si="0"/>
        <v>0</v>
      </c>
      <c r="M10" s="380">
        <f>IF(K10=0,0,IF(COUNTBLANK('3A-Prestatie'!$B$2:$I$22)=0,L10/VLOOKUP(E10,'3A-Prestatie'!$A$1:$M$22,VLOOKUP(K10,'3A-Prestatie'!$A$28:$B$34,2,FALSE),FALSE),"3A prestatie invullen"))</f>
        <v>0</v>
      </c>
      <c r="N10" s="380">
        <f t="shared" si="2"/>
        <v>0</v>
      </c>
      <c r="O10" s="381" t="str">
        <f>VLOOKUP(E10,'3A-Prestatie'!A:M,13,FALSE)</f>
        <v>N.v.t.</v>
      </c>
      <c r="P10" s="382">
        <f>IF(R10="Niet van toepassing",0,VLOOKUP(E10,'3B-Prestaties vloeren'!$A$3:$D$24,IF(G10="Hard onbehandeld",2,IF(G10="Hard behandeld",3,4)),FALSE))</f>
        <v>0</v>
      </c>
      <c r="Q10" s="383">
        <f t="shared" si="1"/>
        <v>0</v>
      </c>
      <c r="R10" s="384" t="str">
        <f>IF(K10=0,"Niet van toepassing",IF(G10='3B-Prestaties vloeren'!$B$2,"Schrobben",IF(G10='3B-Prestaties vloeren'!$C$2,"Sprayen/conserveren",IF(G10='3B-Prestaties vloeren'!$D$2,"Sproei-extractie",0))))</f>
        <v>Niet van toepassing</v>
      </c>
      <c r="S10" s="385">
        <f>IF('2-Tarieven'!$B$28=0,0,IF(M10=0,0,'2-Tarieven'!$B$28*M10))</f>
        <v>0</v>
      </c>
      <c r="T10" s="386">
        <f>IF(AND(COUNTBLANK('3B-Prestaties vloeren'!$F$3:$H$24)=0,COUNTBLANK('3B-Prestaties vloeren'!$L$3:$M$24)=0),IF(R10="Sprayen/conserveren",I10/VLOOKUP(E10,'3B-Prestaties vloeren'!$A$3:$M$24,12,FALSE),0)*(P10-1),0)</f>
        <v>0</v>
      </c>
      <c r="U10" s="386">
        <f>IF(AND(COUNTBLANK('3B-Prestaties vloeren'!$F$3:$H$24)=0,COUNTBLANK('3B-Prestaties vloeren'!$L$3:$M$24)=0),IF(R10="Sprayen/conserveren",I10/VLOOKUP(E10,'3B-Prestaties vloeren'!$A$3:$M$24,13,FALSE),0),0)</f>
        <v>0</v>
      </c>
      <c r="V10" s="386">
        <f>IF(AND(COUNTBLANK('3B-Prestaties vloeren'!$F$3:$H$24)=0,COUNTBLANK('3B-Prestaties vloeren'!$L$3:$M$24)=0),IF(R10="schrobben",I10/VLOOKUP(E10,'3B-Prestaties vloeren'!$A$3:$H$24,6,FALSE),0)*P10,0)</f>
        <v>0</v>
      </c>
      <c r="W10" s="386">
        <f>IF(AND(COUNTBLANK('3B-Prestaties vloeren'!$F$3:$H$24)=0,COUNTBLANK('3B-Prestaties vloeren'!$L$3:$M$24)=0),IF(R10="sproei-extractie",I10/VLOOKUP(E10,'3B-Prestaties vloeren'!$A$3:$H$24,8,FALSE),0)*P10,0)</f>
        <v>0</v>
      </c>
    </row>
    <row r="11" spans="1:23" ht="15" hidden="1">
      <c r="A11" s="378" t="s">
        <v>645</v>
      </c>
      <c r="B11" s="378" t="s">
        <v>646</v>
      </c>
      <c r="C11" s="378">
        <v>1</v>
      </c>
      <c r="D11" s="378" t="s">
        <v>336</v>
      </c>
      <c r="E11" s="378" t="s">
        <v>307</v>
      </c>
      <c r="F11" s="378" t="s">
        <v>647</v>
      </c>
      <c r="G11" s="378" t="str">
        <f>VLOOKUP(F11,'3B-Prestaties vloeren'!$A$28:$B$118,2,0)</f>
        <v>Hard onbehandeld</v>
      </c>
      <c r="H11" s="378"/>
      <c r="I11" s="378">
        <v>7.5</v>
      </c>
      <c r="J11" s="420" t="s">
        <v>749</v>
      </c>
      <c r="K11" s="430">
        <v>52</v>
      </c>
      <c r="L11" s="378">
        <f t="shared" si="0"/>
        <v>390</v>
      </c>
      <c r="M11" s="380" t="str">
        <f>IF(K11=0,0,IF(COUNTBLANK('3A-Prestatie'!$B$2:$I$22)=0,L11/VLOOKUP(E11,'3A-Prestatie'!$A$1:$M$22,VLOOKUP(K11,'3A-Prestatie'!$A$28:$B$34,2,FALSE),FALSE),"3A prestatie invullen"))</f>
        <v>3A prestatie invullen</v>
      </c>
      <c r="N11" s="380">
        <f t="shared" si="2"/>
        <v>0</v>
      </c>
      <c r="O11" s="381" t="str">
        <f>VLOOKUP(E11,'3A-Prestatie'!A:M,13,FALSE)</f>
        <v>V</v>
      </c>
      <c r="P11" s="382">
        <v>12</v>
      </c>
      <c r="Q11" s="383">
        <f t="shared" si="1"/>
        <v>0</v>
      </c>
      <c r="R11" s="384" t="str">
        <f>IF(K11=0,"Niet van toepassing",IF(G11='3B-Prestaties vloeren'!$B$2,"Schrobben",IF(G11='3B-Prestaties vloeren'!$C$2,"Sprayen/conserveren",IF(G11='3B-Prestaties vloeren'!$D$2,"Sproei-extractie",0))))</f>
        <v>Schrobben</v>
      </c>
      <c r="S11" s="385">
        <f>IF('2-Tarieven'!$B$28=0,0,IF(M11=0,0,'2-Tarieven'!$B$28*M11))</f>
        <v>0</v>
      </c>
      <c r="T11" s="386">
        <f>IF(AND(COUNTBLANK('3B-Prestaties vloeren'!$F$3:$H$24)=0,COUNTBLANK('3B-Prestaties vloeren'!$L$3:$M$24)=0),IF(R11="Sprayen/conserveren",I11/VLOOKUP(E11,'3B-Prestaties vloeren'!$A$3:$M$24,12,FALSE),0)*(P11-1),0)</f>
        <v>0</v>
      </c>
      <c r="U11" s="386">
        <f>IF(AND(COUNTBLANK('3B-Prestaties vloeren'!$F$3:$H$24)=0,COUNTBLANK('3B-Prestaties vloeren'!$L$3:$M$24)=0),IF(R11="Sprayen/conserveren",I11/VLOOKUP(E11,'3B-Prestaties vloeren'!$A$3:$M$24,13,FALSE),0),0)</f>
        <v>0</v>
      </c>
      <c r="V11" s="386">
        <f>IF(AND(COUNTBLANK('3B-Prestaties vloeren'!$F$3:$H$24)=0,COUNTBLANK('3B-Prestaties vloeren'!$L$3:$M$24)=0),IF(R11="schrobben",I11/VLOOKUP(E11,'3B-Prestaties vloeren'!$A$3:$H$24,6,FALSE),0)*P11,0)</f>
        <v>0</v>
      </c>
      <c r="W11" s="386">
        <f>IF(AND(COUNTBLANK('3B-Prestaties vloeren'!$F$3:$H$24)=0,COUNTBLANK('3B-Prestaties vloeren'!$L$3:$M$24)=0),IF(R11="sproei-extractie",I11/VLOOKUP(E11,'3B-Prestaties vloeren'!$A$3:$H$24,8,FALSE),0)*P11,0)</f>
        <v>0</v>
      </c>
    </row>
    <row r="12" spans="1:23" ht="15" hidden="1">
      <c r="A12" s="378" t="s">
        <v>645</v>
      </c>
      <c r="B12" s="378" t="s">
        <v>646</v>
      </c>
      <c r="C12" s="378">
        <v>1</v>
      </c>
      <c r="D12" s="378" t="s">
        <v>337</v>
      </c>
      <c r="E12" s="378" t="s">
        <v>653</v>
      </c>
      <c r="F12" s="378" t="s">
        <v>647</v>
      </c>
      <c r="G12" s="378" t="str">
        <f>VLOOKUP(F12,'3B-Prestaties vloeren'!$A$28:$B$118,2,0)</f>
        <v>Hard onbehandeld</v>
      </c>
      <c r="H12" s="378" t="s">
        <v>730</v>
      </c>
      <c r="I12" s="378">
        <v>2.5</v>
      </c>
      <c r="J12" s="421" t="s">
        <v>511</v>
      </c>
      <c r="K12" s="426">
        <v>52</v>
      </c>
      <c r="L12" s="378">
        <f t="shared" si="0"/>
        <v>130</v>
      </c>
      <c r="M12" s="380" t="str">
        <f>IF(K12=0,0,IF(COUNTBLANK('3A-Prestatie'!$B$2:$I$22)=0,L12/VLOOKUP(E12,'3A-Prestatie'!$A$1:$M$22,VLOOKUP(K12,'3A-Prestatie'!$A$28:$B$34,2,FALSE),FALSE),"3A prestatie invullen"))</f>
        <v>3A prestatie invullen</v>
      </c>
      <c r="N12" s="380">
        <f t="shared" si="2"/>
        <v>0</v>
      </c>
      <c r="O12" s="381" t="str">
        <f>VLOOKUP(E12,'3A-Prestatie'!A:M,13,FALSE)</f>
        <v>S</v>
      </c>
      <c r="P12" s="382">
        <v>12</v>
      </c>
      <c r="Q12" s="383">
        <f t="shared" si="1"/>
        <v>0</v>
      </c>
      <c r="R12" s="384" t="str">
        <f>IF(K12=0,"Niet van toepassing",IF(G12='3B-Prestaties vloeren'!$B$2,"Schrobben",IF(G12='3B-Prestaties vloeren'!$C$2,"Sprayen/conserveren",IF(G12='3B-Prestaties vloeren'!$D$2,"Sproei-extractie",0))))</f>
        <v>Schrobben</v>
      </c>
      <c r="S12" s="385">
        <f>IF('2-Tarieven'!$B$28=0,0,IF(M12=0,0,'2-Tarieven'!$B$28*M12))</f>
        <v>0</v>
      </c>
      <c r="T12" s="386">
        <f>IF(AND(COUNTBLANK('3B-Prestaties vloeren'!$F$3:$H$24)=0,COUNTBLANK('3B-Prestaties vloeren'!$L$3:$M$24)=0),IF(R12="Sprayen/conserveren",I12/VLOOKUP(E12,'3B-Prestaties vloeren'!$A$3:$M$24,12,FALSE),0)*(P12-1),0)</f>
        <v>0</v>
      </c>
      <c r="U12" s="386">
        <f>IF(AND(COUNTBLANK('3B-Prestaties vloeren'!$F$3:$H$24)=0,COUNTBLANK('3B-Prestaties vloeren'!$L$3:$M$24)=0),IF(R12="Sprayen/conserveren",I12/VLOOKUP(E12,'3B-Prestaties vloeren'!$A$3:$M$24,13,FALSE),0),0)</f>
        <v>0</v>
      </c>
      <c r="V12" s="386">
        <f>IF(AND(COUNTBLANK('3B-Prestaties vloeren'!$F$3:$H$24)=0,COUNTBLANK('3B-Prestaties vloeren'!$L$3:$M$24)=0),IF(R12="schrobben",I12/VLOOKUP(E12,'3B-Prestaties vloeren'!$A$3:$H$24,6,FALSE),0)*P12,0)</f>
        <v>0</v>
      </c>
      <c r="W12" s="386">
        <f>IF(AND(COUNTBLANK('3B-Prestaties vloeren'!$F$3:$H$24)=0,COUNTBLANK('3B-Prestaties vloeren'!$L$3:$M$24)=0),IF(R12="sproei-extractie",I12/VLOOKUP(E12,'3B-Prestaties vloeren'!$A$3:$H$24,8,FALSE),0)*P12,0)</f>
        <v>0</v>
      </c>
    </row>
    <row r="13" spans="1:23" ht="15" hidden="1">
      <c r="A13" s="378" t="s">
        <v>645</v>
      </c>
      <c r="B13" s="378" t="s">
        <v>646</v>
      </c>
      <c r="C13" s="378">
        <v>1</v>
      </c>
      <c r="D13" s="378" t="s">
        <v>338</v>
      </c>
      <c r="E13" s="378" t="s">
        <v>306</v>
      </c>
      <c r="F13" s="378" t="s">
        <v>648</v>
      </c>
      <c r="G13" s="378" t="str">
        <f>VLOOKUP(F13,'3B-Prestaties vloeren'!$A$28:$B$118,2,0)</f>
        <v>Hard onbehandeld</v>
      </c>
      <c r="H13" s="378"/>
      <c r="I13" s="378">
        <v>25</v>
      </c>
      <c r="J13" s="420" t="s">
        <v>749</v>
      </c>
      <c r="K13" s="426">
        <v>52</v>
      </c>
      <c r="L13" s="378">
        <f t="shared" si="0"/>
        <v>1300</v>
      </c>
      <c r="M13" s="380" t="str">
        <f>IF(K13=0,0,IF(COUNTBLANK('3A-Prestatie'!$B$2:$I$22)=0,L13/VLOOKUP(E13,'3A-Prestatie'!$A$1:$M$22,VLOOKUP(K13,'3A-Prestatie'!$A$28:$B$34,2,FALSE),FALSE),"3A prestatie invullen"))</f>
        <v>3A prestatie invullen</v>
      </c>
      <c r="N13" s="380">
        <f t="shared" si="2"/>
        <v>0</v>
      </c>
      <c r="O13" s="381" t="str">
        <f>VLOOKUP(E13,'3A-Prestatie'!A:M,13,FALSE)</f>
        <v>V</v>
      </c>
      <c r="P13" s="382">
        <f>IF(K13=52,12,IF(R13="Niet van toepassing",0,VLOOKUP(E13,'3B-Prestaties vloeren'!$A$3:$D$24,IF(G13="Hard onbehandeld",2,IF(G13="Hard behandeld",3,4)),FALSE)))</f>
        <v>12</v>
      </c>
      <c r="Q13" s="383">
        <f t="shared" si="1"/>
        <v>0</v>
      </c>
      <c r="R13" s="384" t="str">
        <f>IF(K13=0,"Niet van toepassing",IF(G13='3B-Prestaties vloeren'!$B$2,"Schrobben",IF(G13='3B-Prestaties vloeren'!$C$2,"Sprayen/conserveren",IF(G13='3B-Prestaties vloeren'!$D$2,"Sproei-extractie",0))))</f>
        <v>Schrobben</v>
      </c>
      <c r="S13" s="385">
        <f>IF('2-Tarieven'!$B$28=0,0,IF(M13=0,0,'2-Tarieven'!$B$28*M13))</f>
        <v>0</v>
      </c>
      <c r="T13" s="386">
        <f>IF(AND(COUNTBLANK('3B-Prestaties vloeren'!$F$3:$H$24)=0,COUNTBLANK('3B-Prestaties vloeren'!$L$3:$M$24)=0),IF(R13="Sprayen/conserveren",I13/VLOOKUP(E13,'3B-Prestaties vloeren'!$A$3:$M$24,12,FALSE),0)*(P13-1),0)</f>
        <v>0</v>
      </c>
      <c r="U13" s="386">
        <f>IF(AND(COUNTBLANK('3B-Prestaties vloeren'!$F$3:$H$24)=0,COUNTBLANK('3B-Prestaties vloeren'!$L$3:$M$24)=0),IF(R13="Sprayen/conserveren",I13/VLOOKUP(E13,'3B-Prestaties vloeren'!$A$3:$M$24,13,FALSE),0),0)</f>
        <v>0</v>
      </c>
      <c r="V13" s="386">
        <f>IF(AND(COUNTBLANK('3B-Prestaties vloeren'!$F$3:$H$24)=0,COUNTBLANK('3B-Prestaties vloeren'!$L$3:$M$24)=0),IF(R13="schrobben",I13/VLOOKUP(E13,'3B-Prestaties vloeren'!$A$3:$H$24,6,FALSE),0)*P13,0)</f>
        <v>0</v>
      </c>
      <c r="W13" s="386">
        <f>IF(AND(COUNTBLANK('3B-Prestaties vloeren'!$F$3:$H$24)=0,COUNTBLANK('3B-Prestaties vloeren'!$L$3:$M$24)=0),IF(R13="sproei-extractie",I13/VLOOKUP(E13,'3B-Prestaties vloeren'!$A$3:$H$24,8,FALSE),0)*P13,0)</f>
        <v>0</v>
      </c>
    </row>
    <row r="14" spans="1:23" ht="15" hidden="1">
      <c r="A14" s="378" t="s">
        <v>645</v>
      </c>
      <c r="B14" s="378" t="s">
        <v>646</v>
      </c>
      <c r="C14" s="378">
        <v>1</v>
      </c>
      <c r="D14" s="378" t="s">
        <v>339</v>
      </c>
      <c r="E14" s="378" t="s">
        <v>1</v>
      </c>
      <c r="F14" s="378" t="s">
        <v>647</v>
      </c>
      <c r="G14" s="378" t="str">
        <f>VLOOKUP(F14,'3B-Prestaties vloeren'!$A$28:$B$118,2,0)</f>
        <v>Hard onbehandeld</v>
      </c>
      <c r="H14" s="378"/>
      <c r="I14" s="378">
        <v>17.7</v>
      </c>
      <c r="J14" s="421" t="s">
        <v>511</v>
      </c>
      <c r="K14" s="426">
        <v>52</v>
      </c>
      <c r="L14" s="378">
        <f t="shared" si="0"/>
        <v>920.4</v>
      </c>
      <c r="M14" s="380" t="str">
        <f>IF(K14=0,0,IF(COUNTBLANK('3A-Prestatie'!$B$2:$I$22)=0,L14/VLOOKUP(E14,'3A-Prestatie'!$A$1:$M$22,VLOOKUP(K14,'3A-Prestatie'!$A$28:$B$34,2,FALSE),FALSE),"3A prestatie invullen"))</f>
        <v>3A prestatie invullen</v>
      </c>
      <c r="N14" s="380">
        <f t="shared" si="2"/>
        <v>0</v>
      </c>
      <c r="O14" s="381" t="str">
        <f>VLOOKUP(E14,'3A-Prestatie'!A:M,13,FALSE)</f>
        <v>S</v>
      </c>
      <c r="P14" s="382">
        <v>12</v>
      </c>
      <c r="Q14" s="383">
        <f t="shared" si="1"/>
        <v>0</v>
      </c>
      <c r="R14" s="384" t="str">
        <f>IF(K14=0,"Niet van toepassing",IF(G14='3B-Prestaties vloeren'!$B$2,"Schrobben",IF(G14='3B-Prestaties vloeren'!$C$2,"Sprayen/conserveren",IF(G14='3B-Prestaties vloeren'!$D$2,"Sproei-extractie",0))))</f>
        <v>Schrobben</v>
      </c>
      <c r="S14" s="385">
        <f>IF('2-Tarieven'!$B$28=0,0,IF(M14=0,0,'2-Tarieven'!$B$28*M14))</f>
        <v>0</v>
      </c>
      <c r="T14" s="386">
        <f>IF(AND(COUNTBLANK('3B-Prestaties vloeren'!$F$3:$H$24)=0,COUNTBLANK('3B-Prestaties vloeren'!$L$3:$M$24)=0),IF(R14="Sprayen/conserveren",I14/VLOOKUP(E14,'3B-Prestaties vloeren'!$A$3:$M$24,12,FALSE),0)*(P14-1),0)</f>
        <v>0</v>
      </c>
      <c r="U14" s="386">
        <f>IF(AND(COUNTBLANK('3B-Prestaties vloeren'!$F$3:$H$24)=0,COUNTBLANK('3B-Prestaties vloeren'!$L$3:$M$24)=0),IF(R14="Sprayen/conserveren",I14/VLOOKUP(E14,'3B-Prestaties vloeren'!$A$3:$M$24,13,FALSE),0),0)</f>
        <v>0</v>
      </c>
      <c r="V14" s="386">
        <f>IF(AND(COUNTBLANK('3B-Prestaties vloeren'!$F$3:$H$24)=0,COUNTBLANK('3B-Prestaties vloeren'!$L$3:$M$24)=0),IF(R14="schrobben",I14/VLOOKUP(E14,'3B-Prestaties vloeren'!$A$3:$H$24,6,FALSE),0)*P14,0)</f>
        <v>0</v>
      </c>
      <c r="W14" s="386">
        <f>IF(AND(COUNTBLANK('3B-Prestaties vloeren'!$F$3:$H$24)=0,COUNTBLANK('3B-Prestaties vloeren'!$L$3:$M$24)=0),IF(R14="sproei-extractie",I14/VLOOKUP(E14,'3B-Prestaties vloeren'!$A$3:$H$24,8,FALSE),0)*P14,0)</f>
        <v>0</v>
      </c>
    </row>
    <row r="15" spans="1:23" ht="15" hidden="1">
      <c r="A15" s="378" t="s">
        <v>645</v>
      </c>
      <c r="B15" s="378" t="s">
        <v>646</v>
      </c>
      <c r="C15" s="378">
        <v>1</v>
      </c>
      <c r="D15" s="378" t="s">
        <v>340</v>
      </c>
      <c r="E15" s="378" t="s">
        <v>1</v>
      </c>
      <c r="F15" s="378" t="s">
        <v>647</v>
      </c>
      <c r="G15" s="378" t="str">
        <f>VLOOKUP(F15,'3B-Prestaties vloeren'!$A$28:$B$118,2,0)</f>
        <v>Hard onbehandeld</v>
      </c>
      <c r="H15" s="378"/>
      <c r="I15" s="378">
        <v>13.6</v>
      </c>
      <c r="J15" s="421" t="s">
        <v>511</v>
      </c>
      <c r="K15" s="426">
        <v>52</v>
      </c>
      <c r="L15" s="378">
        <f t="shared" si="0"/>
        <v>707.19999999999993</v>
      </c>
      <c r="M15" s="380" t="str">
        <f>IF(K15=0,0,IF(COUNTBLANK('3A-Prestatie'!$B$2:$I$22)=0,L15/VLOOKUP(E15,'3A-Prestatie'!$A$1:$M$22,VLOOKUP(K15,'3A-Prestatie'!$A$28:$B$34,2,FALSE),FALSE),"3A prestatie invullen"))</f>
        <v>3A prestatie invullen</v>
      </c>
      <c r="N15" s="380">
        <f t="shared" si="2"/>
        <v>0</v>
      </c>
      <c r="O15" s="381" t="str">
        <f>VLOOKUP(E15,'3A-Prestatie'!A:M,13,FALSE)</f>
        <v>S</v>
      </c>
      <c r="P15" s="382">
        <v>12</v>
      </c>
      <c r="Q15" s="383">
        <f t="shared" si="1"/>
        <v>0</v>
      </c>
      <c r="R15" s="384" t="str">
        <f>IF(K15=0,"Niet van toepassing",IF(G15='3B-Prestaties vloeren'!$B$2,"Schrobben",IF(G15='3B-Prestaties vloeren'!$C$2,"Sprayen/conserveren",IF(G15='3B-Prestaties vloeren'!$D$2,"Sproei-extractie",0))))</f>
        <v>Schrobben</v>
      </c>
      <c r="S15" s="385">
        <f>IF('2-Tarieven'!$B$28=0,0,IF(M15=0,0,'2-Tarieven'!$B$28*M15))</f>
        <v>0</v>
      </c>
      <c r="T15" s="386">
        <f>IF(AND(COUNTBLANK('3B-Prestaties vloeren'!$F$3:$H$24)=0,COUNTBLANK('3B-Prestaties vloeren'!$L$3:$M$24)=0),IF(R15="Sprayen/conserveren",I15/VLOOKUP(E15,'3B-Prestaties vloeren'!$A$3:$M$24,12,FALSE),0)*(P15-1),0)</f>
        <v>0</v>
      </c>
      <c r="U15" s="386">
        <f>IF(AND(COUNTBLANK('3B-Prestaties vloeren'!$F$3:$H$24)=0,COUNTBLANK('3B-Prestaties vloeren'!$L$3:$M$24)=0),IF(R15="Sprayen/conserveren",I15/VLOOKUP(E15,'3B-Prestaties vloeren'!$A$3:$M$24,13,FALSE),0),0)</f>
        <v>0</v>
      </c>
      <c r="V15" s="386">
        <f>IF(AND(COUNTBLANK('3B-Prestaties vloeren'!$F$3:$H$24)=0,COUNTBLANK('3B-Prestaties vloeren'!$L$3:$M$24)=0),IF(R15="schrobben",I15/VLOOKUP(E15,'3B-Prestaties vloeren'!$A$3:$H$24,6,FALSE),0)*P15,0)</f>
        <v>0</v>
      </c>
      <c r="W15" s="386">
        <f>IF(AND(COUNTBLANK('3B-Prestaties vloeren'!$F$3:$H$24)=0,COUNTBLANK('3B-Prestaties vloeren'!$L$3:$M$24)=0),IF(R15="sproei-extractie",I15/VLOOKUP(E15,'3B-Prestaties vloeren'!$A$3:$H$24,8,FALSE),0)*P15,0)</f>
        <v>0</v>
      </c>
    </row>
    <row r="16" spans="1:23" ht="15" hidden="1">
      <c r="A16" s="378" t="s">
        <v>645</v>
      </c>
      <c r="B16" s="378" t="s">
        <v>646</v>
      </c>
      <c r="C16" s="378">
        <v>1</v>
      </c>
      <c r="D16" s="378" t="s">
        <v>342</v>
      </c>
      <c r="E16" s="378" t="s">
        <v>1</v>
      </c>
      <c r="F16" s="378" t="s">
        <v>647</v>
      </c>
      <c r="G16" s="378" t="str">
        <f>VLOOKUP(F16,'3B-Prestaties vloeren'!$A$28:$B$118,2,0)</f>
        <v>Hard onbehandeld</v>
      </c>
      <c r="H16" s="378"/>
      <c r="I16" s="378">
        <v>17.7</v>
      </c>
      <c r="J16" s="421" t="s">
        <v>511</v>
      </c>
      <c r="K16" s="426">
        <v>52</v>
      </c>
      <c r="L16" s="378">
        <f t="shared" si="0"/>
        <v>920.4</v>
      </c>
      <c r="M16" s="380" t="str">
        <f>IF(K16=0,0,IF(COUNTBLANK('3A-Prestatie'!$B$2:$I$22)=0,L16/VLOOKUP(E16,'3A-Prestatie'!$A$1:$M$22,VLOOKUP(K16,'3A-Prestatie'!$A$28:$B$34,2,FALSE),FALSE),"3A prestatie invullen"))</f>
        <v>3A prestatie invullen</v>
      </c>
      <c r="N16" s="380">
        <f t="shared" si="2"/>
        <v>0</v>
      </c>
      <c r="O16" s="381" t="str">
        <f>VLOOKUP(E16,'3A-Prestatie'!A:M,13,FALSE)</f>
        <v>S</v>
      </c>
      <c r="P16" s="382">
        <v>12</v>
      </c>
      <c r="Q16" s="383">
        <f t="shared" si="1"/>
        <v>0</v>
      </c>
      <c r="R16" s="384" t="str">
        <f>IF(K16=0,"Niet van toepassing",IF(G16='3B-Prestaties vloeren'!$B$2,"Schrobben",IF(G16='3B-Prestaties vloeren'!$C$2,"Sprayen/conserveren",IF(G16='3B-Prestaties vloeren'!$D$2,"Sproei-extractie",0))))</f>
        <v>Schrobben</v>
      </c>
      <c r="S16" s="385">
        <f>IF('2-Tarieven'!$B$28=0,0,IF(M16=0,0,'2-Tarieven'!$B$28*M16))</f>
        <v>0</v>
      </c>
      <c r="T16" s="386">
        <f>IF(AND(COUNTBLANK('3B-Prestaties vloeren'!$F$3:$H$24)=0,COUNTBLANK('3B-Prestaties vloeren'!$L$3:$M$24)=0),IF(R16="Sprayen/conserveren",I16/VLOOKUP(E16,'3B-Prestaties vloeren'!$A$3:$M$24,12,FALSE),0)*(P16-1),0)</f>
        <v>0</v>
      </c>
      <c r="U16" s="386">
        <f>IF(AND(COUNTBLANK('3B-Prestaties vloeren'!$F$3:$H$24)=0,COUNTBLANK('3B-Prestaties vloeren'!$L$3:$M$24)=0),IF(R16="Sprayen/conserveren",I16/VLOOKUP(E16,'3B-Prestaties vloeren'!$A$3:$M$24,13,FALSE),0),0)</f>
        <v>0</v>
      </c>
      <c r="V16" s="386">
        <f>IF(AND(COUNTBLANK('3B-Prestaties vloeren'!$F$3:$H$24)=0,COUNTBLANK('3B-Prestaties vloeren'!$L$3:$M$24)=0),IF(R16="schrobben",I16/VLOOKUP(E16,'3B-Prestaties vloeren'!$A$3:$H$24,6,FALSE),0)*P16,0)</f>
        <v>0</v>
      </c>
      <c r="W16" s="386">
        <f>IF(AND(COUNTBLANK('3B-Prestaties vloeren'!$F$3:$H$24)=0,COUNTBLANK('3B-Prestaties vloeren'!$L$3:$M$24)=0),IF(R16="sproei-extractie",I16/VLOOKUP(E16,'3B-Prestaties vloeren'!$A$3:$H$24,8,FALSE),0)*P16,0)</f>
        <v>0</v>
      </c>
    </row>
    <row r="17" spans="1:23" ht="15" hidden="1">
      <c r="A17" s="378" t="s">
        <v>645</v>
      </c>
      <c r="B17" s="378" t="s">
        <v>646</v>
      </c>
      <c r="C17" s="378">
        <v>1</v>
      </c>
      <c r="D17" s="378" t="s">
        <v>343</v>
      </c>
      <c r="E17" s="378" t="s">
        <v>653</v>
      </c>
      <c r="F17" s="378" t="s">
        <v>647</v>
      </c>
      <c r="G17" s="378" t="str">
        <f>VLOOKUP(F17,'3B-Prestaties vloeren'!$A$28:$B$118,2,0)</f>
        <v>Hard onbehandeld</v>
      </c>
      <c r="H17" s="378" t="s">
        <v>330</v>
      </c>
      <c r="I17" s="378">
        <v>1.35</v>
      </c>
      <c r="J17" s="421" t="s">
        <v>511</v>
      </c>
      <c r="K17" s="426">
        <v>52</v>
      </c>
      <c r="L17" s="378">
        <f t="shared" si="0"/>
        <v>70.2</v>
      </c>
      <c r="M17" s="380" t="str">
        <f>IF(K17=0,0,IF(COUNTBLANK('3A-Prestatie'!$B$2:$I$22)=0,L17/VLOOKUP(E17,'3A-Prestatie'!$A$1:$M$22,VLOOKUP(K17,'3A-Prestatie'!$A$28:$B$34,2,FALSE),FALSE),"3A prestatie invullen"))</f>
        <v>3A prestatie invullen</v>
      </c>
      <c r="N17" s="380">
        <f t="shared" si="2"/>
        <v>0</v>
      </c>
      <c r="O17" s="381" t="str">
        <f>VLOOKUP(E17,'3A-Prestatie'!A:M,13,FALSE)</f>
        <v>S</v>
      </c>
      <c r="P17" s="382">
        <v>12</v>
      </c>
      <c r="Q17" s="383">
        <f t="shared" si="1"/>
        <v>0</v>
      </c>
      <c r="R17" s="384" t="str">
        <f>IF(K17=0,"Niet van toepassing",IF(G17='3B-Prestaties vloeren'!$B$2,"Schrobben",IF(G17='3B-Prestaties vloeren'!$C$2,"Sprayen/conserveren",IF(G17='3B-Prestaties vloeren'!$D$2,"Sproei-extractie",0))))</f>
        <v>Schrobben</v>
      </c>
      <c r="S17" s="385">
        <f>IF('2-Tarieven'!$B$28=0,0,IF(M17=0,0,'2-Tarieven'!$B$28*M17))</f>
        <v>0</v>
      </c>
      <c r="T17" s="386">
        <f>IF(AND(COUNTBLANK('3B-Prestaties vloeren'!$F$3:$H$24)=0,COUNTBLANK('3B-Prestaties vloeren'!$L$3:$M$24)=0),IF(R17="Sprayen/conserveren",I17/VLOOKUP(E17,'3B-Prestaties vloeren'!$A$3:$M$24,12,FALSE),0)*(P17-1),0)</f>
        <v>0</v>
      </c>
      <c r="U17" s="386">
        <f>IF(AND(COUNTBLANK('3B-Prestaties vloeren'!$F$3:$H$24)=0,COUNTBLANK('3B-Prestaties vloeren'!$L$3:$M$24)=0),IF(R17="Sprayen/conserveren",I17/VLOOKUP(E17,'3B-Prestaties vloeren'!$A$3:$M$24,13,FALSE),0),0)</f>
        <v>0</v>
      </c>
      <c r="V17" s="386">
        <f>IF(AND(COUNTBLANK('3B-Prestaties vloeren'!$F$3:$H$24)=0,COUNTBLANK('3B-Prestaties vloeren'!$L$3:$M$24)=0),IF(R17="schrobben",I17/VLOOKUP(E17,'3B-Prestaties vloeren'!$A$3:$H$24,6,FALSE),0)*P17,0)</f>
        <v>0</v>
      </c>
      <c r="W17" s="386">
        <f>IF(AND(COUNTBLANK('3B-Prestaties vloeren'!$F$3:$H$24)=0,COUNTBLANK('3B-Prestaties vloeren'!$L$3:$M$24)=0),IF(R17="sproei-extractie",I17/VLOOKUP(E17,'3B-Prestaties vloeren'!$A$3:$H$24,8,FALSE),0)*P17,0)</f>
        <v>0</v>
      </c>
    </row>
    <row r="18" spans="1:23" ht="15" hidden="1">
      <c r="A18" s="378" t="s">
        <v>645</v>
      </c>
      <c r="B18" s="378" t="s">
        <v>646</v>
      </c>
      <c r="C18" s="378">
        <v>1</v>
      </c>
      <c r="D18" s="378" t="s">
        <v>7</v>
      </c>
      <c r="E18" s="378" t="s">
        <v>283</v>
      </c>
      <c r="F18" s="378" t="s">
        <v>648</v>
      </c>
      <c r="G18" s="378" t="str">
        <f>VLOOKUP(F18,'3B-Prestaties vloeren'!$A$28:$B$118,2,0)</f>
        <v>Hard onbehandeld</v>
      </c>
      <c r="H18" s="378" t="s">
        <v>283</v>
      </c>
      <c r="I18" s="378">
        <v>2.1</v>
      </c>
      <c r="J18" s="420" t="s">
        <v>749</v>
      </c>
      <c r="K18" s="426">
        <v>52</v>
      </c>
      <c r="L18" s="378">
        <f t="shared" si="0"/>
        <v>109.2</v>
      </c>
      <c r="M18" s="380" t="str">
        <f>IF(K18=0,0,IF(COUNTBLANK('3A-Prestatie'!$B$2:$I$22)=0,L18/VLOOKUP(E18,'3A-Prestatie'!$A$1:$M$22,VLOOKUP(K18,'3A-Prestatie'!$A$28:$B$34,2,FALSE),FALSE),"3A prestatie invullen"))</f>
        <v>3A prestatie invullen</v>
      </c>
      <c r="N18" s="380">
        <f t="shared" si="2"/>
        <v>0</v>
      </c>
      <c r="O18" s="381" t="str">
        <f>VLOOKUP(E18,'3A-Prestatie'!A:M,13,FALSE)</f>
        <v>V</v>
      </c>
      <c r="P18" s="382">
        <f>IF(R18="Niet van toepassing",0,VLOOKUP(E18,'3B-Prestaties vloeren'!$A$3:$D$24,IF(G18="Hard onbehandeld",2,IF(G18="Hard behandeld",3,4)),FALSE))</f>
        <v>12</v>
      </c>
      <c r="Q18" s="383">
        <f t="shared" si="1"/>
        <v>0</v>
      </c>
      <c r="R18" s="384" t="str">
        <f>IF(K18=0,"Niet van toepassing",IF(G18='3B-Prestaties vloeren'!$B$2,"Schrobben",IF(G18='3B-Prestaties vloeren'!$C$2,"Sprayen/conserveren",IF(G18='3B-Prestaties vloeren'!$D$2,"Sproei-extractie",0))))</f>
        <v>Schrobben</v>
      </c>
      <c r="S18" s="385">
        <f>IF('2-Tarieven'!$B$28=0,0,IF(M18=0,0,'2-Tarieven'!$B$28*M18))</f>
        <v>0</v>
      </c>
      <c r="T18" s="386">
        <f>IF(AND(COUNTBLANK('3B-Prestaties vloeren'!$F$3:$H$24)=0,COUNTBLANK('3B-Prestaties vloeren'!$L$3:$M$24)=0),IF(R18="Sprayen/conserveren",I18/VLOOKUP(E18,'3B-Prestaties vloeren'!$A$3:$M$24,12,FALSE),0)*(P18-1),0)</f>
        <v>0</v>
      </c>
      <c r="U18" s="386">
        <f>IF(AND(COUNTBLANK('3B-Prestaties vloeren'!$F$3:$H$24)=0,COUNTBLANK('3B-Prestaties vloeren'!$L$3:$M$24)=0),IF(R18="Sprayen/conserveren",I18/VLOOKUP(E18,'3B-Prestaties vloeren'!$A$3:$M$24,13,FALSE),0),0)</f>
        <v>0</v>
      </c>
      <c r="V18" s="386">
        <f>IF(AND(COUNTBLANK('3B-Prestaties vloeren'!$F$3:$H$24)=0,COUNTBLANK('3B-Prestaties vloeren'!$L$3:$M$24)=0),IF(R18="schrobben",I18/VLOOKUP(E18,'3B-Prestaties vloeren'!$A$3:$H$24,6,FALSE),0)*P18,0)</f>
        <v>0</v>
      </c>
      <c r="W18" s="386">
        <f>IF(AND(COUNTBLANK('3B-Prestaties vloeren'!$F$3:$H$24)=0,COUNTBLANK('3B-Prestaties vloeren'!$L$3:$M$24)=0),IF(R18="sproei-extractie",I18/VLOOKUP(E18,'3B-Prestaties vloeren'!$A$3:$H$24,8,FALSE),0)*P18,0)</f>
        <v>0</v>
      </c>
    </row>
    <row r="19" spans="1:23" ht="15" hidden="1">
      <c r="A19" s="378" t="s">
        <v>645</v>
      </c>
      <c r="B19" s="378" t="s">
        <v>646</v>
      </c>
      <c r="C19" s="378">
        <v>1</v>
      </c>
      <c r="D19" s="378" t="s">
        <v>344</v>
      </c>
      <c r="E19" s="378" t="s">
        <v>5</v>
      </c>
      <c r="F19" s="378" t="s">
        <v>647</v>
      </c>
      <c r="G19" s="378" t="str">
        <f>VLOOKUP(F19,'3B-Prestaties vloeren'!$A$28:$B$118,2,0)</f>
        <v>Hard onbehandeld</v>
      </c>
      <c r="H19" s="378"/>
      <c r="I19" s="378">
        <v>14.8</v>
      </c>
      <c r="J19" s="420" t="s">
        <v>749</v>
      </c>
      <c r="K19" s="426">
        <v>52</v>
      </c>
      <c r="L19" s="378">
        <f t="shared" si="0"/>
        <v>769.6</v>
      </c>
      <c r="M19" s="380" t="str">
        <f>IF(K19=0,0,IF(COUNTBLANK('3A-Prestatie'!$B$2:$I$22)=0,L19/VLOOKUP(E19,'3A-Prestatie'!$A$1:$M$22,VLOOKUP(K19,'3A-Prestatie'!$A$28:$B$34,2,FALSE),FALSE),"3A prestatie invullen"))</f>
        <v>3A prestatie invullen</v>
      </c>
      <c r="N19" s="380">
        <f t="shared" si="2"/>
        <v>0</v>
      </c>
      <c r="O19" s="381" t="str">
        <f>VLOOKUP(E19,'3A-Prestatie'!A:M,13,FALSE)</f>
        <v>B</v>
      </c>
      <c r="P19" s="382">
        <f>IF(R19="Niet van toepassing",0,VLOOKUP(E19,'3B-Prestaties vloeren'!$A$3:$D$24,IF(G19="Hard onbehandeld",2,IF(G19="Hard behandeld",3,4)),FALSE))</f>
        <v>4</v>
      </c>
      <c r="Q19" s="383">
        <f t="shared" si="1"/>
        <v>0</v>
      </c>
      <c r="R19" s="384" t="str">
        <f>IF(K19=0,"Niet van toepassing",IF(G19='3B-Prestaties vloeren'!$B$2,"Schrobben",IF(G19='3B-Prestaties vloeren'!$C$2,"Sprayen/conserveren",IF(G19='3B-Prestaties vloeren'!$D$2,"Sproei-extractie",0))))</f>
        <v>Schrobben</v>
      </c>
      <c r="S19" s="385">
        <f>IF('2-Tarieven'!$B$28=0,0,IF(M19=0,0,'2-Tarieven'!$B$28*M19))</f>
        <v>0</v>
      </c>
      <c r="T19" s="386">
        <f>IF(AND(COUNTBLANK('3B-Prestaties vloeren'!$F$3:$H$24)=0,COUNTBLANK('3B-Prestaties vloeren'!$L$3:$M$24)=0),IF(R19="Sprayen/conserveren",I19/VLOOKUP(E19,'3B-Prestaties vloeren'!$A$3:$M$24,12,FALSE),0)*(P19-1),0)</f>
        <v>0</v>
      </c>
      <c r="U19" s="386">
        <f>IF(AND(COUNTBLANK('3B-Prestaties vloeren'!$F$3:$H$24)=0,COUNTBLANK('3B-Prestaties vloeren'!$L$3:$M$24)=0),IF(R19="Sprayen/conserveren",I19/VLOOKUP(E19,'3B-Prestaties vloeren'!$A$3:$M$24,13,FALSE),0),0)</f>
        <v>0</v>
      </c>
      <c r="V19" s="386">
        <f>IF(AND(COUNTBLANK('3B-Prestaties vloeren'!$F$3:$H$24)=0,COUNTBLANK('3B-Prestaties vloeren'!$L$3:$M$24)=0),IF(R19="schrobben",I19/VLOOKUP(E19,'3B-Prestaties vloeren'!$A$3:$H$24,6,FALSE),0)*P19,0)</f>
        <v>0</v>
      </c>
      <c r="W19" s="386">
        <f>IF(AND(COUNTBLANK('3B-Prestaties vloeren'!$F$3:$H$24)=0,COUNTBLANK('3B-Prestaties vloeren'!$L$3:$M$24)=0),IF(R19="sproei-extractie",I19/VLOOKUP(E19,'3B-Prestaties vloeren'!$A$3:$H$24,8,FALSE),0)*P19,0)</f>
        <v>0</v>
      </c>
    </row>
    <row r="20" spans="1:23" ht="15" hidden="1">
      <c r="A20" s="378" t="s">
        <v>645</v>
      </c>
      <c r="B20" s="378" t="s">
        <v>646</v>
      </c>
      <c r="C20" s="378">
        <v>1</v>
      </c>
      <c r="D20" s="378" t="s">
        <v>345</v>
      </c>
      <c r="E20" s="378" t="s">
        <v>283</v>
      </c>
      <c r="F20" s="378" t="s">
        <v>647</v>
      </c>
      <c r="G20" s="378" t="str">
        <f>VLOOKUP(F20,'3B-Prestaties vloeren'!$A$28:$B$118,2,0)</f>
        <v>Hard onbehandeld</v>
      </c>
      <c r="H20" s="378" t="s">
        <v>283</v>
      </c>
      <c r="I20" s="378">
        <v>10.1</v>
      </c>
      <c r="J20" s="420" t="s">
        <v>749</v>
      </c>
      <c r="K20" s="426">
        <v>52</v>
      </c>
      <c r="L20" s="378">
        <f t="shared" si="0"/>
        <v>525.19999999999993</v>
      </c>
      <c r="M20" s="380" t="str">
        <f>IF(K20=0,0,IF(COUNTBLANK('3A-Prestatie'!$B$2:$I$22)=0,L20/VLOOKUP(E20,'3A-Prestatie'!$A$1:$M$22,VLOOKUP(K20,'3A-Prestatie'!$A$28:$B$34,2,FALSE),FALSE),"3A prestatie invullen"))</f>
        <v>3A prestatie invullen</v>
      </c>
      <c r="N20" s="380">
        <f t="shared" si="2"/>
        <v>0</v>
      </c>
      <c r="O20" s="381" t="str">
        <f>VLOOKUP(E20,'3A-Prestatie'!A:M,13,FALSE)</f>
        <v>V</v>
      </c>
      <c r="P20" s="382">
        <f>IF(R20="Niet van toepassing",0,VLOOKUP(E20,'3B-Prestaties vloeren'!$A$3:$D$24,IF(G20="Hard onbehandeld",2,IF(G20="Hard behandeld",3,4)),FALSE))</f>
        <v>12</v>
      </c>
      <c r="Q20" s="383">
        <f t="shared" si="1"/>
        <v>0</v>
      </c>
      <c r="R20" s="384" t="str">
        <f>IF(K20=0,"Niet van toepassing",IF(G20='3B-Prestaties vloeren'!$B$2,"Schrobben",IF(G20='3B-Prestaties vloeren'!$C$2,"Sprayen/conserveren",IF(G20='3B-Prestaties vloeren'!$D$2,"Sproei-extractie",0))))</f>
        <v>Schrobben</v>
      </c>
      <c r="S20" s="385">
        <f>IF('2-Tarieven'!$B$28=0,0,IF(M20=0,0,'2-Tarieven'!$B$28*M20))</f>
        <v>0</v>
      </c>
      <c r="T20" s="386">
        <f>IF(AND(COUNTBLANK('3B-Prestaties vloeren'!$F$3:$H$24)=0,COUNTBLANK('3B-Prestaties vloeren'!$L$3:$M$24)=0),IF(R20="Sprayen/conserveren",I20/VLOOKUP(E20,'3B-Prestaties vloeren'!$A$3:$M$24,12,FALSE),0)*(P20-1),0)</f>
        <v>0</v>
      </c>
      <c r="U20" s="386">
        <f>IF(AND(COUNTBLANK('3B-Prestaties vloeren'!$F$3:$H$24)=0,COUNTBLANK('3B-Prestaties vloeren'!$L$3:$M$24)=0),IF(R20="Sprayen/conserveren",I20/VLOOKUP(E20,'3B-Prestaties vloeren'!$A$3:$M$24,13,FALSE),0),0)</f>
        <v>0</v>
      </c>
      <c r="V20" s="386">
        <f>IF(AND(COUNTBLANK('3B-Prestaties vloeren'!$F$3:$H$24)=0,COUNTBLANK('3B-Prestaties vloeren'!$L$3:$M$24)=0),IF(R20="schrobben",I20/VLOOKUP(E20,'3B-Prestaties vloeren'!$A$3:$H$24,6,FALSE),0)*P20,0)</f>
        <v>0</v>
      </c>
      <c r="W20" s="386">
        <f>IF(AND(COUNTBLANK('3B-Prestaties vloeren'!$F$3:$H$24)=0,COUNTBLANK('3B-Prestaties vloeren'!$L$3:$M$24)=0),IF(R20="sproei-extractie",I20/VLOOKUP(E20,'3B-Prestaties vloeren'!$A$3:$H$24,8,FALSE),0)*P20,0)</f>
        <v>0</v>
      </c>
    </row>
    <row r="21" spans="1:23" ht="15" hidden="1">
      <c r="A21" s="378" t="s">
        <v>645</v>
      </c>
      <c r="B21" s="378" t="s">
        <v>646</v>
      </c>
      <c r="C21" s="378">
        <v>1</v>
      </c>
      <c r="D21" s="378" t="s">
        <v>346</v>
      </c>
      <c r="E21" s="378" t="s">
        <v>283</v>
      </c>
      <c r="F21" s="378" t="s">
        <v>647</v>
      </c>
      <c r="G21" s="378" t="str">
        <f>VLOOKUP(F21,'3B-Prestaties vloeren'!$A$28:$B$118,2,0)</f>
        <v>Hard onbehandeld</v>
      </c>
      <c r="H21" s="378" t="s">
        <v>283</v>
      </c>
      <c r="I21" s="378">
        <v>1.1000000000000001</v>
      </c>
      <c r="J21" s="420" t="s">
        <v>749</v>
      </c>
      <c r="K21" s="426">
        <v>52</v>
      </c>
      <c r="L21" s="378">
        <f t="shared" si="0"/>
        <v>57.2</v>
      </c>
      <c r="M21" s="380" t="str">
        <f>IF(K21=0,0,IF(COUNTBLANK('3A-Prestatie'!$B$2:$I$22)=0,L21/VLOOKUP(E21,'3A-Prestatie'!$A$1:$M$22,VLOOKUP(K21,'3A-Prestatie'!$A$28:$B$34,2,FALSE),FALSE),"3A prestatie invullen"))</f>
        <v>3A prestatie invullen</v>
      </c>
      <c r="N21" s="380">
        <f t="shared" si="2"/>
        <v>0</v>
      </c>
      <c r="O21" s="381" t="str">
        <f>VLOOKUP(E21,'3A-Prestatie'!A:M,13,FALSE)</f>
        <v>V</v>
      </c>
      <c r="P21" s="382">
        <f>IF(R21="Niet van toepassing",0,VLOOKUP(E21,'3B-Prestaties vloeren'!$A$3:$D$24,IF(G21="Hard onbehandeld",2,IF(G21="Hard behandeld",3,4)),FALSE))</f>
        <v>12</v>
      </c>
      <c r="Q21" s="383">
        <f t="shared" si="1"/>
        <v>0</v>
      </c>
      <c r="R21" s="384" t="str">
        <f>IF(K21=0,"Niet van toepassing",IF(G21='3B-Prestaties vloeren'!$B$2,"Schrobben",IF(G21='3B-Prestaties vloeren'!$C$2,"Sprayen/conserveren",IF(G21='3B-Prestaties vloeren'!$D$2,"Sproei-extractie",0))))</f>
        <v>Schrobben</v>
      </c>
      <c r="S21" s="385">
        <f>IF('2-Tarieven'!$B$28=0,0,IF(M21=0,0,'2-Tarieven'!$B$28*M21))</f>
        <v>0</v>
      </c>
      <c r="T21" s="386">
        <f>IF(AND(COUNTBLANK('3B-Prestaties vloeren'!$F$3:$H$24)=0,COUNTBLANK('3B-Prestaties vloeren'!$L$3:$M$24)=0),IF(R21="Sprayen/conserveren",I21/VLOOKUP(E21,'3B-Prestaties vloeren'!$A$3:$M$24,12,FALSE),0)*(P21-1),0)</f>
        <v>0</v>
      </c>
      <c r="U21" s="386">
        <f>IF(AND(COUNTBLANK('3B-Prestaties vloeren'!$F$3:$H$24)=0,COUNTBLANK('3B-Prestaties vloeren'!$L$3:$M$24)=0),IF(R21="Sprayen/conserveren",I21/VLOOKUP(E21,'3B-Prestaties vloeren'!$A$3:$M$24,13,FALSE),0),0)</f>
        <v>0</v>
      </c>
      <c r="V21" s="386">
        <f>IF(AND(COUNTBLANK('3B-Prestaties vloeren'!$F$3:$H$24)=0,COUNTBLANK('3B-Prestaties vloeren'!$L$3:$M$24)=0),IF(R21="schrobben",I21/VLOOKUP(E21,'3B-Prestaties vloeren'!$A$3:$H$24,6,FALSE),0)*P21,0)</f>
        <v>0</v>
      </c>
      <c r="W21" s="386">
        <f>IF(AND(COUNTBLANK('3B-Prestaties vloeren'!$F$3:$H$24)=0,COUNTBLANK('3B-Prestaties vloeren'!$L$3:$M$24)=0),IF(R21="sproei-extractie",I21/VLOOKUP(E21,'3B-Prestaties vloeren'!$A$3:$H$24,8,FALSE),0)*P21,0)</f>
        <v>0</v>
      </c>
    </row>
    <row r="22" spans="1:23" ht="15" hidden="1">
      <c r="A22" s="378" t="s">
        <v>649</v>
      </c>
      <c r="B22" s="378" t="s">
        <v>650</v>
      </c>
      <c r="C22" s="378">
        <v>0</v>
      </c>
      <c r="D22" s="378" t="s">
        <v>288</v>
      </c>
      <c r="E22" s="378" t="s">
        <v>334</v>
      </c>
      <c r="F22" s="378" t="s">
        <v>64</v>
      </c>
      <c r="G22" s="378" t="str">
        <f>VLOOKUP(F22,'3B-Prestaties vloeren'!$A$28:$B$118,2,0)</f>
        <v>Hard behandeld</v>
      </c>
      <c r="H22" s="378"/>
      <c r="I22" s="378">
        <v>21.5</v>
      </c>
      <c r="J22" s="420" t="s">
        <v>749</v>
      </c>
      <c r="K22" s="426">
        <v>52</v>
      </c>
      <c r="L22" s="378">
        <f t="shared" si="0"/>
        <v>1118</v>
      </c>
      <c r="M22" s="380" t="str">
        <f>IF(K22=0,0,IF(COUNTBLANK('3A-Prestatie'!$B$2:$I$22)=0,L22/VLOOKUP(E22,'3A-Prestatie'!$A$1:$M$22,VLOOKUP(K22,'3A-Prestatie'!$A$28:$B$34,2,FALSE),FALSE),"3A prestatie invullen"))</f>
        <v>3A prestatie invullen</v>
      </c>
      <c r="N22" s="380">
        <f t="shared" si="2"/>
        <v>0</v>
      </c>
      <c r="O22" s="381" t="str">
        <f>VLOOKUP(E22,'3A-Prestatie'!A:M,13,FALSE)</f>
        <v>V</v>
      </c>
      <c r="P22" s="382">
        <f>IF(R22="Niet van toepassing",0,VLOOKUP(E22,'3B-Prestaties vloeren'!$A$3:$D$24,IF(G22="Hard onbehandeld",2,IF(G22="Hard behandeld",3,4)),FALSE))</f>
        <v>12</v>
      </c>
      <c r="Q22" s="383">
        <f t="shared" si="1"/>
        <v>0</v>
      </c>
      <c r="R22" s="384" t="str">
        <f>IF(K22=0,"Niet van toepassing",IF(G22='3B-Prestaties vloeren'!$B$2,"Schrobben",IF(G22='3B-Prestaties vloeren'!$C$2,"Sprayen/conserveren",IF(G22='3B-Prestaties vloeren'!$D$2,"Sproei-extractie",0))))</f>
        <v>Sprayen/conserveren</v>
      </c>
      <c r="S22" s="385">
        <f>IF('2-Tarieven'!$B$28=0,0,IF(M22=0,0,'2-Tarieven'!$B$28*M22))</f>
        <v>0</v>
      </c>
      <c r="T22" s="386">
        <f>IF(AND(COUNTBLANK('3B-Prestaties vloeren'!$F$3:$H$24)=0,COUNTBLANK('3B-Prestaties vloeren'!$L$3:$M$24)=0),IF(R22="Sprayen/conserveren",I22/VLOOKUP(E22,'3B-Prestaties vloeren'!$A$3:$M$24,12,FALSE),0)*(P22-1),0)</f>
        <v>0</v>
      </c>
      <c r="U22" s="386">
        <f>IF(AND(COUNTBLANK('3B-Prestaties vloeren'!$F$3:$H$24)=0,COUNTBLANK('3B-Prestaties vloeren'!$L$3:$M$24)=0),IF(R22="Sprayen/conserveren",I22/VLOOKUP(E22,'3B-Prestaties vloeren'!$A$3:$M$24,13,FALSE),0),0)</f>
        <v>0</v>
      </c>
      <c r="V22" s="386">
        <f>IF(AND(COUNTBLANK('3B-Prestaties vloeren'!$F$3:$H$24)=0,COUNTBLANK('3B-Prestaties vloeren'!$L$3:$M$24)=0),IF(R22="schrobben",I22/VLOOKUP(E22,'3B-Prestaties vloeren'!$A$3:$H$24,6,FALSE),0)*P22,0)</f>
        <v>0</v>
      </c>
      <c r="W22" s="386">
        <f>IF(AND(COUNTBLANK('3B-Prestaties vloeren'!$F$3:$H$24)=0,COUNTBLANK('3B-Prestaties vloeren'!$L$3:$M$24)=0),IF(R22="sproei-extractie",I22/VLOOKUP(E22,'3B-Prestaties vloeren'!$A$3:$H$24,8,FALSE),0)*P22,0)</f>
        <v>0</v>
      </c>
    </row>
    <row r="23" spans="1:23" ht="15" hidden="1">
      <c r="A23" s="378" t="s">
        <v>649</v>
      </c>
      <c r="B23" s="378" t="s">
        <v>650</v>
      </c>
      <c r="C23" s="378">
        <v>0</v>
      </c>
      <c r="D23" s="378" t="s">
        <v>289</v>
      </c>
      <c r="E23" s="378" t="s">
        <v>653</v>
      </c>
      <c r="F23" s="378" t="s">
        <v>647</v>
      </c>
      <c r="G23" s="378" t="str">
        <f>VLOOKUP(F23,'3B-Prestaties vloeren'!$A$28:$B$118,2,0)</f>
        <v>Hard onbehandeld</v>
      </c>
      <c r="H23" s="378" t="s">
        <v>330</v>
      </c>
      <c r="I23" s="378">
        <v>1.25</v>
      </c>
      <c r="J23" s="421" t="s">
        <v>511</v>
      </c>
      <c r="K23" s="426">
        <v>255</v>
      </c>
      <c r="L23" s="378">
        <f t="shared" si="0"/>
        <v>318.75</v>
      </c>
      <c r="M23" s="380" t="str">
        <f>IF(K23=0,0,IF(COUNTBLANK('3A-Prestatie'!$B$2:$I$22)=0,L23/VLOOKUP(E23,'3A-Prestatie'!$A$1:$M$22,VLOOKUP(K23,'3A-Prestatie'!$A$28:$B$34,2,FALSE),FALSE),"3A prestatie invullen"))</f>
        <v>3A prestatie invullen</v>
      </c>
      <c r="N23" s="380">
        <f t="shared" si="2"/>
        <v>0</v>
      </c>
      <c r="O23" s="381" t="str">
        <f>VLOOKUP(E23,'3A-Prestatie'!A:M,13,FALSE)</f>
        <v>S</v>
      </c>
      <c r="P23" s="382">
        <f>IF(R23="Niet van toepassing",0,VLOOKUP(E23,'3B-Prestaties vloeren'!$A$3:$D$24,IF(G23="Hard onbehandeld",2,IF(G23="Hard behandeld",3,4)),FALSE))</f>
        <v>52</v>
      </c>
      <c r="Q23" s="383">
        <f t="shared" si="1"/>
        <v>0</v>
      </c>
      <c r="R23" s="384" t="str">
        <f>IF(K23=0,"Niet van toepassing",IF(G23='3B-Prestaties vloeren'!$B$2,"Schrobben",IF(G23='3B-Prestaties vloeren'!$C$2,"Sprayen/conserveren",IF(G23='3B-Prestaties vloeren'!$D$2,"Sproei-extractie",0))))</f>
        <v>Schrobben</v>
      </c>
      <c r="S23" s="385">
        <f>IF('2-Tarieven'!$B$28=0,0,IF(M23=0,0,'2-Tarieven'!$B$28*M23))</f>
        <v>0</v>
      </c>
      <c r="T23" s="386">
        <f>IF(AND(COUNTBLANK('3B-Prestaties vloeren'!$F$3:$H$24)=0,COUNTBLANK('3B-Prestaties vloeren'!$L$3:$M$24)=0),IF(R23="Sprayen/conserveren",I23/VLOOKUP(E23,'3B-Prestaties vloeren'!$A$3:$M$24,12,FALSE),0)*(P23-1),0)</f>
        <v>0</v>
      </c>
      <c r="U23" s="386">
        <f>IF(AND(COUNTBLANK('3B-Prestaties vloeren'!$F$3:$H$24)=0,COUNTBLANK('3B-Prestaties vloeren'!$L$3:$M$24)=0),IF(R23="Sprayen/conserveren",I23/VLOOKUP(E23,'3B-Prestaties vloeren'!$A$3:$M$24,13,FALSE),0),0)</f>
        <v>0</v>
      </c>
      <c r="V23" s="386">
        <f>IF(AND(COUNTBLANK('3B-Prestaties vloeren'!$F$3:$H$24)=0,COUNTBLANK('3B-Prestaties vloeren'!$L$3:$M$24)=0),IF(R23="schrobben",I23/VLOOKUP(E23,'3B-Prestaties vloeren'!$A$3:$H$24,6,FALSE),0)*P23,0)</f>
        <v>0</v>
      </c>
      <c r="W23" s="386">
        <f>IF(AND(COUNTBLANK('3B-Prestaties vloeren'!$F$3:$H$24)=0,COUNTBLANK('3B-Prestaties vloeren'!$L$3:$M$24)=0),IF(R23="sproei-extractie",I23/VLOOKUP(E23,'3B-Prestaties vloeren'!$A$3:$H$24,8,FALSE),0)*P23,0)</f>
        <v>0</v>
      </c>
    </row>
    <row r="24" spans="1:23" ht="15" hidden="1">
      <c r="A24" s="378" t="s">
        <v>649</v>
      </c>
      <c r="B24" s="378" t="s">
        <v>650</v>
      </c>
      <c r="C24" s="378">
        <v>0</v>
      </c>
      <c r="D24" s="378" t="s">
        <v>290</v>
      </c>
      <c r="E24" s="378" t="s">
        <v>5</v>
      </c>
      <c r="F24" s="378" t="s">
        <v>64</v>
      </c>
      <c r="G24" s="378" t="str">
        <f>VLOOKUP(F24,'3B-Prestaties vloeren'!$A$28:$B$118,2,0)</f>
        <v>Hard behandeld</v>
      </c>
      <c r="H24" s="378"/>
      <c r="I24" s="378">
        <v>15.8</v>
      </c>
      <c r="J24" s="420" t="s">
        <v>749</v>
      </c>
      <c r="K24" s="426">
        <v>52</v>
      </c>
      <c r="L24" s="378">
        <f t="shared" si="0"/>
        <v>821.6</v>
      </c>
      <c r="M24" s="380" t="str">
        <f>IF(K24=0,0,IF(COUNTBLANK('3A-Prestatie'!$B$2:$I$22)=0,L24/VLOOKUP(E24,'3A-Prestatie'!$A$1:$M$22,VLOOKUP(K24,'3A-Prestatie'!$A$28:$B$34,2,FALSE),FALSE),"3A prestatie invullen"))</f>
        <v>3A prestatie invullen</v>
      </c>
      <c r="N24" s="380">
        <f t="shared" si="2"/>
        <v>0</v>
      </c>
      <c r="O24" s="381" t="str">
        <f>VLOOKUP(E24,'3A-Prestatie'!A:M,13,FALSE)</f>
        <v>B</v>
      </c>
      <c r="P24" s="382">
        <f>IF(R24="Niet van toepassing",0,VLOOKUP(E24,'3B-Prestaties vloeren'!$A$3:$D$24,IF(G24="Hard onbehandeld",2,IF(G24="Hard behandeld",3,4)),FALSE))</f>
        <v>4</v>
      </c>
      <c r="Q24" s="383">
        <f t="shared" si="1"/>
        <v>0</v>
      </c>
      <c r="R24" s="384" t="str">
        <f>IF(K24=0,"Niet van toepassing",IF(G24='3B-Prestaties vloeren'!$B$2,"Schrobben",IF(G24='3B-Prestaties vloeren'!$C$2,"Sprayen/conserveren",IF(G24='3B-Prestaties vloeren'!$D$2,"Sproei-extractie",0))))</f>
        <v>Sprayen/conserveren</v>
      </c>
      <c r="S24" s="385">
        <f>IF('2-Tarieven'!$B$28=0,0,IF(M24=0,0,'2-Tarieven'!$B$28*M24))</f>
        <v>0</v>
      </c>
      <c r="T24" s="386">
        <f>IF(AND(COUNTBLANK('3B-Prestaties vloeren'!$F$3:$H$24)=0,COUNTBLANK('3B-Prestaties vloeren'!$L$3:$M$24)=0),IF(R24="Sprayen/conserveren",I24/VLOOKUP(E24,'3B-Prestaties vloeren'!$A$3:$M$24,12,FALSE),0)*(P24-1),0)</f>
        <v>0</v>
      </c>
      <c r="U24" s="386">
        <f>IF(AND(COUNTBLANK('3B-Prestaties vloeren'!$F$3:$H$24)=0,COUNTBLANK('3B-Prestaties vloeren'!$L$3:$M$24)=0),IF(R24="Sprayen/conserveren",I24/VLOOKUP(E24,'3B-Prestaties vloeren'!$A$3:$M$24,13,FALSE),0),0)</f>
        <v>0</v>
      </c>
      <c r="V24" s="386">
        <f>IF(AND(COUNTBLANK('3B-Prestaties vloeren'!$F$3:$H$24)=0,COUNTBLANK('3B-Prestaties vloeren'!$L$3:$M$24)=0),IF(R24="schrobben",I24/VLOOKUP(E24,'3B-Prestaties vloeren'!$A$3:$H$24,6,FALSE),0)*P24,0)</f>
        <v>0</v>
      </c>
      <c r="W24" s="386">
        <f>IF(AND(COUNTBLANK('3B-Prestaties vloeren'!$F$3:$H$24)=0,COUNTBLANK('3B-Prestaties vloeren'!$L$3:$M$24)=0),IF(R24="sproei-extractie",I24/VLOOKUP(E24,'3B-Prestaties vloeren'!$A$3:$H$24,8,FALSE),0)*P24,0)</f>
        <v>0</v>
      </c>
    </row>
    <row r="25" spans="1:23" ht="15" hidden="1">
      <c r="A25" s="378" t="s">
        <v>649</v>
      </c>
      <c r="B25" s="378" t="s">
        <v>650</v>
      </c>
      <c r="C25" s="378">
        <v>0</v>
      </c>
      <c r="D25" s="378" t="s">
        <v>291</v>
      </c>
      <c r="E25" s="378" t="s">
        <v>5</v>
      </c>
      <c r="F25" s="378" t="s">
        <v>64</v>
      </c>
      <c r="G25" s="378" t="str">
        <f>VLOOKUP(F25,'3B-Prestaties vloeren'!$A$28:$B$118,2,0)</f>
        <v>Hard behandeld</v>
      </c>
      <c r="H25" s="378"/>
      <c r="I25" s="378">
        <v>12.8</v>
      </c>
      <c r="J25" s="420" t="s">
        <v>749</v>
      </c>
      <c r="K25" s="426">
        <v>52</v>
      </c>
      <c r="L25" s="378">
        <f t="shared" si="0"/>
        <v>665.6</v>
      </c>
      <c r="M25" s="380" t="str">
        <f>IF(K25=0,0,IF(COUNTBLANK('3A-Prestatie'!$B$2:$I$22)=0,L25/VLOOKUP(E25,'3A-Prestatie'!$A$1:$M$22,VLOOKUP(K25,'3A-Prestatie'!$A$28:$B$34,2,FALSE),FALSE),"3A prestatie invullen"))</f>
        <v>3A prestatie invullen</v>
      </c>
      <c r="N25" s="380">
        <f t="shared" si="2"/>
        <v>0</v>
      </c>
      <c r="O25" s="381" t="str">
        <f>VLOOKUP(E25,'3A-Prestatie'!A:M,13,FALSE)</f>
        <v>B</v>
      </c>
      <c r="P25" s="382">
        <f>IF(R25="Niet van toepassing",0,VLOOKUP(E25,'3B-Prestaties vloeren'!$A$3:$D$24,IF(G25="Hard onbehandeld",2,IF(G25="Hard behandeld",3,4)),FALSE))</f>
        <v>4</v>
      </c>
      <c r="Q25" s="383">
        <f t="shared" si="1"/>
        <v>0</v>
      </c>
      <c r="R25" s="384" t="str">
        <f>IF(K25=0,"Niet van toepassing",IF(G25='3B-Prestaties vloeren'!$B$2,"Schrobben",IF(G25='3B-Prestaties vloeren'!$C$2,"Sprayen/conserveren",IF(G25='3B-Prestaties vloeren'!$D$2,"Sproei-extractie",0))))</f>
        <v>Sprayen/conserveren</v>
      </c>
      <c r="S25" s="385">
        <f>IF('2-Tarieven'!$B$28=0,0,IF(M25=0,0,'2-Tarieven'!$B$28*M25))</f>
        <v>0</v>
      </c>
      <c r="T25" s="386">
        <f>IF(AND(COUNTBLANK('3B-Prestaties vloeren'!$F$3:$H$24)=0,COUNTBLANK('3B-Prestaties vloeren'!$L$3:$M$24)=0),IF(R25="Sprayen/conserveren",I25/VLOOKUP(E25,'3B-Prestaties vloeren'!$A$3:$M$24,12,FALSE),0)*(P25-1),0)</f>
        <v>0</v>
      </c>
      <c r="U25" s="386">
        <f>IF(AND(COUNTBLANK('3B-Prestaties vloeren'!$F$3:$H$24)=0,COUNTBLANK('3B-Prestaties vloeren'!$L$3:$M$24)=0),IF(R25="Sprayen/conserveren",I25/VLOOKUP(E25,'3B-Prestaties vloeren'!$A$3:$M$24,13,FALSE),0),0)</f>
        <v>0</v>
      </c>
      <c r="V25" s="386">
        <f>IF(AND(COUNTBLANK('3B-Prestaties vloeren'!$F$3:$H$24)=0,COUNTBLANK('3B-Prestaties vloeren'!$L$3:$M$24)=0),IF(R25="schrobben",I25/VLOOKUP(E25,'3B-Prestaties vloeren'!$A$3:$H$24,6,FALSE),0)*P25,0)</f>
        <v>0</v>
      </c>
      <c r="W25" s="386">
        <f>IF(AND(COUNTBLANK('3B-Prestaties vloeren'!$F$3:$H$24)=0,COUNTBLANK('3B-Prestaties vloeren'!$L$3:$M$24)=0),IF(R25="sproei-extractie",I25/VLOOKUP(E25,'3B-Prestaties vloeren'!$A$3:$H$24,8,FALSE),0)*P25,0)</f>
        <v>0</v>
      </c>
    </row>
    <row r="26" spans="1:23" ht="15" hidden="1">
      <c r="A26" s="378" t="s">
        <v>649</v>
      </c>
      <c r="B26" s="378" t="s">
        <v>650</v>
      </c>
      <c r="C26" s="378">
        <v>0</v>
      </c>
      <c r="D26" s="378" t="s">
        <v>292</v>
      </c>
      <c r="E26" s="378" t="s">
        <v>728</v>
      </c>
      <c r="F26" s="378" t="s">
        <v>648</v>
      </c>
      <c r="G26" s="378" t="str">
        <f>VLOOKUP(F26,'3B-Prestaties vloeren'!$A$28:$B$118,2,0)</f>
        <v>Hard onbehandeld</v>
      </c>
      <c r="H26" s="378" t="s">
        <v>467</v>
      </c>
      <c r="I26" s="378">
        <v>175</v>
      </c>
      <c r="J26" s="419"/>
      <c r="K26" s="426">
        <v>0</v>
      </c>
      <c r="L26" s="378">
        <f t="shared" si="0"/>
        <v>0</v>
      </c>
      <c r="M26" s="380">
        <f>IF(K26=0,0,IF(COUNTBLANK('3A-Prestatie'!$B$2:$I$22)=0,L26/VLOOKUP(E26,'3A-Prestatie'!$A$1:$M$22,VLOOKUP(K26,'3A-Prestatie'!$A$28:$B$34,2,FALSE),FALSE),"3A prestatie invullen"))</f>
        <v>0</v>
      </c>
      <c r="N26" s="380">
        <f t="shared" si="2"/>
        <v>0</v>
      </c>
      <c r="O26" s="381" t="str">
        <f>VLOOKUP(E26,'3A-Prestatie'!A:M,13,FALSE)</f>
        <v>N.v.t.</v>
      </c>
      <c r="P26" s="382">
        <f>IF(R26="Niet van toepassing",0,VLOOKUP(E26,'3B-Prestaties vloeren'!$A$3:$D$24,IF(G26="Hard onbehandeld",2,IF(G26="Hard behandeld",3,4)),FALSE))</f>
        <v>0</v>
      </c>
      <c r="Q26" s="383">
        <f t="shared" si="1"/>
        <v>0</v>
      </c>
      <c r="R26" s="384" t="str">
        <f>IF(K26=0,"Niet van toepassing",IF(G26='3B-Prestaties vloeren'!$B$2,"Schrobben",IF(G26='3B-Prestaties vloeren'!$C$2,"Sprayen/conserveren",IF(G26='3B-Prestaties vloeren'!$D$2,"Sproei-extractie",0))))</f>
        <v>Niet van toepassing</v>
      </c>
      <c r="S26" s="385">
        <f>IF('2-Tarieven'!$B$28=0,0,IF(M26=0,0,'2-Tarieven'!$B$28*M26))</f>
        <v>0</v>
      </c>
      <c r="T26" s="386">
        <f>IF(AND(COUNTBLANK('3B-Prestaties vloeren'!$F$3:$H$24)=0,COUNTBLANK('3B-Prestaties vloeren'!$L$3:$M$24)=0),IF(R26="Sprayen/conserveren",I26/VLOOKUP(E26,'3B-Prestaties vloeren'!$A$3:$M$24,12,FALSE),0)*(P26-1),0)</f>
        <v>0</v>
      </c>
      <c r="U26" s="386">
        <f>IF(AND(COUNTBLANK('3B-Prestaties vloeren'!$F$3:$H$24)=0,COUNTBLANK('3B-Prestaties vloeren'!$L$3:$M$24)=0),IF(R26="Sprayen/conserveren",I26/VLOOKUP(E26,'3B-Prestaties vloeren'!$A$3:$M$24,13,FALSE),0),0)</f>
        <v>0</v>
      </c>
      <c r="V26" s="386">
        <f>IF(AND(COUNTBLANK('3B-Prestaties vloeren'!$F$3:$H$24)=0,COUNTBLANK('3B-Prestaties vloeren'!$L$3:$M$24)=0),IF(R26="schrobben",I26/VLOOKUP(E26,'3B-Prestaties vloeren'!$A$3:$H$24,6,FALSE),0)*P26,0)</f>
        <v>0</v>
      </c>
      <c r="W26" s="386">
        <f>IF(AND(COUNTBLANK('3B-Prestaties vloeren'!$F$3:$H$24)=0,COUNTBLANK('3B-Prestaties vloeren'!$L$3:$M$24)=0),IF(R26="sproei-extractie",I26/VLOOKUP(E26,'3B-Prestaties vloeren'!$A$3:$H$24,8,FALSE),0)*P26,0)</f>
        <v>0</v>
      </c>
    </row>
    <row r="27" spans="1:23" ht="15" hidden="1">
      <c r="A27" s="378" t="s">
        <v>649</v>
      </c>
      <c r="B27" s="378" t="s">
        <v>650</v>
      </c>
      <c r="C27" s="378">
        <v>0</v>
      </c>
      <c r="D27" s="378" t="s">
        <v>293</v>
      </c>
      <c r="E27" s="378" t="s">
        <v>728</v>
      </c>
      <c r="F27" s="378" t="s">
        <v>647</v>
      </c>
      <c r="G27" s="378" t="str">
        <f>VLOOKUP(F27,'3B-Prestaties vloeren'!$A$28:$B$118,2,0)</f>
        <v>Hard onbehandeld</v>
      </c>
      <c r="H27" s="378" t="s">
        <v>729</v>
      </c>
      <c r="I27" s="378">
        <v>13.4</v>
      </c>
      <c r="J27" s="419"/>
      <c r="K27" s="426">
        <v>0</v>
      </c>
      <c r="L27" s="378">
        <f t="shared" si="0"/>
        <v>0</v>
      </c>
      <c r="M27" s="380">
        <f>IF(K27=0,0,IF(COUNTBLANK('3A-Prestatie'!$B$2:$I$22)=0,L27/VLOOKUP(E27,'3A-Prestatie'!$A$1:$M$22,VLOOKUP(K27,'3A-Prestatie'!$A$28:$B$34,2,FALSE),FALSE),"3A prestatie invullen"))</f>
        <v>0</v>
      </c>
      <c r="N27" s="380">
        <f t="shared" si="2"/>
        <v>0</v>
      </c>
      <c r="O27" s="381" t="str">
        <f>VLOOKUP(E27,'3A-Prestatie'!A:M,13,FALSE)</f>
        <v>N.v.t.</v>
      </c>
      <c r="P27" s="382">
        <f>IF(R27="Niet van toepassing",0,VLOOKUP(E27,'3B-Prestaties vloeren'!$A$3:$D$24,IF(G27="Hard onbehandeld",2,IF(G27="Hard behandeld",3,4)),FALSE))</f>
        <v>0</v>
      </c>
      <c r="Q27" s="383">
        <f t="shared" si="1"/>
        <v>0</v>
      </c>
      <c r="R27" s="384" t="str">
        <f>IF(K27=0,"Niet van toepassing",IF(G27='3B-Prestaties vloeren'!$B$2,"Schrobben",IF(G27='3B-Prestaties vloeren'!$C$2,"Sprayen/conserveren",IF(G27='3B-Prestaties vloeren'!$D$2,"Sproei-extractie",0))))</f>
        <v>Niet van toepassing</v>
      </c>
      <c r="S27" s="385">
        <f>IF('2-Tarieven'!$B$28=0,0,IF(M27=0,0,'2-Tarieven'!$B$28*M27))</f>
        <v>0</v>
      </c>
      <c r="T27" s="386">
        <f>IF(AND(COUNTBLANK('3B-Prestaties vloeren'!$F$3:$H$24)=0,COUNTBLANK('3B-Prestaties vloeren'!$L$3:$M$24)=0),IF(R27="Sprayen/conserveren",I27/VLOOKUP(E27,'3B-Prestaties vloeren'!$A$3:$M$24,12,FALSE),0)*(P27-1),0)</f>
        <v>0</v>
      </c>
      <c r="U27" s="386">
        <f>IF(AND(COUNTBLANK('3B-Prestaties vloeren'!$F$3:$H$24)=0,COUNTBLANK('3B-Prestaties vloeren'!$L$3:$M$24)=0),IF(R27="Sprayen/conserveren",I27/VLOOKUP(E27,'3B-Prestaties vloeren'!$A$3:$M$24,13,FALSE),0),0)</f>
        <v>0</v>
      </c>
      <c r="V27" s="386">
        <f>IF(AND(COUNTBLANK('3B-Prestaties vloeren'!$F$3:$H$24)=0,COUNTBLANK('3B-Prestaties vloeren'!$L$3:$M$24)=0),IF(R27="schrobben",I27/VLOOKUP(E27,'3B-Prestaties vloeren'!$A$3:$H$24,6,FALSE),0)*P27,0)</f>
        <v>0</v>
      </c>
      <c r="W27" s="386">
        <f>IF(AND(COUNTBLANK('3B-Prestaties vloeren'!$F$3:$H$24)=0,COUNTBLANK('3B-Prestaties vloeren'!$L$3:$M$24)=0),IF(R27="sproei-extractie",I27/VLOOKUP(E27,'3B-Prestaties vloeren'!$A$3:$H$24,8,FALSE),0)*P27,0)</f>
        <v>0</v>
      </c>
    </row>
    <row r="28" spans="1:23" ht="15" hidden="1">
      <c r="A28" s="378" t="s">
        <v>649</v>
      </c>
      <c r="B28" s="378" t="s">
        <v>650</v>
      </c>
      <c r="C28" s="378">
        <v>0</v>
      </c>
      <c r="D28" s="378" t="s">
        <v>294</v>
      </c>
      <c r="E28" s="378" t="s">
        <v>728</v>
      </c>
      <c r="F28" s="378" t="s">
        <v>648</v>
      </c>
      <c r="G28" s="378" t="str">
        <f>VLOOKUP(F28,'3B-Prestaties vloeren'!$A$28:$B$118,2,0)</f>
        <v>Hard onbehandeld</v>
      </c>
      <c r="H28" s="378" t="s">
        <v>467</v>
      </c>
      <c r="I28" s="378">
        <v>46.2</v>
      </c>
      <c r="J28" s="419"/>
      <c r="K28" s="426">
        <v>0</v>
      </c>
      <c r="L28" s="378">
        <f t="shared" si="0"/>
        <v>0</v>
      </c>
      <c r="M28" s="380">
        <f>IF(K28=0,0,IF(COUNTBLANK('3A-Prestatie'!$B$2:$I$22)=0,L28/VLOOKUP(E28,'3A-Prestatie'!$A$1:$M$22,VLOOKUP(K28,'3A-Prestatie'!$A$28:$B$34,2,FALSE),FALSE),"3A prestatie invullen"))</f>
        <v>0</v>
      </c>
      <c r="N28" s="380">
        <f t="shared" si="2"/>
        <v>0</v>
      </c>
      <c r="O28" s="381" t="str">
        <f>VLOOKUP(E28,'3A-Prestatie'!A:M,13,FALSE)</f>
        <v>N.v.t.</v>
      </c>
      <c r="P28" s="382">
        <f>IF(R28="Niet van toepassing",0,VLOOKUP(E28,'3B-Prestaties vloeren'!$A$3:$D$24,IF(G28="Hard onbehandeld",2,IF(G28="Hard behandeld",3,4)),FALSE))</f>
        <v>0</v>
      </c>
      <c r="Q28" s="383">
        <f t="shared" si="1"/>
        <v>0</v>
      </c>
      <c r="R28" s="384" t="str">
        <f>IF(K28=0,"Niet van toepassing",IF(G28='3B-Prestaties vloeren'!$B$2,"Schrobben",IF(G28='3B-Prestaties vloeren'!$C$2,"Sprayen/conserveren",IF(G28='3B-Prestaties vloeren'!$D$2,"Sproei-extractie",0))))</f>
        <v>Niet van toepassing</v>
      </c>
      <c r="S28" s="385">
        <f>IF('2-Tarieven'!$B$28=0,0,IF(M28=0,0,'2-Tarieven'!$B$28*M28))</f>
        <v>0</v>
      </c>
      <c r="T28" s="386">
        <f>IF(AND(COUNTBLANK('3B-Prestaties vloeren'!$F$3:$H$24)=0,COUNTBLANK('3B-Prestaties vloeren'!$L$3:$M$24)=0),IF(R28="Sprayen/conserveren",I28/VLOOKUP(E28,'3B-Prestaties vloeren'!$A$3:$M$24,12,FALSE),0)*(P28-1),0)</f>
        <v>0</v>
      </c>
      <c r="U28" s="386">
        <f>IF(AND(COUNTBLANK('3B-Prestaties vloeren'!$F$3:$H$24)=0,COUNTBLANK('3B-Prestaties vloeren'!$L$3:$M$24)=0),IF(R28="Sprayen/conserveren",I28/VLOOKUP(E28,'3B-Prestaties vloeren'!$A$3:$M$24,13,FALSE),0),0)</f>
        <v>0</v>
      </c>
      <c r="V28" s="386">
        <f>IF(AND(COUNTBLANK('3B-Prestaties vloeren'!$F$3:$H$24)=0,COUNTBLANK('3B-Prestaties vloeren'!$L$3:$M$24)=0),IF(R28="schrobben",I28/VLOOKUP(E28,'3B-Prestaties vloeren'!$A$3:$H$24,6,FALSE),0)*P28,0)</f>
        <v>0</v>
      </c>
      <c r="W28" s="386">
        <f>IF(AND(COUNTBLANK('3B-Prestaties vloeren'!$F$3:$H$24)=0,COUNTBLANK('3B-Prestaties vloeren'!$L$3:$M$24)=0),IF(R28="sproei-extractie",I28/VLOOKUP(E28,'3B-Prestaties vloeren'!$A$3:$H$24,8,FALSE),0)*P28,0)</f>
        <v>0</v>
      </c>
    </row>
    <row r="29" spans="1:23" ht="15" hidden="1">
      <c r="A29" s="378" t="s">
        <v>649</v>
      </c>
      <c r="B29" s="378" t="s">
        <v>650</v>
      </c>
      <c r="C29" s="378">
        <v>0</v>
      </c>
      <c r="D29" s="378" t="s">
        <v>295</v>
      </c>
      <c r="E29" s="378" t="s">
        <v>728</v>
      </c>
      <c r="F29" s="378" t="s">
        <v>64</v>
      </c>
      <c r="G29" s="378" t="str">
        <f>VLOOKUP(F29,'3B-Prestaties vloeren'!$A$28:$B$118,2,0)</f>
        <v>Hard behandeld</v>
      </c>
      <c r="H29" s="378" t="s">
        <v>283</v>
      </c>
      <c r="I29" s="378">
        <v>8.5</v>
      </c>
      <c r="J29" s="419"/>
      <c r="K29" s="426">
        <v>0</v>
      </c>
      <c r="L29" s="378">
        <f t="shared" si="0"/>
        <v>0</v>
      </c>
      <c r="M29" s="380">
        <f>IF(K29=0,0,IF(COUNTBLANK('3A-Prestatie'!$B$2:$I$22)=0,L29/VLOOKUP(E29,'3A-Prestatie'!$A$1:$M$22,VLOOKUP(K29,'3A-Prestatie'!$A$28:$B$34,2,FALSE),FALSE),"3A prestatie invullen"))</f>
        <v>0</v>
      </c>
      <c r="N29" s="380">
        <f t="shared" si="2"/>
        <v>0</v>
      </c>
      <c r="O29" s="381" t="str">
        <f>VLOOKUP(E29,'3A-Prestatie'!A:M,13,FALSE)</f>
        <v>N.v.t.</v>
      </c>
      <c r="P29" s="382">
        <f>IF(R29="Niet van toepassing",0,VLOOKUP(E29,'3B-Prestaties vloeren'!$A$3:$D$24,IF(G29="Hard onbehandeld",2,IF(G29="Hard behandeld",3,4)),FALSE))</f>
        <v>0</v>
      </c>
      <c r="Q29" s="383">
        <f t="shared" si="1"/>
        <v>0</v>
      </c>
      <c r="R29" s="384" t="str">
        <f>IF(K29=0,"Niet van toepassing",IF(G29='3B-Prestaties vloeren'!$B$2,"Schrobben",IF(G29='3B-Prestaties vloeren'!$C$2,"Sprayen/conserveren",IF(G29='3B-Prestaties vloeren'!$D$2,"Sproei-extractie",0))))</f>
        <v>Niet van toepassing</v>
      </c>
      <c r="S29" s="385">
        <f>IF('2-Tarieven'!$B$28=0,0,IF(M29=0,0,'2-Tarieven'!$B$28*M29))</f>
        <v>0</v>
      </c>
      <c r="T29" s="386">
        <f>IF(AND(COUNTBLANK('3B-Prestaties vloeren'!$F$3:$H$24)=0,COUNTBLANK('3B-Prestaties vloeren'!$L$3:$M$24)=0),IF(R29="Sprayen/conserveren",I29/VLOOKUP(E29,'3B-Prestaties vloeren'!$A$3:$M$24,12,FALSE),0)*(P29-1),0)</f>
        <v>0</v>
      </c>
      <c r="U29" s="386">
        <f>IF(AND(COUNTBLANK('3B-Prestaties vloeren'!$F$3:$H$24)=0,COUNTBLANK('3B-Prestaties vloeren'!$L$3:$M$24)=0),IF(R29="Sprayen/conserveren",I29/VLOOKUP(E29,'3B-Prestaties vloeren'!$A$3:$M$24,13,FALSE),0),0)</f>
        <v>0</v>
      </c>
      <c r="V29" s="386">
        <f>IF(AND(COUNTBLANK('3B-Prestaties vloeren'!$F$3:$H$24)=0,COUNTBLANK('3B-Prestaties vloeren'!$L$3:$M$24)=0),IF(R29="schrobben",I29/VLOOKUP(E29,'3B-Prestaties vloeren'!$A$3:$H$24,6,FALSE),0)*P29,0)</f>
        <v>0</v>
      </c>
      <c r="W29" s="386">
        <f>IF(AND(COUNTBLANK('3B-Prestaties vloeren'!$F$3:$H$24)=0,COUNTBLANK('3B-Prestaties vloeren'!$L$3:$M$24)=0),IF(R29="sproei-extractie",I29/VLOOKUP(E29,'3B-Prestaties vloeren'!$A$3:$H$24,8,FALSE),0)*P29,0)</f>
        <v>0</v>
      </c>
    </row>
    <row r="30" spans="1:23" ht="15" hidden="1">
      <c r="A30" s="378" t="s">
        <v>649</v>
      </c>
      <c r="B30" s="378" t="s">
        <v>650</v>
      </c>
      <c r="C30" s="378">
        <v>0</v>
      </c>
      <c r="D30" s="378" t="s">
        <v>296</v>
      </c>
      <c r="E30" s="378" t="s">
        <v>728</v>
      </c>
      <c r="F30" s="378" t="s">
        <v>648</v>
      </c>
      <c r="G30" s="378" t="str">
        <f>VLOOKUP(F30,'3B-Prestaties vloeren'!$A$28:$B$118,2,0)</f>
        <v>Hard onbehandeld</v>
      </c>
      <c r="H30" s="378" t="s">
        <v>467</v>
      </c>
      <c r="I30" s="378">
        <v>13.5</v>
      </c>
      <c r="J30" s="419"/>
      <c r="K30" s="426">
        <v>0</v>
      </c>
      <c r="L30" s="378">
        <f t="shared" si="0"/>
        <v>0</v>
      </c>
      <c r="M30" s="380">
        <f>IF(K30=0,0,IF(COUNTBLANK('3A-Prestatie'!$B$2:$I$22)=0,L30/VLOOKUP(E30,'3A-Prestatie'!$A$1:$M$22,VLOOKUP(K30,'3A-Prestatie'!$A$28:$B$34,2,FALSE),FALSE),"3A prestatie invullen"))</f>
        <v>0</v>
      </c>
      <c r="N30" s="380">
        <f t="shared" si="2"/>
        <v>0</v>
      </c>
      <c r="O30" s="381" t="str">
        <f>VLOOKUP(E30,'3A-Prestatie'!A:M,13,FALSE)</f>
        <v>N.v.t.</v>
      </c>
      <c r="P30" s="382">
        <f>IF(R30="Niet van toepassing",0,VLOOKUP(E30,'3B-Prestaties vloeren'!$A$3:$D$24,IF(G30="Hard onbehandeld",2,IF(G30="Hard behandeld",3,4)),FALSE))</f>
        <v>0</v>
      </c>
      <c r="Q30" s="383">
        <f t="shared" si="1"/>
        <v>0</v>
      </c>
      <c r="R30" s="384" t="str">
        <f>IF(K30=0,"Niet van toepassing",IF(G30='3B-Prestaties vloeren'!$B$2,"Schrobben",IF(G30='3B-Prestaties vloeren'!$C$2,"Sprayen/conserveren",IF(G30='3B-Prestaties vloeren'!$D$2,"Sproei-extractie",0))))</f>
        <v>Niet van toepassing</v>
      </c>
      <c r="S30" s="385">
        <f>IF('2-Tarieven'!$B$28=0,0,IF(M30=0,0,'2-Tarieven'!$B$28*M30))</f>
        <v>0</v>
      </c>
      <c r="T30" s="386">
        <f>IF(AND(COUNTBLANK('3B-Prestaties vloeren'!$F$3:$H$24)=0,COUNTBLANK('3B-Prestaties vloeren'!$L$3:$M$24)=0),IF(R30="Sprayen/conserveren",I30/VLOOKUP(E30,'3B-Prestaties vloeren'!$A$3:$M$24,12,FALSE),0)*(P30-1),0)</f>
        <v>0</v>
      </c>
      <c r="U30" s="386">
        <f>IF(AND(COUNTBLANK('3B-Prestaties vloeren'!$F$3:$H$24)=0,COUNTBLANK('3B-Prestaties vloeren'!$L$3:$M$24)=0),IF(R30="Sprayen/conserveren",I30/VLOOKUP(E30,'3B-Prestaties vloeren'!$A$3:$M$24,13,FALSE),0),0)</f>
        <v>0</v>
      </c>
      <c r="V30" s="386">
        <f>IF(AND(COUNTBLANK('3B-Prestaties vloeren'!$F$3:$H$24)=0,COUNTBLANK('3B-Prestaties vloeren'!$L$3:$M$24)=0),IF(R30="schrobben",I30/VLOOKUP(E30,'3B-Prestaties vloeren'!$A$3:$H$24,6,FALSE),0)*P30,0)</f>
        <v>0</v>
      </c>
      <c r="W30" s="386">
        <f>IF(AND(COUNTBLANK('3B-Prestaties vloeren'!$F$3:$H$24)=0,COUNTBLANK('3B-Prestaties vloeren'!$L$3:$M$24)=0),IF(R30="sproei-extractie",I30/VLOOKUP(E30,'3B-Prestaties vloeren'!$A$3:$H$24,8,FALSE),0)*P30,0)</f>
        <v>0</v>
      </c>
    </row>
    <row r="31" spans="1:23" ht="15" hidden="1">
      <c r="A31" s="378" t="s">
        <v>649</v>
      </c>
      <c r="B31" s="378" t="s">
        <v>650</v>
      </c>
      <c r="C31" s="378">
        <v>0</v>
      </c>
      <c r="D31" s="378" t="s">
        <v>297</v>
      </c>
      <c r="E31" s="378" t="s">
        <v>6</v>
      </c>
      <c r="F31" s="378" t="s">
        <v>648</v>
      </c>
      <c r="G31" s="378" t="str">
        <f>VLOOKUP(F31,'3B-Prestaties vloeren'!$A$28:$B$118,2,0)</f>
        <v>Hard onbehandeld</v>
      </c>
      <c r="H31" s="378"/>
      <c r="I31" s="378">
        <v>32</v>
      </c>
      <c r="J31" s="419"/>
      <c r="K31" s="426">
        <v>0</v>
      </c>
      <c r="L31" s="378">
        <f t="shared" si="0"/>
        <v>0</v>
      </c>
      <c r="M31" s="380">
        <f>IF(K31=0,0,IF(COUNTBLANK('3A-Prestatie'!$B$2:$I$22)=0,L31/VLOOKUP(E31,'3A-Prestatie'!$A$1:$M$22,VLOOKUP(K31,'3A-Prestatie'!$A$28:$B$34,2,FALSE),FALSE),"3A prestatie invullen"))</f>
        <v>0</v>
      </c>
      <c r="N31" s="380">
        <f t="shared" si="2"/>
        <v>0</v>
      </c>
      <c r="O31" s="381" t="str">
        <f>VLOOKUP(E31,'3A-Prestatie'!A:M,13,FALSE)</f>
        <v>V</v>
      </c>
      <c r="P31" s="382">
        <f>IF(R31="Niet van toepassing",0,VLOOKUP(E31,'3B-Prestaties vloeren'!$A$3:$D$24,IF(G31="Hard onbehandeld",2,IF(G31="Hard behandeld",3,4)),FALSE))</f>
        <v>0</v>
      </c>
      <c r="Q31" s="383">
        <f t="shared" si="1"/>
        <v>0</v>
      </c>
      <c r="R31" s="384" t="str">
        <f>IF(K31=0,"Niet van toepassing",IF(G31='3B-Prestaties vloeren'!$B$2,"Schrobben",IF(G31='3B-Prestaties vloeren'!$C$2,"Sprayen/conserveren",IF(G31='3B-Prestaties vloeren'!$D$2,"Sproei-extractie",0))))</f>
        <v>Niet van toepassing</v>
      </c>
      <c r="S31" s="385">
        <f>IF('2-Tarieven'!$B$28=0,0,IF(M31=0,0,'2-Tarieven'!$B$28*M31))</f>
        <v>0</v>
      </c>
      <c r="T31" s="386">
        <f>IF(AND(COUNTBLANK('3B-Prestaties vloeren'!$F$3:$H$24)=0,COUNTBLANK('3B-Prestaties vloeren'!$L$3:$M$24)=0),IF(R31="Sprayen/conserveren",I31/VLOOKUP(E31,'3B-Prestaties vloeren'!$A$3:$M$24,12,FALSE),0)*(P31-1),0)</f>
        <v>0</v>
      </c>
      <c r="U31" s="386">
        <f>IF(AND(COUNTBLANK('3B-Prestaties vloeren'!$F$3:$H$24)=0,COUNTBLANK('3B-Prestaties vloeren'!$L$3:$M$24)=0),IF(R31="Sprayen/conserveren",I31/VLOOKUP(E31,'3B-Prestaties vloeren'!$A$3:$M$24,13,FALSE),0),0)</f>
        <v>0</v>
      </c>
      <c r="V31" s="386">
        <f>IF(AND(COUNTBLANK('3B-Prestaties vloeren'!$F$3:$H$24)=0,COUNTBLANK('3B-Prestaties vloeren'!$L$3:$M$24)=0),IF(R31="schrobben",I31/VLOOKUP(E31,'3B-Prestaties vloeren'!$A$3:$H$24,6,FALSE),0)*P31,0)</f>
        <v>0</v>
      </c>
      <c r="W31" s="386">
        <f>IF(AND(COUNTBLANK('3B-Prestaties vloeren'!$F$3:$H$24)=0,COUNTBLANK('3B-Prestaties vloeren'!$L$3:$M$24)=0),IF(R31="sproei-extractie",I31/VLOOKUP(E31,'3B-Prestaties vloeren'!$A$3:$H$24,8,FALSE),0)*P31,0)</f>
        <v>0</v>
      </c>
    </row>
    <row r="32" spans="1:23" ht="15" hidden="1">
      <c r="A32" s="378" t="s">
        <v>649</v>
      </c>
      <c r="B32" s="378" t="s">
        <v>650</v>
      </c>
      <c r="C32" s="378">
        <v>0</v>
      </c>
      <c r="D32" s="378" t="s">
        <v>0</v>
      </c>
      <c r="E32" s="378" t="s">
        <v>728</v>
      </c>
      <c r="F32" s="378" t="s">
        <v>648</v>
      </c>
      <c r="G32" s="378" t="str">
        <f>VLOOKUP(F32,'3B-Prestaties vloeren'!$A$28:$B$118,2,0)</f>
        <v>Hard onbehandeld</v>
      </c>
      <c r="H32" s="378" t="s">
        <v>467</v>
      </c>
      <c r="I32" s="378">
        <v>208</v>
      </c>
      <c r="J32" s="419"/>
      <c r="K32" s="426">
        <v>0</v>
      </c>
      <c r="L32" s="378">
        <f t="shared" si="0"/>
        <v>0</v>
      </c>
      <c r="M32" s="380">
        <f>IF(K32=0,0,IF(COUNTBLANK('3A-Prestatie'!$B$2:$I$22)=0,L32/VLOOKUP(E32,'3A-Prestatie'!$A$1:$M$22,VLOOKUP(K32,'3A-Prestatie'!$A$28:$B$34,2,FALSE),FALSE),"3A prestatie invullen"))</f>
        <v>0</v>
      </c>
      <c r="N32" s="380">
        <f t="shared" si="2"/>
        <v>0</v>
      </c>
      <c r="O32" s="381" t="str">
        <f>VLOOKUP(E32,'3A-Prestatie'!A:M,13,FALSE)</f>
        <v>N.v.t.</v>
      </c>
      <c r="P32" s="382">
        <f>IF(R32="Niet van toepassing",0,VLOOKUP(E32,'3B-Prestaties vloeren'!$A$3:$D$24,IF(G32="Hard onbehandeld",2,IF(G32="Hard behandeld",3,4)),FALSE))</f>
        <v>0</v>
      </c>
      <c r="Q32" s="383">
        <f t="shared" si="1"/>
        <v>0</v>
      </c>
      <c r="R32" s="384" t="str">
        <f>IF(K32=0,"Niet van toepassing",IF(G32='3B-Prestaties vloeren'!$B$2,"Schrobben",IF(G32='3B-Prestaties vloeren'!$C$2,"Sprayen/conserveren",IF(G32='3B-Prestaties vloeren'!$D$2,"Sproei-extractie",0))))</f>
        <v>Niet van toepassing</v>
      </c>
      <c r="S32" s="385">
        <f>IF('2-Tarieven'!$B$28=0,0,IF(M32=0,0,'2-Tarieven'!$B$28*M32))</f>
        <v>0</v>
      </c>
      <c r="T32" s="386">
        <f>IF(AND(COUNTBLANK('3B-Prestaties vloeren'!$F$3:$H$24)=0,COUNTBLANK('3B-Prestaties vloeren'!$L$3:$M$24)=0),IF(R32="Sprayen/conserveren",I32/VLOOKUP(E32,'3B-Prestaties vloeren'!$A$3:$M$24,12,FALSE),0)*(P32-1),0)</f>
        <v>0</v>
      </c>
      <c r="U32" s="386">
        <f>IF(AND(COUNTBLANK('3B-Prestaties vloeren'!$F$3:$H$24)=0,COUNTBLANK('3B-Prestaties vloeren'!$L$3:$M$24)=0),IF(R32="Sprayen/conserveren",I32/VLOOKUP(E32,'3B-Prestaties vloeren'!$A$3:$M$24,13,FALSE),0),0)</f>
        <v>0</v>
      </c>
      <c r="V32" s="386">
        <f>IF(AND(COUNTBLANK('3B-Prestaties vloeren'!$F$3:$H$24)=0,COUNTBLANK('3B-Prestaties vloeren'!$L$3:$M$24)=0),IF(R32="schrobben",I32/VLOOKUP(E32,'3B-Prestaties vloeren'!$A$3:$H$24,6,FALSE),0)*P32,0)</f>
        <v>0</v>
      </c>
      <c r="W32" s="386">
        <f>IF(AND(COUNTBLANK('3B-Prestaties vloeren'!$F$3:$H$24)=0,COUNTBLANK('3B-Prestaties vloeren'!$L$3:$M$24)=0),IF(R32="sproei-extractie",I32/VLOOKUP(E32,'3B-Prestaties vloeren'!$A$3:$H$24,8,FALSE),0)*P32,0)</f>
        <v>0</v>
      </c>
    </row>
    <row r="33" spans="1:23" ht="15" hidden="1">
      <c r="A33" s="378" t="s">
        <v>649</v>
      </c>
      <c r="B33" s="378" t="s">
        <v>650</v>
      </c>
      <c r="C33" s="378">
        <v>0</v>
      </c>
      <c r="D33" s="378" t="s">
        <v>298</v>
      </c>
      <c r="E33" s="378" t="s">
        <v>5</v>
      </c>
      <c r="F33" s="378" t="s">
        <v>64</v>
      </c>
      <c r="G33" s="378" t="str">
        <f>VLOOKUP(F33,'3B-Prestaties vloeren'!$A$28:$B$118,2,0)</f>
        <v>Hard behandeld</v>
      </c>
      <c r="H33" s="378"/>
      <c r="I33" s="378">
        <v>13</v>
      </c>
      <c r="J33" s="420" t="s">
        <v>749</v>
      </c>
      <c r="K33" s="426">
        <v>52</v>
      </c>
      <c r="L33" s="378">
        <f t="shared" si="0"/>
        <v>676</v>
      </c>
      <c r="M33" s="380" t="str">
        <f>IF(K33=0,0,IF(COUNTBLANK('3A-Prestatie'!$B$2:$I$22)=0,L33/VLOOKUP(E33,'3A-Prestatie'!$A$1:$M$22,VLOOKUP(K33,'3A-Prestatie'!$A$28:$B$34,2,FALSE),FALSE),"3A prestatie invullen"))</f>
        <v>3A prestatie invullen</v>
      </c>
      <c r="N33" s="380">
        <f t="shared" si="2"/>
        <v>0</v>
      </c>
      <c r="O33" s="381" t="str">
        <f>VLOOKUP(E33,'3A-Prestatie'!A:M,13,FALSE)</f>
        <v>B</v>
      </c>
      <c r="P33" s="382">
        <f>IF(R33="Niet van toepassing",0,VLOOKUP(E33,'3B-Prestaties vloeren'!$A$3:$D$24,IF(G33="Hard onbehandeld",2,IF(G33="Hard behandeld",3,4)),FALSE))</f>
        <v>4</v>
      </c>
      <c r="Q33" s="383">
        <f t="shared" si="1"/>
        <v>0</v>
      </c>
      <c r="R33" s="384" t="str">
        <f>IF(K33=0,"Niet van toepassing",IF(G33='3B-Prestaties vloeren'!$B$2,"Schrobben",IF(G33='3B-Prestaties vloeren'!$C$2,"Sprayen/conserveren",IF(G33='3B-Prestaties vloeren'!$D$2,"Sproei-extractie",0))))</f>
        <v>Sprayen/conserveren</v>
      </c>
      <c r="S33" s="385">
        <f>IF('2-Tarieven'!$B$28=0,0,IF(M33=0,0,'2-Tarieven'!$B$28*M33))</f>
        <v>0</v>
      </c>
      <c r="T33" s="386">
        <f>IF(AND(COUNTBLANK('3B-Prestaties vloeren'!$F$3:$H$24)=0,COUNTBLANK('3B-Prestaties vloeren'!$L$3:$M$24)=0),IF(R33="Sprayen/conserveren",I33/VLOOKUP(E33,'3B-Prestaties vloeren'!$A$3:$M$24,12,FALSE),0)*(P33-1),0)</f>
        <v>0</v>
      </c>
      <c r="U33" s="386">
        <f>IF(AND(COUNTBLANK('3B-Prestaties vloeren'!$F$3:$H$24)=0,COUNTBLANK('3B-Prestaties vloeren'!$L$3:$M$24)=0),IF(R33="Sprayen/conserveren",I33/VLOOKUP(E33,'3B-Prestaties vloeren'!$A$3:$M$24,13,FALSE),0),0)</f>
        <v>0</v>
      </c>
      <c r="V33" s="386">
        <f>IF(AND(COUNTBLANK('3B-Prestaties vloeren'!$F$3:$H$24)=0,COUNTBLANK('3B-Prestaties vloeren'!$L$3:$M$24)=0),IF(R33="schrobben",I33/VLOOKUP(E33,'3B-Prestaties vloeren'!$A$3:$H$24,6,FALSE),0)*P33,0)</f>
        <v>0</v>
      </c>
      <c r="W33" s="386">
        <f>IF(AND(COUNTBLANK('3B-Prestaties vloeren'!$F$3:$H$24)=0,COUNTBLANK('3B-Prestaties vloeren'!$L$3:$M$24)=0),IF(R33="sproei-extractie",I33/VLOOKUP(E33,'3B-Prestaties vloeren'!$A$3:$H$24,8,FALSE),0)*P33,0)</f>
        <v>0</v>
      </c>
    </row>
    <row r="34" spans="1:23" ht="15" hidden="1">
      <c r="A34" s="378" t="s">
        <v>649</v>
      </c>
      <c r="B34" s="378" t="s">
        <v>650</v>
      </c>
      <c r="C34" s="378">
        <v>0</v>
      </c>
      <c r="D34" s="378" t="s">
        <v>299</v>
      </c>
      <c r="E34" s="378" t="s">
        <v>728</v>
      </c>
      <c r="F34" s="378" t="s">
        <v>647</v>
      </c>
      <c r="G34" s="378" t="str">
        <f>VLOOKUP(F34,'3B-Prestaties vloeren'!$A$28:$B$118,2,0)</f>
        <v>Hard onbehandeld</v>
      </c>
      <c r="H34" s="378" t="s">
        <v>467</v>
      </c>
      <c r="I34" s="378">
        <v>189.6</v>
      </c>
      <c r="J34" s="419"/>
      <c r="K34" s="426">
        <v>0</v>
      </c>
      <c r="L34" s="378">
        <f t="shared" si="0"/>
        <v>0</v>
      </c>
      <c r="M34" s="380">
        <f>IF(K34=0,0,IF(COUNTBLANK('3A-Prestatie'!$B$2:$I$22)=0,L34/VLOOKUP(E34,'3A-Prestatie'!$A$1:$M$22,VLOOKUP(K34,'3A-Prestatie'!$A$28:$B$34,2,FALSE),FALSE),"3A prestatie invullen"))</f>
        <v>0</v>
      </c>
      <c r="N34" s="380">
        <f t="shared" si="2"/>
        <v>0</v>
      </c>
      <c r="O34" s="381" t="str">
        <f>VLOOKUP(E34,'3A-Prestatie'!A:M,13,FALSE)</f>
        <v>N.v.t.</v>
      </c>
      <c r="P34" s="382">
        <f>IF(R34="Niet van toepassing",0,VLOOKUP(E34,'3B-Prestaties vloeren'!$A$3:$D$24,IF(G34="Hard onbehandeld",2,IF(G34="Hard behandeld",3,4)),FALSE))</f>
        <v>0</v>
      </c>
      <c r="Q34" s="383">
        <f t="shared" si="1"/>
        <v>0</v>
      </c>
      <c r="R34" s="384" t="str">
        <f>IF(K34=0,"Niet van toepassing",IF(G34='3B-Prestaties vloeren'!$B$2,"Schrobben",IF(G34='3B-Prestaties vloeren'!$C$2,"Sprayen/conserveren",IF(G34='3B-Prestaties vloeren'!$D$2,"Sproei-extractie",0))))</f>
        <v>Niet van toepassing</v>
      </c>
      <c r="S34" s="385">
        <f>IF('2-Tarieven'!$B$28=0,0,IF(M34=0,0,'2-Tarieven'!$B$28*M34))</f>
        <v>0</v>
      </c>
      <c r="T34" s="386">
        <f>IF(AND(COUNTBLANK('3B-Prestaties vloeren'!$F$3:$H$24)=0,COUNTBLANK('3B-Prestaties vloeren'!$L$3:$M$24)=0),IF(R34="Sprayen/conserveren",I34/VLOOKUP(E34,'3B-Prestaties vloeren'!$A$3:$M$24,12,FALSE),0)*(P34-1),0)</f>
        <v>0</v>
      </c>
      <c r="U34" s="386">
        <f>IF(AND(COUNTBLANK('3B-Prestaties vloeren'!$F$3:$H$24)=0,COUNTBLANK('3B-Prestaties vloeren'!$L$3:$M$24)=0),IF(R34="Sprayen/conserveren",I34/VLOOKUP(E34,'3B-Prestaties vloeren'!$A$3:$M$24,13,FALSE),0),0)</f>
        <v>0</v>
      </c>
      <c r="V34" s="386">
        <f>IF(AND(COUNTBLANK('3B-Prestaties vloeren'!$F$3:$H$24)=0,COUNTBLANK('3B-Prestaties vloeren'!$L$3:$M$24)=0),IF(R34="schrobben",I34/VLOOKUP(E34,'3B-Prestaties vloeren'!$A$3:$H$24,6,FALSE),0)*P34,0)</f>
        <v>0</v>
      </c>
      <c r="W34" s="386">
        <f>IF(AND(COUNTBLANK('3B-Prestaties vloeren'!$F$3:$H$24)=0,COUNTBLANK('3B-Prestaties vloeren'!$L$3:$M$24)=0),IF(R34="sproei-extractie",I34/VLOOKUP(E34,'3B-Prestaties vloeren'!$A$3:$H$24,8,FALSE),0)*P34,0)</f>
        <v>0</v>
      </c>
    </row>
    <row r="35" spans="1:23" ht="15" hidden="1">
      <c r="A35" s="378" t="s">
        <v>649</v>
      </c>
      <c r="B35" s="378" t="s">
        <v>650</v>
      </c>
      <c r="C35" s="378">
        <v>0</v>
      </c>
      <c r="D35" s="378" t="s">
        <v>300</v>
      </c>
      <c r="E35" s="378" t="s">
        <v>728</v>
      </c>
      <c r="F35" s="378" t="s">
        <v>648</v>
      </c>
      <c r="G35" s="378" t="str">
        <f>VLOOKUP(F35,'3B-Prestaties vloeren'!$A$28:$B$118,2,0)</f>
        <v>Hard onbehandeld</v>
      </c>
      <c r="H35" s="378" t="s">
        <v>283</v>
      </c>
      <c r="I35" s="378">
        <v>13.3</v>
      </c>
      <c r="J35" s="419"/>
      <c r="K35" s="426">
        <v>0</v>
      </c>
      <c r="L35" s="378">
        <f t="shared" si="0"/>
        <v>0</v>
      </c>
      <c r="M35" s="380">
        <f>IF(K35=0,0,IF(COUNTBLANK('3A-Prestatie'!$B$2:$I$22)=0,L35/VLOOKUP(E35,'3A-Prestatie'!$A$1:$M$22,VLOOKUP(K35,'3A-Prestatie'!$A$28:$B$34,2,FALSE),FALSE),"3A prestatie invullen"))</f>
        <v>0</v>
      </c>
      <c r="N35" s="380">
        <f t="shared" si="2"/>
        <v>0</v>
      </c>
      <c r="O35" s="381" t="str">
        <f>VLOOKUP(E35,'3A-Prestatie'!A:M,13,FALSE)</f>
        <v>N.v.t.</v>
      </c>
      <c r="P35" s="382">
        <f>IF(R35="Niet van toepassing",0,VLOOKUP(E35,'3B-Prestaties vloeren'!$A$3:$D$24,IF(G35="Hard onbehandeld",2,IF(G35="Hard behandeld",3,4)),FALSE))</f>
        <v>0</v>
      </c>
      <c r="Q35" s="383">
        <f t="shared" si="1"/>
        <v>0</v>
      </c>
      <c r="R35" s="384" t="str">
        <f>IF(K35=0,"Niet van toepassing",IF(G35='3B-Prestaties vloeren'!$B$2,"Schrobben",IF(G35='3B-Prestaties vloeren'!$C$2,"Sprayen/conserveren",IF(G35='3B-Prestaties vloeren'!$D$2,"Sproei-extractie",0))))</f>
        <v>Niet van toepassing</v>
      </c>
      <c r="S35" s="385">
        <f>IF('2-Tarieven'!$B$28=0,0,IF(M35=0,0,'2-Tarieven'!$B$28*M35))</f>
        <v>0</v>
      </c>
      <c r="T35" s="386">
        <f>IF(AND(COUNTBLANK('3B-Prestaties vloeren'!$F$3:$H$24)=0,COUNTBLANK('3B-Prestaties vloeren'!$L$3:$M$24)=0),IF(R35="Sprayen/conserveren",I35/VLOOKUP(E35,'3B-Prestaties vloeren'!$A$3:$M$24,12,FALSE),0)*(P35-1),0)</f>
        <v>0</v>
      </c>
      <c r="U35" s="386">
        <f>IF(AND(COUNTBLANK('3B-Prestaties vloeren'!$F$3:$H$24)=0,COUNTBLANK('3B-Prestaties vloeren'!$L$3:$M$24)=0),IF(R35="Sprayen/conserveren",I35/VLOOKUP(E35,'3B-Prestaties vloeren'!$A$3:$M$24,13,FALSE),0),0)</f>
        <v>0</v>
      </c>
      <c r="V35" s="386">
        <f>IF(AND(COUNTBLANK('3B-Prestaties vloeren'!$F$3:$H$24)=0,COUNTBLANK('3B-Prestaties vloeren'!$L$3:$M$24)=0),IF(R35="schrobben",I35/VLOOKUP(E35,'3B-Prestaties vloeren'!$A$3:$H$24,6,FALSE),0)*P35,0)</f>
        <v>0</v>
      </c>
      <c r="W35" s="386">
        <f>IF(AND(COUNTBLANK('3B-Prestaties vloeren'!$F$3:$H$24)=0,COUNTBLANK('3B-Prestaties vloeren'!$L$3:$M$24)=0),IF(R35="sproei-extractie",I35/VLOOKUP(E35,'3B-Prestaties vloeren'!$A$3:$H$24,8,FALSE),0)*P35,0)</f>
        <v>0</v>
      </c>
    </row>
    <row r="36" spans="1:23" ht="15" hidden="1">
      <c r="A36" s="378" t="s">
        <v>649</v>
      </c>
      <c r="B36" s="378" t="s">
        <v>650</v>
      </c>
      <c r="C36" s="378">
        <v>0</v>
      </c>
      <c r="D36" s="378" t="s">
        <v>301</v>
      </c>
      <c r="E36" s="378" t="s">
        <v>651</v>
      </c>
      <c r="F36" s="378" t="s">
        <v>647</v>
      </c>
      <c r="G36" s="378" t="str">
        <f>VLOOKUP(F36,'3B-Prestaties vloeren'!$A$28:$B$118,2,0)</f>
        <v>Hard onbehandeld</v>
      </c>
      <c r="H36" s="378"/>
      <c r="I36" s="378">
        <v>33.9</v>
      </c>
      <c r="J36" s="419"/>
      <c r="K36" s="426">
        <v>0</v>
      </c>
      <c r="L36" s="378">
        <f t="shared" si="0"/>
        <v>0</v>
      </c>
      <c r="M36" s="380">
        <f>IF(K36=0,0,IF(COUNTBLANK('3A-Prestatie'!$B$2:$I$22)=0,L36/VLOOKUP(E36,'3A-Prestatie'!$A$1:$M$22,VLOOKUP(K36,'3A-Prestatie'!$A$28:$B$34,2,FALSE),FALSE),"3A prestatie invullen"))</f>
        <v>0</v>
      </c>
      <c r="N36" s="380">
        <f t="shared" si="2"/>
        <v>0</v>
      </c>
      <c r="O36" s="381" t="str">
        <f>VLOOKUP(E36,'3A-Prestatie'!A:M,13,FALSE)</f>
        <v>V</v>
      </c>
      <c r="P36" s="382">
        <f>IF(R36="Niet van toepassing",0,VLOOKUP(E36,'3B-Prestaties vloeren'!$A$3:$D$24,IF(G36="Hard onbehandeld",2,IF(G36="Hard behandeld",3,4)),FALSE))</f>
        <v>0</v>
      </c>
      <c r="Q36" s="383">
        <f t="shared" si="1"/>
        <v>0</v>
      </c>
      <c r="R36" s="384" t="str">
        <f>IF(K36=0,"Niet van toepassing",IF(G36='3B-Prestaties vloeren'!$B$2,"Schrobben",IF(G36='3B-Prestaties vloeren'!$C$2,"Sprayen/conserveren",IF(G36='3B-Prestaties vloeren'!$D$2,"Sproei-extractie",0))))</f>
        <v>Niet van toepassing</v>
      </c>
      <c r="S36" s="385">
        <f>IF('2-Tarieven'!$B$28=0,0,IF(M36=0,0,'2-Tarieven'!$B$28*M36))</f>
        <v>0</v>
      </c>
      <c r="T36" s="386">
        <f>IF(AND(COUNTBLANK('3B-Prestaties vloeren'!$F$3:$H$24)=0,COUNTBLANK('3B-Prestaties vloeren'!$L$3:$M$24)=0),IF(R36="Sprayen/conserveren",I36/VLOOKUP(E36,'3B-Prestaties vloeren'!$A$3:$M$24,12,FALSE),0)*(P36-1),0)</f>
        <v>0</v>
      </c>
      <c r="U36" s="386">
        <f>IF(AND(COUNTBLANK('3B-Prestaties vloeren'!$F$3:$H$24)=0,COUNTBLANK('3B-Prestaties vloeren'!$L$3:$M$24)=0),IF(R36="Sprayen/conserveren",I36/VLOOKUP(E36,'3B-Prestaties vloeren'!$A$3:$M$24,13,FALSE),0),0)</f>
        <v>0</v>
      </c>
      <c r="V36" s="386">
        <f>IF(AND(COUNTBLANK('3B-Prestaties vloeren'!$F$3:$H$24)=0,COUNTBLANK('3B-Prestaties vloeren'!$L$3:$M$24)=0),IF(R36="schrobben",I36/VLOOKUP(E36,'3B-Prestaties vloeren'!$A$3:$H$24,6,FALSE),0)*P36,0)</f>
        <v>0</v>
      </c>
      <c r="W36" s="386">
        <f>IF(AND(COUNTBLANK('3B-Prestaties vloeren'!$F$3:$H$24)=0,COUNTBLANK('3B-Prestaties vloeren'!$L$3:$M$24)=0),IF(R36="sproei-extractie",I36/VLOOKUP(E36,'3B-Prestaties vloeren'!$A$3:$H$24,8,FALSE),0)*P36,0)</f>
        <v>0</v>
      </c>
    </row>
    <row r="37" spans="1:23" ht="15" hidden="1">
      <c r="A37" s="378" t="s">
        <v>649</v>
      </c>
      <c r="B37" s="378" t="s">
        <v>650</v>
      </c>
      <c r="C37" s="378">
        <v>0</v>
      </c>
      <c r="D37" s="378" t="s">
        <v>303</v>
      </c>
      <c r="E37" s="378" t="s">
        <v>5</v>
      </c>
      <c r="F37" s="378" t="s">
        <v>647</v>
      </c>
      <c r="G37" s="378" t="str">
        <f>VLOOKUP(F37,'3B-Prestaties vloeren'!$A$28:$B$118,2,0)</f>
        <v>Hard onbehandeld</v>
      </c>
      <c r="H37" s="378"/>
      <c r="I37" s="378">
        <v>15</v>
      </c>
      <c r="J37" s="419"/>
      <c r="K37" s="426">
        <v>0</v>
      </c>
      <c r="L37" s="378">
        <f t="shared" si="0"/>
        <v>0</v>
      </c>
      <c r="M37" s="380">
        <f>IF(K37=0,0,IF(COUNTBLANK('3A-Prestatie'!$B$2:$I$22)=0,L37/VLOOKUP(E37,'3A-Prestatie'!$A$1:$M$22,VLOOKUP(K37,'3A-Prestatie'!$A$28:$B$34,2,FALSE),FALSE),"3A prestatie invullen"))</f>
        <v>0</v>
      </c>
      <c r="N37" s="380">
        <f t="shared" si="2"/>
        <v>0</v>
      </c>
      <c r="O37" s="381" t="str">
        <f>VLOOKUP(E37,'3A-Prestatie'!A:M,13,FALSE)</f>
        <v>B</v>
      </c>
      <c r="P37" s="382">
        <f>IF(R37="Niet van toepassing",0,VLOOKUP(E37,'3B-Prestaties vloeren'!$A$3:$D$24,IF(G37="Hard onbehandeld",2,IF(G37="Hard behandeld",3,4)),FALSE))</f>
        <v>0</v>
      </c>
      <c r="Q37" s="383">
        <f t="shared" si="1"/>
        <v>0</v>
      </c>
      <c r="R37" s="384" t="str">
        <f>IF(K37=0,"Niet van toepassing",IF(G37='3B-Prestaties vloeren'!$B$2,"Schrobben",IF(G37='3B-Prestaties vloeren'!$C$2,"Sprayen/conserveren",IF(G37='3B-Prestaties vloeren'!$D$2,"Sproei-extractie",0))))</f>
        <v>Niet van toepassing</v>
      </c>
      <c r="S37" s="385">
        <f>IF('2-Tarieven'!$B$28=0,0,IF(M37=0,0,'2-Tarieven'!$B$28*M37))</f>
        <v>0</v>
      </c>
      <c r="T37" s="386">
        <f>IF(AND(COUNTBLANK('3B-Prestaties vloeren'!$F$3:$H$24)=0,COUNTBLANK('3B-Prestaties vloeren'!$L$3:$M$24)=0),IF(R37="Sprayen/conserveren",I37/VLOOKUP(E37,'3B-Prestaties vloeren'!$A$3:$M$24,12,FALSE),0)*(P37-1),0)</f>
        <v>0</v>
      </c>
      <c r="U37" s="386">
        <f>IF(AND(COUNTBLANK('3B-Prestaties vloeren'!$F$3:$H$24)=0,COUNTBLANK('3B-Prestaties vloeren'!$L$3:$M$24)=0),IF(R37="Sprayen/conserveren",I37/VLOOKUP(E37,'3B-Prestaties vloeren'!$A$3:$M$24,13,FALSE),0),0)</f>
        <v>0</v>
      </c>
      <c r="V37" s="386">
        <f>IF(AND(COUNTBLANK('3B-Prestaties vloeren'!$F$3:$H$24)=0,COUNTBLANK('3B-Prestaties vloeren'!$L$3:$M$24)=0),IF(R37="schrobben",I37/VLOOKUP(E37,'3B-Prestaties vloeren'!$A$3:$H$24,6,FALSE),0)*P37,0)</f>
        <v>0</v>
      </c>
      <c r="W37" s="386">
        <f>IF(AND(COUNTBLANK('3B-Prestaties vloeren'!$F$3:$H$24)=0,COUNTBLANK('3B-Prestaties vloeren'!$L$3:$M$24)=0),IF(R37="sproei-extractie",I37/VLOOKUP(E37,'3B-Prestaties vloeren'!$A$3:$H$24,8,FALSE),0)*P37,0)</f>
        <v>0</v>
      </c>
    </row>
    <row r="38" spans="1:23" ht="15" hidden="1">
      <c r="A38" s="378" t="s">
        <v>649</v>
      </c>
      <c r="B38" s="378" t="s">
        <v>650</v>
      </c>
      <c r="C38" s="378">
        <v>0</v>
      </c>
      <c r="D38" s="378" t="s">
        <v>304</v>
      </c>
      <c r="E38" s="378" t="s">
        <v>653</v>
      </c>
      <c r="F38" s="378" t="s">
        <v>647</v>
      </c>
      <c r="G38" s="378" t="str">
        <f>VLOOKUP(F38,'3B-Prestaties vloeren'!$A$28:$B$118,2,0)</f>
        <v>Hard onbehandeld</v>
      </c>
      <c r="H38" s="378" t="s">
        <v>330</v>
      </c>
      <c r="I38" s="378">
        <v>1.4</v>
      </c>
      <c r="J38" s="421" t="s">
        <v>511</v>
      </c>
      <c r="K38" s="426">
        <v>255</v>
      </c>
      <c r="L38" s="378">
        <f t="shared" si="0"/>
        <v>357</v>
      </c>
      <c r="M38" s="380" t="str">
        <f>IF(K38=0,0,IF(COUNTBLANK('3A-Prestatie'!$B$2:$I$22)=0,L38/VLOOKUP(E38,'3A-Prestatie'!$A$1:$M$22,VLOOKUP(K38,'3A-Prestatie'!$A$28:$B$34,2,FALSE),FALSE),"3A prestatie invullen"))</f>
        <v>3A prestatie invullen</v>
      </c>
      <c r="N38" s="380">
        <f t="shared" si="2"/>
        <v>0</v>
      </c>
      <c r="O38" s="381" t="str">
        <f>VLOOKUP(E38,'3A-Prestatie'!A:M,13,FALSE)</f>
        <v>S</v>
      </c>
      <c r="P38" s="382">
        <f>IF(R38="Niet van toepassing",0,VLOOKUP(E38,'3B-Prestaties vloeren'!$A$3:$D$24,IF(G38="Hard onbehandeld",2,IF(G38="Hard behandeld",3,4)),FALSE))</f>
        <v>52</v>
      </c>
      <c r="Q38" s="383">
        <f t="shared" si="1"/>
        <v>0</v>
      </c>
      <c r="R38" s="384" t="str">
        <f>IF(K38=0,"Niet van toepassing",IF(G38='3B-Prestaties vloeren'!$B$2,"Schrobben",IF(G38='3B-Prestaties vloeren'!$C$2,"Sprayen/conserveren",IF(G38='3B-Prestaties vloeren'!$D$2,"Sproei-extractie",0))))</f>
        <v>Schrobben</v>
      </c>
      <c r="S38" s="385">
        <f>IF('2-Tarieven'!$B$28=0,0,IF(M38=0,0,'2-Tarieven'!$B$28*M38))</f>
        <v>0</v>
      </c>
      <c r="T38" s="386">
        <f>IF(AND(COUNTBLANK('3B-Prestaties vloeren'!$F$3:$H$24)=0,COUNTBLANK('3B-Prestaties vloeren'!$L$3:$M$24)=0),IF(R38="Sprayen/conserveren",I38/VLOOKUP(E38,'3B-Prestaties vloeren'!$A$3:$M$24,12,FALSE),0)*(P38-1),0)</f>
        <v>0</v>
      </c>
      <c r="U38" s="386">
        <f>IF(AND(COUNTBLANK('3B-Prestaties vloeren'!$F$3:$H$24)=0,COUNTBLANK('3B-Prestaties vloeren'!$L$3:$M$24)=0),IF(R38="Sprayen/conserveren",I38/VLOOKUP(E38,'3B-Prestaties vloeren'!$A$3:$M$24,13,FALSE),0),0)</f>
        <v>0</v>
      </c>
      <c r="V38" s="386">
        <f>IF(AND(COUNTBLANK('3B-Prestaties vloeren'!$F$3:$H$24)=0,COUNTBLANK('3B-Prestaties vloeren'!$L$3:$M$24)=0),IF(R38="schrobben",I38/VLOOKUP(E38,'3B-Prestaties vloeren'!$A$3:$H$24,6,FALSE),0)*P38,0)</f>
        <v>0</v>
      </c>
      <c r="W38" s="386">
        <f>IF(AND(COUNTBLANK('3B-Prestaties vloeren'!$F$3:$H$24)=0,COUNTBLANK('3B-Prestaties vloeren'!$L$3:$M$24)=0),IF(R38="sproei-extractie",I38/VLOOKUP(E38,'3B-Prestaties vloeren'!$A$3:$H$24,8,FALSE),0)*P38,0)</f>
        <v>0</v>
      </c>
    </row>
    <row r="39" spans="1:23" ht="15" hidden="1">
      <c r="A39" s="378" t="s">
        <v>649</v>
      </c>
      <c r="B39" s="378" t="s">
        <v>650</v>
      </c>
      <c r="C39" s="378">
        <v>0</v>
      </c>
      <c r="D39" s="378" t="s">
        <v>305</v>
      </c>
      <c r="E39" s="378" t="s">
        <v>653</v>
      </c>
      <c r="F39" s="378" t="s">
        <v>647</v>
      </c>
      <c r="G39" s="378" t="str">
        <f>VLOOKUP(F39,'3B-Prestaties vloeren'!$A$28:$B$118,2,0)</f>
        <v>Hard onbehandeld</v>
      </c>
      <c r="H39" s="378" t="s">
        <v>330</v>
      </c>
      <c r="I39" s="378">
        <v>1.4</v>
      </c>
      <c r="J39" s="421" t="s">
        <v>511</v>
      </c>
      <c r="K39" s="426">
        <v>255</v>
      </c>
      <c r="L39" s="378">
        <f t="shared" si="0"/>
        <v>357</v>
      </c>
      <c r="M39" s="380" t="str">
        <f>IF(K39=0,0,IF(COUNTBLANK('3A-Prestatie'!$B$2:$I$22)=0,L39/VLOOKUP(E39,'3A-Prestatie'!$A$1:$M$22,VLOOKUP(K39,'3A-Prestatie'!$A$28:$B$34,2,FALSE),FALSE),"3A prestatie invullen"))</f>
        <v>3A prestatie invullen</v>
      </c>
      <c r="N39" s="380">
        <f t="shared" si="2"/>
        <v>0</v>
      </c>
      <c r="O39" s="381" t="str">
        <f>VLOOKUP(E39,'3A-Prestatie'!A:M,13,FALSE)</f>
        <v>S</v>
      </c>
      <c r="P39" s="382">
        <f>IF(R39="Niet van toepassing",0,VLOOKUP(E39,'3B-Prestaties vloeren'!$A$3:$D$24,IF(G39="Hard onbehandeld",2,IF(G39="Hard behandeld",3,4)),FALSE))</f>
        <v>52</v>
      </c>
      <c r="Q39" s="383">
        <f t="shared" si="1"/>
        <v>0</v>
      </c>
      <c r="R39" s="384" t="str">
        <f>IF(K39=0,"Niet van toepassing",IF(G39='3B-Prestaties vloeren'!$B$2,"Schrobben",IF(G39='3B-Prestaties vloeren'!$C$2,"Sprayen/conserveren",IF(G39='3B-Prestaties vloeren'!$D$2,"Sproei-extractie",0))))</f>
        <v>Schrobben</v>
      </c>
      <c r="S39" s="385">
        <f>IF('2-Tarieven'!$B$28=0,0,IF(M39=0,0,'2-Tarieven'!$B$28*M39))</f>
        <v>0</v>
      </c>
      <c r="T39" s="386">
        <f>IF(AND(COUNTBLANK('3B-Prestaties vloeren'!$F$3:$H$24)=0,COUNTBLANK('3B-Prestaties vloeren'!$L$3:$M$24)=0),IF(R39="Sprayen/conserveren",I39/VLOOKUP(E39,'3B-Prestaties vloeren'!$A$3:$M$24,12,FALSE),0)*(P39-1),0)</f>
        <v>0</v>
      </c>
      <c r="U39" s="386">
        <f>IF(AND(COUNTBLANK('3B-Prestaties vloeren'!$F$3:$H$24)=0,COUNTBLANK('3B-Prestaties vloeren'!$L$3:$M$24)=0),IF(R39="Sprayen/conserveren",I39/VLOOKUP(E39,'3B-Prestaties vloeren'!$A$3:$M$24,13,FALSE),0),0)</f>
        <v>0</v>
      </c>
      <c r="V39" s="386">
        <f>IF(AND(COUNTBLANK('3B-Prestaties vloeren'!$F$3:$H$24)=0,COUNTBLANK('3B-Prestaties vloeren'!$L$3:$M$24)=0),IF(R39="schrobben",I39/VLOOKUP(E39,'3B-Prestaties vloeren'!$A$3:$H$24,6,FALSE),0)*P39,0)</f>
        <v>0</v>
      </c>
      <c r="W39" s="386">
        <f>IF(AND(COUNTBLANK('3B-Prestaties vloeren'!$F$3:$H$24)=0,COUNTBLANK('3B-Prestaties vloeren'!$L$3:$M$24)=0),IF(R39="sproei-extractie",I39/VLOOKUP(E39,'3B-Prestaties vloeren'!$A$3:$H$24,8,FALSE),0)*P39,0)</f>
        <v>0</v>
      </c>
    </row>
    <row r="40" spans="1:23" ht="15" hidden="1">
      <c r="A40" s="378" t="s">
        <v>649</v>
      </c>
      <c r="B40" s="378" t="s">
        <v>650</v>
      </c>
      <c r="C40" s="378">
        <v>0</v>
      </c>
      <c r="D40" s="378" t="s">
        <v>2</v>
      </c>
      <c r="E40" s="378" t="s">
        <v>653</v>
      </c>
      <c r="F40" s="378" t="s">
        <v>647</v>
      </c>
      <c r="G40" s="378" t="str">
        <f>VLOOKUP(F40,'3B-Prestaties vloeren'!$A$28:$B$118,2,0)</f>
        <v>Hard onbehandeld</v>
      </c>
      <c r="H40" s="378" t="s">
        <v>330</v>
      </c>
      <c r="I40" s="378">
        <v>3.3</v>
      </c>
      <c r="J40" s="421" t="s">
        <v>511</v>
      </c>
      <c r="K40" s="426">
        <v>255</v>
      </c>
      <c r="L40" s="378">
        <f t="shared" si="0"/>
        <v>841.5</v>
      </c>
      <c r="M40" s="380" t="str">
        <f>IF(K40=0,0,IF(COUNTBLANK('3A-Prestatie'!$B$2:$I$22)=0,L40/VLOOKUP(E40,'3A-Prestatie'!$A$1:$M$22,VLOOKUP(K40,'3A-Prestatie'!$A$28:$B$34,2,FALSE),FALSE),"3A prestatie invullen"))</f>
        <v>3A prestatie invullen</v>
      </c>
      <c r="N40" s="380">
        <f t="shared" si="2"/>
        <v>0</v>
      </c>
      <c r="O40" s="381" t="str">
        <f>VLOOKUP(E40,'3A-Prestatie'!A:M,13,FALSE)</f>
        <v>S</v>
      </c>
      <c r="P40" s="382">
        <f>IF(R40="Niet van toepassing",0,VLOOKUP(E40,'3B-Prestaties vloeren'!$A$3:$D$24,IF(G40="Hard onbehandeld",2,IF(G40="Hard behandeld",3,4)),FALSE))</f>
        <v>52</v>
      </c>
      <c r="Q40" s="383">
        <f t="shared" si="1"/>
        <v>0</v>
      </c>
      <c r="R40" s="384" t="str">
        <f>IF(K40=0,"Niet van toepassing",IF(G40='3B-Prestaties vloeren'!$B$2,"Schrobben",IF(G40='3B-Prestaties vloeren'!$C$2,"Sprayen/conserveren",IF(G40='3B-Prestaties vloeren'!$D$2,"Sproei-extractie",0))))</f>
        <v>Schrobben</v>
      </c>
      <c r="S40" s="385">
        <f>IF('2-Tarieven'!$B$28=0,0,IF(M40=0,0,'2-Tarieven'!$B$28*M40))</f>
        <v>0</v>
      </c>
      <c r="T40" s="386">
        <f>IF(AND(COUNTBLANK('3B-Prestaties vloeren'!$F$3:$H$24)=0,COUNTBLANK('3B-Prestaties vloeren'!$L$3:$M$24)=0),IF(R40="Sprayen/conserveren",I40/VLOOKUP(E40,'3B-Prestaties vloeren'!$A$3:$M$24,12,FALSE),0)*(P40-1),0)</f>
        <v>0</v>
      </c>
      <c r="U40" s="386">
        <f>IF(AND(COUNTBLANK('3B-Prestaties vloeren'!$F$3:$H$24)=0,COUNTBLANK('3B-Prestaties vloeren'!$L$3:$M$24)=0),IF(R40="Sprayen/conserveren",I40/VLOOKUP(E40,'3B-Prestaties vloeren'!$A$3:$M$24,13,FALSE),0),0)</f>
        <v>0</v>
      </c>
      <c r="V40" s="386">
        <f>IF(AND(COUNTBLANK('3B-Prestaties vloeren'!$F$3:$H$24)=0,COUNTBLANK('3B-Prestaties vloeren'!$L$3:$M$24)=0),IF(R40="schrobben",I40/VLOOKUP(E40,'3B-Prestaties vloeren'!$A$3:$H$24,6,FALSE),0)*P40,0)</f>
        <v>0</v>
      </c>
      <c r="W40" s="386">
        <f>IF(AND(COUNTBLANK('3B-Prestaties vloeren'!$F$3:$H$24)=0,COUNTBLANK('3B-Prestaties vloeren'!$L$3:$M$24)=0),IF(R40="sproei-extractie",I40/VLOOKUP(E40,'3B-Prestaties vloeren'!$A$3:$H$24,8,FALSE),0)*P40,0)</f>
        <v>0</v>
      </c>
    </row>
    <row r="41" spans="1:23" ht="15" hidden="1">
      <c r="A41" s="378" t="s">
        <v>649</v>
      </c>
      <c r="B41" s="378" t="s">
        <v>650</v>
      </c>
      <c r="C41" s="378">
        <v>0</v>
      </c>
      <c r="D41" s="378" t="s">
        <v>3</v>
      </c>
      <c r="E41" s="378" t="s">
        <v>6</v>
      </c>
      <c r="F41" s="378" t="s">
        <v>647</v>
      </c>
      <c r="G41" s="378" t="str">
        <f>VLOOKUP(F41,'3B-Prestaties vloeren'!$A$28:$B$118,2,0)</f>
        <v>Hard onbehandeld</v>
      </c>
      <c r="H41" s="378"/>
      <c r="I41" s="378">
        <v>9.3000000000000007</v>
      </c>
      <c r="J41" s="419"/>
      <c r="K41" s="426">
        <v>0</v>
      </c>
      <c r="L41" s="378">
        <f t="shared" si="0"/>
        <v>0</v>
      </c>
      <c r="M41" s="380">
        <f>IF(K41=0,0,IF(COUNTBLANK('3A-Prestatie'!$B$2:$I$22)=0,L41/VLOOKUP(E41,'3A-Prestatie'!$A$1:$M$22,VLOOKUP(K41,'3A-Prestatie'!$A$28:$B$34,2,FALSE),FALSE),"3A prestatie invullen"))</f>
        <v>0</v>
      </c>
      <c r="N41" s="380">
        <f t="shared" si="2"/>
        <v>0</v>
      </c>
      <c r="O41" s="381" t="str">
        <f>VLOOKUP(E41,'3A-Prestatie'!A:M,13,FALSE)</f>
        <v>V</v>
      </c>
      <c r="P41" s="382">
        <f>IF(R41="Niet van toepassing",0,VLOOKUP(E41,'3B-Prestaties vloeren'!$A$3:$D$24,IF(G41="Hard onbehandeld",2,IF(G41="Hard behandeld",3,4)),FALSE))</f>
        <v>0</v>
      </c>
      <c r="Q41" s="383">
        <f t="shared" si="1"/>
        <v>0</v>
      </c>
      <c r="R41" s="384" t="str">
        <f>IF(K41=0,"Niet van toepassing",IF(G41='3B-Prestaties vloeren'!$B$2,"Schrobben",IF(G41='3B-Prestaties vloeren'!$C$2,"Sprayen/conserveren",IF(G41='3B-Prestaties vloeren'!$D$2,"Sproei-extractie",0))))</f>
        <v>Niet van toepassing</v>
      </c>
      <c r="S41" s="385">
        <f>IF('2-Tarieven'!$B$28=0,0,IF(M41=0,0,'2-Tarieven'!$B$28*M41))</f>
        <v>0</v>
      </c>
      <c r="T41" s="386">
        <f>IF(AND(COUNTBLANK('3B-Prestaties vloeren'!$F$3:$H$24)=0,COUNTBLANK('3B-Prestaties vloeren'!$L$3:$M$24)=0),IF(R41="Sprayen/conserveren",I41/VLOOKUP(E41,'3B-Prestaties vloeren'!$A$3:$M$24,12,FALSE),0)*(P41-1),0)</f>
        <v>0</v>
      </c>
      <c r="U41" s="386">
        <f>IF(AND(COUNTBLANK('3B-Prestaties vloeren'!$F$3:$H$24)=0,COUNTBLANK('3B-Prestaties vloeren'!$L$3:$M$24)=0),IF(R41="Sprayen/conserveren",I41/VLOOKUP(E41,'3B-Prestaties vloeren'!$A$3:$M$24,13,FALSE),0),0)</f>
        <v>0</v>
      </c>
      <c r="V41" s="386">
        <f>IF(AND(COUNTBLANK('3B-Prestaties vloeren'!$F$3:$H$24)=0,COUNTBLANK('3B-Prestaties vloeren'!$L$3:$M$24)=0),IF(R41="schrobben",I41/VLOOKUP(E41,'3B-Prestaties vloeren'!$A$3:$H$24,6,FALSE),0)*P41,0)</f>
        <v>0</v>
      </c>
      <c r="W41" s="386">
        <f>IF(AND(COUNTBLANK('3B-Prestaties vloeren'!$F$3:$H$24)=0,COUNTBLANK('3B-Prestaties vloeren'!$L$3:$M$24)=0),IF(R41="sproei-extractie",I41/VLOOKUP(E41,'3B-Prestaties vloeren'!$A$3:$H$24,8,FALSE),0)*P41,0)</f>
        <v>0</v>
      </c>
    </row>
    <row r="42" spans="1:23" ht="15" hidden="1">
      <c r="A42" s="378" t="s">
        <v>649</v>
      </c>
      <c r="B42" s="378" t="s">
        <v>650</v>
      </c>
      <c r="C42" s="378">
        <v>0</v>
      </c>
      <c r="D42" s="378" t="s">
        <v>308</v>
      </c>
      <c r="E42" s="378" t="s">
        <v>334</v>
      </c>
      <c r="F42" s="378" t="s">
        <v>65</v>
      </c>
      <c r="G42" s="378" t="str">
        <f>VLOOKUP(F42,'3B-Prestaties vloeren'!$A$28:$B$118,2,0)</f>
        <v>Zacht onbehandeld</v>
      </c>
      <c r="H42" s="378"/>
      <c r="I42" s="378">
        <v>4.7</v>
      </c>
      <c r="J42" s="419"/>
      <c r="K42" s="426">
        <v>0</v>
      </c>
      <c r="L42" s="378">
        <f t="shared" si="0"/>
        <v>0</v>
      </c>
      <c r="M42" s="380">
        <f>IF(K42=0,0,IF(COUNTBLANK('3A-Prestatie'!$B$2:$I$22)=0,L42/VLOOKUP(E42,'3A-Prestatie'!$A$1:$M$22,VLOOKUP(K42,'3A-Prestatie'!$A$28:$B$34,2,FALSE),FALSE),"3A prestatie invullen"))</f>
        <v>0</v>
      </c>
      <c r="N42" s="380">
        <f t="shared" si="2"/>
        <v>0</v>
      </c>
      <c r="O42" s="381" t="str">
        <f>VLOOKUP(E42,'3A-Prestatie'!A:M,13,FALSE)</f>
        <v>V</v>
      </c>
      <c r="P42" s="382">
        <f>IF(R42="Niet van toepassing",0,VLOOKUP(E42,'3B-Prestaties vloeren'!$A$3:$D$24,IF(G42="Hard onbehandeld",2,IF(G42="Hard behandeld",3,4)),FALSE))</f>
        <v>0</v>
      </c>
      <c r="Q42" s="383">
        <f t="shared" si="1"/>
        <v>0</v>
      </c>
      <c r="R42" s="384" t="str">
        <f>IF(K42=0,"Niet van toepassing",IF(G42='3B-Prestaties vloeren'!$B$2,"Schrobben",IF(G42='3B-Prestaties vloeren'!$C$2,"Sprayen/conserveren",IF(G42='3B-Prestaties vloeren'!$D$2,"Sproei-extractie",0))))</f>
        <v>Niet van toepassing</v>
      </c>
      <c r="S42" s="385">
        <f>IF('2-Tarieven'!$B$28=0,0,IF(M42=0,0,'2-Tarieven'!$B$28*M42))</f>
        <v>0</v>
      </c>
      <c r="T42" s="386">
        <f>IF(AND(COUNTBLANK('3B-Prestaties vloeren'!$F$3:$H$24)=0,COUNTBLANK('3B-Prestaties vloeren'!$L$3:$M$24)=0),IF(R42="Sprayen/conserveren",I42/VLOOKUP(E42,'3B-Prestaties vloeren'!$A$3:$M$24,12,FALSE),0)*(P42-1),0)</f>
        <v>0</v>
      </c>
      <c r="U42" s="386">
        <f>IF(AND(COUNTBLANK('3B-Prestaties vloeren'!$F$3:$H$24)=0,COUNTBLANK('3B-Prestaties vloeren'!$L$3:$M$24)=0),IF(R42="Sprayen/conserveren",I42/VLOOKUP(E42,'3B-Prestaties vloeren'!$A$3:$M$24,13,FALSE),0),0)</f>
        <v>0</v>
      </c>
      <c r="V42" s="386">
        <f>IF(AND(COUNTBLANK('3B-Prestaties vloeren'!$F$3:$H$24)=0,COUNTBLANK('3B-Prestaties vloeren'!$L$3:$M$24)=0),IF(R42="schrobben",I42/VLOOKUP(E42,'3B-Prestaties vloeren'!$A$3:$H$24,6,FALSE),0)*P42,0)</f>
        <v>0</v>
      </c>
      <c r="W42" s="386">
        <f>IF(AND(COUNTBLANK('3B-Prestaties vloeren'!$F$3:$H$24)=0,COUNTBLANK('3B-Prestaties vloeren'!$L$3:$M$24)=0),IF(R42="sproei-extractie",I42/VLOOKUP(E42,'3B-Prestaties vloeren'!$A$3:$H$24,8,FALSE),0)*P42,0)</f>
        <v>0</v>
      </c>
    </row>
    <row r="43" spans="1:23" ht="15" hidden="1">
      <c r="A43" s="378" t="s">
        <v>649</v>
      </c>
      <c r="B43" s="378" t="s">
        <v>650</v>
      </c>
      <c r="C43" s="378">
        <v>0</v>
      </c>
      <c r="D43" s="378" t="s">
        <v>309</v>
      </c>
      <c r="E43" s="378" t="s">
        <v>5</v>
      </c>
      <c r="F43" s="378" t="s">
        <v>64</v>
      </c>
      <c r="G43" s="378" t="str">
        <f>VLOOKUP(F43,'3B-Prestaties vloeren'!$A$28:$B$118,2,0)</f>
        <v>Hard behandeld</v>
      </c>
      <c r="H43" s="378"/>
      <c r="I43" s="378">
        <v>12.6</v>
      </c>
      <c r="J43" s="419"/>
      <c r="K43" s="426">
        <v>0</v>
      </c>
      <c r="L43" s="378">
        <f t="shared" si="0"/>
        <v>0</v>
      </c>
      <c r="M43" s="380">
        <f>IF(K43=0,0,IF(COUNTBLANK('3A-Prestatie'!$B$2:$I$22)=0,L43/VLOOKUP(E43,'3A-Prestatie'!$A$1:$M$22,VLOOKUP(K43,'3A-Prestatie'!$A$28:$B$34,2,FALSE),FALSE),"3A prestatie invullen"))</f>
        <v>0</v>
      </c>
      <c r="N43" s="380">
        <f t="shared" si="2"/>
        <v>0</v>
      </c>
      <c r="O43" s="381" t="str">
        <f>VLOOKUP(E43,'3A-Prestatie'!A:M,13,FALSE)</f>
        <v>B</v>
      </c>
      <c r="P43" s="382">
        <f>IF(R43="Niet van toepassing",0,VLOOKUP(E43,'3B-Prestaties vloeren'!$A$3:$D$24,IF(G43="Hard onbehandeld",2,IF(G43="Hard behandeld",3,4)),FALSE))</f>
        <v>0</v>
      </c>
      <c r="Q43" s="383">
        <f t="shared" si="1"/>
        <v>0</v>
      </c>
      <c r="R43" s="384" t="str">
        <f>IF(K43=0,"Niet van toepassing",IF(G43='3B-Prestaties vloeren'!$B$2,"Schrobben",IF(G43='3B-Prestaties vloeren'!$C$2,"Sprayen/conserveren",IF(G43='3B-Prestaties vloeren'!$D$2,"Sproei-extractie",0))))</f>
        <v>Niet van toepassing</v>
      </c>
      <c r="S43" s="385">
        <f>IF('2-Tarieven'!$B$28=0,0,IF(M43=0,0,'2-Tarieven'!$B$28*M43))</f>
        <v>0</v>
      </c>
      <c r="T43" s="386">
        <f>IF(AND(COUNTBLANK('3B-Prestaties vloeren'!$F$3:$H$24)=0,COUNTBLANK('3B-Prestaties vloeren'!$L$3:$M$24)=0),IF(R43="Sprayen/conserveren",I43/VLOOKUP(E43,'3B-Prestaties vloeren'!$A$3:$M$24,12,FALSE),0)*(P43-1),0)</f>
        <v>0</v>
      </c>
      <c r="U43" s="386">
        <f>IF(AND(COUNTBLANK('3B-Prestaties vloeren'!$F$3:$H$24)=0,COUNTBLANK('3B-Prestaties vloeren'!$L$3:$M$24)=0),IF(R43="Sprayen/conserveren",I43/VLOOKUP(E43,'3B-Prestaties vloeren'!$A$3:$M$24,13,FALSE),0),0)</f>
        <v>0</v>
      </c>
      <c r="V43" s="386">
        <f>IF(AND(COUNTBLANK('3B-Prestaties vloeren'!$F$3:$H$24)=0,COUNTBLANK('3B-Prestaties vloeren'!$L$3:$M$24)=0),IF(R43="schrobben",I43/VLOOKUP(E43,'3B-Prestaties vloeren'!$A$3:$H$24,6,FALSE),0)*P43,0)</f>
        <v>0</v>
      </c>
      <c r="W43" s="386">
        <f>IF(AND(COUNTBLANK('3B-Prestaties vloeren'!$F$3:$H$24)=0,COUNTBLANK('3B-Prestaties vloeren'!$L$3:$M$24)=0),IF(R43="sproei-extractie",I43/VLOOKUP(E43,'3B-Prestaties vloeren'!$A$3:$H$24,8,FALSE),0)*P43,0)</f>
        <v>0</v>
      </c>
    </row>
    <row r="44" spans="1:23" ht="15" hidden="1">
      <c r="A44" s="378" t="s">
        <v>649</v>
      </c>
      <c r="B44" s="378" t="s">
        <v>650</v>
      </c>
      <c r="C44" s="378">
        <v>0</v>
      </c>
      <c r="D44" s="378" t="s">
        <v>310</v>
      </c>
      <c r="E44" s="378" t="s">
        <v>728</v>
      </c>
      <c r="F44" s="378" t="s">
        <v>648</v>
      </c>
      <c r="G44" s="378" t="str">
        <f>VLOOKUP(F44,'3B-Prestaties vloeren'!$A$28:$B$118,2,0)</f>
        <v>Hard onbehandeld</v>
      </c>
      <c r="H44" s="378" t="s">
        <v>652</v>
      </c>
      <c r="I44" s="378">
        <v>153</v>
      </c>
      <c r="J44" s="419"/>
      <c r="K44" s="426">
        <v>0</v>
      </c>
      <c r="L44" s="378">
        <f t="shared" si="0"/>
        <v>0</v>
      </c>
      <c r="M44" s="380">
        <f>IF(K44=0,0,IF(COUNTBLANK('3A-Prestatie'!$B$2:$I$22)=0,L44/VLOOKUP(E44,'3A-Prestatie'!$A$1:$M$22,VLOOKUP(K44,'3A-Prestatie'!$A$28:$B$34,2,FALSE),FALSE),"3A prestatie invullen"))</f>
        <v>0</v>
      </c>
      <c r="N44" s="380">
        <f t="shared" si="2"/>
        <v>0</v>
      </c>
      <c r="O44" s="381" t="str">
        <f>VLOOKUP(E44,'3A-Prestatie'!A:M,13,FALSE)</f>
        <v>N.v.t.</v>
      </c>
      <c r="P44" s="382">
        <f>IF(R44="Niet van toepassing",0,VLOOKUP(E44,'3B-Prestaties vloeren'!$A$3:$D$24,IF(G44="Hard onbehandeld",2,IF(G44="Hard behandeld",3,4)),FALSE))</f>
        <v>0</v>
      </c>
      <c r="Q44" s="383">
        <f t="shared" si="1"/>
        <v>0</v>
      </c>
      <c r="R44" s="384" t="str">
        <f>IF(K44=0,"Niet van toepassing",IF(G44='3B-Prestaties vloeren'!$B$2,"Schrobben",IF(G44='3B-Prestaties vloeren'!$C$2,"Sprayen/conserveren",IF(G44='3B-Prestaties vloeren'!$D$2,"Sproei-extractie",0))))</f>
        <v>Niet van toepassing</v>
      </c>
      <c r="S44" s="385">
        <f>IF('2-Tarieven'!$B$28=0,0,IF(M44=0,0,'2-Tarieven'!$B$28*M44))</f>
        <v>0</v>
      </c>
      <c r="T44" s="386">
        <f>IF(AND(COUNTBLANK('3B-Prestaties vloeren'!$F$3:$H$24)=0,COUNTBLANK('3B-Prestaties vloeren'!$L$3:$M$24)=0),IF(R44="Sprayen/conserveren",I44/VLOOKUP(E44,'3B-Prestaties vloeren'!$A$3:$M$24,12,FALSE),0)*(P44-1),0)</f>
        <v>0</v>
      </c>
      <c r="U44" s="386">
        <f>IF(AND(COUNTBLANK('3B-Prestaties vloeren'!$F$3:$H$24)=0,COUNTBLANK('3B-Prestaties vloeren'!$L$3:$M$24)=0),IF(R44="Sprayen/conserveren",I44/VLOOKUP(E44,'3B-Prestaties vloeren'!$A$3:$M$24,13,FALSE),0),0)</f>
        <v>0</v>
      </c>
      <c r="V44" s="386">
        <f>IF(AND(COUNTBLANK('3B-Prestaties vloeren'!$F$3:$H$24)=0,COUNTBLANK('3B-Prestaties vloeren'!$L$3:$M$24)=0),IF(R44="schrobben",I44/VLOOKUP(E44,'3B-Prestaties vloeren'!$A$3:$H$24,6,FALSE),0)*P44,0)</f>
        <v>0</v>
      </c>
      <c r="W44" s="386">
        <f>IF(AND(COUNTBLANK('3B-Prestaties vloeren'!$F$3:$H$24)=0,COUNTBLANK('3B-Prestaties vloeren'!$L$3:$M$24)=0),IF(R44="sproei-extractie",I44/VLOOKUP(E44,'3B-Prestaties vloeren'!$A$3:$H$24,8,FALSE),0)*P44,0)</f>
        <v>0</v>
      </c>
    </row>
    <row r="45" spans="1:23" ht="15" hidden="1">
      <c r="A45" s="378" t="s">
        <v>649</v>
      </c>
      <c r="B45" s="378" t="s">
        <v>650</v>
      </c>
      <c r="C45" s="378">
        <v>0</v>
      </c>
      <c r="D45" s="378" t="s">
        <v>311</v>
      </c>
      <c r="E45" s="378" t="s">
        <v>651</v>
      </c>
      <c r="F45" s="378" t="s">
        <v>648</v>
      </c>
      <c r="G45" s="378" t="str">
        <f>VLOOKUP(F45,'3B-Prestaties vloeren'!$A$28:$B$118,2,0)</f>
        <v>Hard onbehandeld</v>
      </c>
      <c r="H45" s="378"/>
      <c r="I45" s="378">
        <v>99.2</v>
      </c>
      <c r="J45" s="419"/>
      <c r="K45" s="426">
        <v>0</v>
      </c>
      <c r="L45" s="378">
        <f t="shared" si="0"/>
        <v>0</v>
      </c>
      <c r="M45" s="380">
        <f>IF(K45=0,0,IF(COUNTBLANK('3A-Prestatie'!$B$2:$I$22)=0,L45/VLOOKUP(E45,'3A-Prestatie'!$A$1:$M$22,VLOOKUP(K45,'3A-Prestatie'!$A$28:$B$34,2,FALSE),FALSE),"3A prestatie invullen"))</f>
        <v>0</v>
      </c>
      <c r="N45" s="380">
        <f t="shared" si="2"/>
        <v>0</v>
      </c>
      <c r="O45" s="381" t="str">
        <f>VLOOKUP(E45,'3A-Prestatie'!A:M,13,FALSE)</f>
        <v>V</v>
      </c>
      <c r="P45" s="382">
        <f>IF(R45="Niet van toepassing",0,VLOOKUP(E45,'3B-Prestaties vloeren'!$A$3:$D$24,IF(G45="Hard onbehandeld",2,IF(G45="Hard behandeld",3,4)),FALSE))</f>
        <v>0</v>
      </c>
      <c r="Q45" s="383">
        <f t="shared" si="1"/>
        <v>0</v>
      </c>
      <c r="R45" s="384" t="str">
        <f>IF(K45=0,"Niet van toepassing",IF(G45='3B-Prestaties vloeren'!$B$2,"Schrobben",IF(G45='3B-Prestaties vloeren'!$C$2,"Sprayen/conserveren",IF(G45='3B-Prestaties vloeren'!$D$2,"Sproei-extractie",0))))</f>
        <v>Niet van toepassing</v>
      </c>
      <c r="S45" s="385">
        <f>IF('2-Tarieven'!$B$28=0,0,IF(M45=0,0,'2-Tarieven'!$B$28*M45))</f>
        <v>0</v>
      </c>
      <c r="T45" s="386">
        <f>IF(AND(COUNTBLANK('3B-Prestaties vloeren'!$F$3:$H$24)=0,COUNTBLANK('3B-Prestaties vloeren'!$L$3:$M$24)=0),IF(R45="Sprayen/conserveren",I45/VLOOKUP(E45,'3B-Prestaties vloeren'!$A$3:$M$24,12,FALSE),0)*(P45-1),0)</f>
        <v>0</v>
      </c>
      <c r="U45" s="386">
        <f>IF(AND(COUNTBLANK('3B-Prestaties vloeren'!$F$3:$H$24)=0,COUNTBLANK('3B-Prestaties vloeren'!$L$3:$M$24)=0),IF(R45="Sprayen/conserveren",I45/VLOOKUP(E45,'3B-Prestaties vloeren'!$A$3:$M$24,13,FALSE),0),0)</f>
        <v>0</v>
      </c>
      <c r="V45" s="386">
        <f>IF(AND(COUNTBLANK('3B-Prestaties vloeren'!$F$3:$H$24)=0,COUNTBLANK('3B-Prestaties vloeren'!$L$3:$M$24)=0),IF(R45="schrobben",I45/VLOOKUP(E45,'3B-Prestaties vloeren'!$A$3:$H$24,6,FALSE),0)*P45,0)</f>
        <v>0</v>
      </c>
      <c r="W45" s="386">
        <f>IF(AND(COUNTBLANK('3B-Prestaties vloeren'!$F$3:$H$24)=0,COUNTBLANK('3B-Prestaties vloeren'!$L$3:$M$24)=0),IF(R45="sproei-extractie",I45/VLOOKUP(E45,'3B-Prestaties vloeren'!$A$3:$H$24,8,FALSE),0)*P45,0)</f>
        <v>0</v>
      </c>
    </row>
    <row r="46" spans="1:23" ht="15" hidden="1">
      <c r="A46" s="378" t="s">
        <v>649</v>
      </c>
      <c r="B46" s="378" t="s">
        <v>650</v>
      </c>
      <c r="C46" s="378">
        <v>0</v>
      </c>
      <c r="D46" s="378" t="s">
        <v>312</v>
      </c>
      <c r="E46" s="378" t="s">
        <v>728</v>
      </c>
      <c r="F46" s="378" t="s">
        <v>648</v>
      </c>
      <c r="G46" s="378" t="str">
        <f>VLOOKUP(F46,'3B-Prestaties vloeren'!$A$28:$B$118,2,0)</f>
        <v>Hard onbehandeld</v>
      </c>
      <c r="H46" s="378" t="s">
        <v>283</v>
      </c>
      <c r="I46" s="378">
        <v>12.8</v>
      </c>
      <c r="J46" s="419"/>
      <c r="K46" s="426">
        <v>0</v>
      </c>
      <c r="L46" s="378">
        <f t="shared" si="0"/>
        <v>0</v>
      </c>
      <c r="M46" s="380">
        <f>IF(K46=0,0,IF(COUNTBLANK('3A-Prestatie'!$B$2:$I$22)=0,L46/VLOOKUP(E46,'3A-Prestatie'!$A$1:$M$22,VLOOKUP(K46,'3A-Prestatie'!$A$28:$B$34,2,FALSE),FALSE),"3A prestatie invullen"))</f>
        <v>0</v>
      </c>
      <c r="N46" s="380">
        <f t="shared" si="2"/>
        <v>0</v>
      </c>
      <c r="O46" s="381" t="str">
        <f>VLOOKUP(E46,'3A-Prestatie'!A:M,13,FALSE)</f>
        <v>N.v.t.</v>
      </c>
      <c r="P46" s="382">
        <f>IF(R46="Niet van toepassing",0,VLOOKUP(E46,'3B-Prestaties vloeren'!$A$3:$D$24,IF(G46="Hard onbehandeld",2,IF(G46="Hard behandeld",3,4)),FALSE))</f>
        <v>0</v>
      </c>
      <c r="Q46" s="383">
        <f t="shared" si="1"/>
        <v>0</v>
      </c>
      <c r="R46" s="384" t="str">
        <f>IF(K46=0,"Niet van toepassing",IF(G46='3B-Prestaties vloeren'!$B$2,"Schrobben",IF(G46='3B-Prestaties vloeren'!$C$2,"Sprayen/conserveren",IF(G46='3B-Prestaties vloeren'!$D$2,"Sproei-extractie",0))))</f>
        <v>Niet van toepassing</v>
      </c>
      <c r="S46" s="385">
        <f>IF('2-Tarieven'!$B$28=0,0,IF(M46=0,0,'2-Tarieven'!$B$28*M46))</f>
        <v>0</v>
      </c>
      <c r="T46" s="386">
        <f>IF(AND(COUNTBLANK('3B-Prestaties vloeren'!$F$3:$H$24)=0,COUNTBLANK('3B-Prestaties vloeren'!$L$3:$M$24)=0),IF(R46="Sprayen/conserveren",I46/VLOOKUP(E46,'3B-Prestaties vloeren'!$A$3:$M$24,12,FALSE),0)*(P46-1),0)</f>
        <v>0</v>
      </c>
      <c r="U46" s="386">
        <f>IF(AND(COUNTBLANK('3B-Prestaties vloeren'!$F$3:$H$24)=0,COUNTBLANK('3B-Prestaties vloeren'!$L$3:$M$24)=0),IF(R46="Sprayen/conserveren",I46/VLOOKUP(E46,'3B-Prestaties vloeren'!$A$3:$M$24,13,FALSE),0),0)</f>
        <v>0</v>
      </c>
      <c r="V46" s="386">
        <f>IF(AND(COUNTBLANK('3B-Prestaties vloeren'!$F$3:$H$24)=0,COUNTBLANK('3B-Prestaties vloeren'!$L$3:$M$24)=0),IF(R46="schrobben",I46/VLOOKUP(E46,'3B-Prestaties vloeren'!$A$3:$H$24,6,FALSE),0)*P46,0)</f>
        <v>0</v>
      </c>
      <c r="W46" s="386">
        <f>IF(AND(COUNTBLANK('3B-Prestaties vloeren'!$F$3:$H$24)=0,COUNTBLANK('3B-Prestaties vloeren'!$L$3:$M$24)=0),IF(R46="sproei-extractie",I46/VLOOKUP(E46,'3B-Prestaties vloeren'!$A$3:$H$24,8,FALSE),0)*P46,0)</f>
        <v>0</v>
      </c>
    </row>
    <row r="47" spans="1:23" ht="15" hidden="1">
      <c r="A47" s="378" t="s">
        <v>649</v>
      </c>
      <c r="B47" s="378" t="s">
        <v>650</v>
      </c>
      <c r="C47" s="378">
        <v>0</v>
      </c>
      <c r="D47" s="378" t="s">
        <v>313</v>
      </c>
      <c r="E47" s="378" t="s">
        <v>651</v>
      </c>
      <c r="F47" s="378" t="s">
        <v>648</v>
      </c>
      <c r="G47" s="378" t="str">
        <f>VLOOKUP(F47,'3B-Prestaties vloeren'!$A$28:$B$118,2,0)</f>
        <v>Hard onbehandeld</v>
      </c>
      <c r="H47" s="378"/>
      <c r="I47" s="378">
        <v>110</v>
      </c>
      <c r="J47" s="419"/>
      <c r="K47" s="426">
        <v>0</v>
      </c>
      <c r="L47" s="378">
        <f t="shared" si="0"/>
        <v>0</v>
      </c>
      <c r="M47" s="380">
        <f>IF(K47=0,0,IF(COUNTBLANK('3A-Prestatie'!$B$2:$I$22)=0,L47/VLOOKUP(E47,'3A-Prestatie'!$A$1:$M$22,VLOOKUP(K47,'3A-Prestatie'!$A$28:$B$34,2,FALSE),FALSE),"3A prestatie invullen"))</f>
        <v>0</v>
      </c>
      <c r="N47" s="380">
        <f t="shared" si="2"/>
        <v>0</v>
      </c>
      <c r="O47" s="381" t="str">
        <f>VLOOKUP(E47,'3A-Prestatie'!A:M,13,FALSE)</f>
        <v>V</v>
      </c>
      <c r="P47" s="382">
        <f>IF(R47="Niet van toepassing",0,VLOOKUP(E47,'3B-Prestaties vloeren'!$A$3:$D$24,IF(G47="Hard onbehandeld",2,IF(G47="Hard behandeld",3,4)),FALSE))</f>
        <v>0</v>
      </c>
      <c r="Q47" s="383">
        <f t="shared" si="1"/>
        <v>0</v>
      </c>
      <c r="R47" s="384" t="str">
        <f>IF(K47=0,"Niet van toepassing",IF(G47='3B-Prestaties vloeren'!$B$2,"Schrobben",IF(G47='3B-Prestaties vloeren'!$C$2,"Sprayen/conserveren",IF(G47='3B-Prestaties vloeren'!$D$2,"Sproei-extractie",0))))</f>
        <v>Niet van toepassing</v>
      </c>
      <c r="S47" s="385">
        <f>IF('2-Tarieven'!$B$28=0,0,IF(M47=0,0,'2-Tarieven'!$B$28*M47))</f>
        <v>0</v>
      </c>
      <c r="T47" s="386">
        <f>IF(AND(COUNTBLANK('3B-Prestaties vloeren'!$F$3:$H$24)=0,COUNTBLANK('3B-Prestaties vloeren'!$L$3:$M$24)=0),IF(R47="Sprayen/conserveren",I47/VLOOKUP(E47,'3B-Prestaties vloeren'!$A$3:$M$24,12,FALSE),0)*(P47-1),0)</f>
        <v>0</v>
      </c>
      <c r="U47" s="386">
        <f>IF(AND(COUNTBLANK('3B-Prestaties vloeren'!$F$3:$H$24)=0,COUNTBLANK('3B-Prestaties vloeren'!$L$3:$M$24)=0),IF(R47="Sprayen/conserveren",I47/VLOOKUP(E47,'3B-Prestaties vloeren'!$A$3:$M$24,13,FALSE),0),0)</f>
        <v>0</v>
      </c>
      <c r="V47" s="386">
        <f>IF(AND(COUNTBLANK('3B-Prestaties vloeren'!$F$3:$H$24)=0,COUNTBLANK('3B-Prestaties vloeren'!$L$3:$M$24)=0),IF(R47="schrobben",I47/VLOOKUP(E47,'3B-Prestaties vloeren'!$A$3:$H$24,6,FALSE),0)*P47,0)</f>
        <v>0</v>
      </c>
      <c r="W47" s="386">
        <f>IF(AND(COUNTBLANK('3B-Prestaties vloeren'!$F$3:$H$24)=0,COUNTBLANK('3B-Prestaties vloeren'!$L$3:$M$24)=0),IF(R47="sproei-extractie",I47/VLOOKUP(E47,'3B-Prestaties vloeren'!$A$3:$H$24,8,FALSE),0)*P47,0)</f>
        <v>0</v>
      </c>
    </row>
    <row r="48" spans="1:23" ht="15" hidden="1">
      <c r="A48" s="378" t="s">
        <v>649</v>
      </c>
      <c r="B48" s="378" t="s">
        <v>650</v>
      </c>
      <c r="C48" s="378">
        <v>0</v>
      </c>
      <c r="D48" s="378" t="s">
        <v>314</v>
      </c>
      <c r="E48" s="378" t="s">
        <v>5</v>
      </c>
      <c r="F48" s="378" t="s">
        <v>648</v>
      </c>
      <c r="G48" s="378" t="str">
        <f>VLOOKUP(F48,'3B-Prestaties vloeren'!$A$28:$B$118,2,0)</f>
        <v>Hard onbehandeld</v>
      </c>
      <c r="H48" s="378"/>
      <c r="I48" s="378">
        <v>16</v>
      </c>
      <c r="J48" s="420" t="s">
        <v>749</v>
      </c>
      <c r="K48" s="426">
        <v>52</v>
      </c>
      <c r="L48" s="378">
        <f t="shared" si="0"/>
        <v>832</v>
      </c>
      <c r="M48" s="380" t="str">
        <f>IF(K48=0,0,IF(COUNTBLANK('3A-Prestatie'!$B$2:$I$22)=0,L48/VLOOKUP(E48,'3A-Prestatie'!$A$1:$M$22,VLOOKUP(K48,'3A-Prestatie'!$A$28:$B$34,2,FALSE),FALSE),"3A prestatie invullen"))</f>
        <v>3A prestatie invullen</v>
      </c>
      <c r="N48" s="380">
        <f t="shared" si="2"/>
        <v>0</v>
      </c>
      <c r="O48" s="381" t="str">
        <f>VLOOKUP(E48,'3A-Prestatie'!A:M,13,FALSE)</f>
        <v>B</v>
      </c>
      <c r="P48" s="382">
        <f>IF(R48="Niet van toepassing",0,VLOOKUP(E48,'3B-Prestaties vloeren'!$A$3:$D$24,IF(G48="Hard onbehandeld",2,IF(G48="Hard behandeld",3,4)),FALSE))</f>
        <v>4</v>
      </c>
      <c r="Q48" s="383">
        <f t="shared" si="1"/>
        <v>0</v>
      </c>
      <c r="R48" s="384" t="str">
        <f>IF(K48=0,"Niet van toepassing",IF(G48='3B-Prestaties vloeren'!$B$2,"Schrobben",IF(G48='3B-Prestaties vloeren'!$C$2,"Sprayen/conserveren",IF(G48='3B-Prestaties vloeren'!$D$2,"Sproei-extractie",0))))</f>
        <v>Schrobben</v>
      </c>
      <c r="S48" s="385">
        <f>IF('2-Tarieven'!$B$28=0,0,IF(M48=0,0,'2-Tarieven'!$B$28*M48))</f>
        <v>0</v>
      </c>
      <c r="T48" s="386">
        <f>IF(AND(COUNTBLANK('3B-Prestaties vloeren'!$F$3:$H$24)=0,COUNTBLANK('3B-Prestaties vloeren'!$L$3:$M$24)=0),IF(R48="Sprayen/conserveren",I48/VLOOKUP(E48,'3B-Prestaties vloeren'!$A$3:$M$24,12,FALSE),0)*(P48-1),0)</f>
        <v>0</v>
      </c>
      <c r="U48" s="386">
        <f>IF(AND(COUNTBLANK('3B-Prestaties vloeren'!$F$3:$H$24)=0,COUNTBLANK('3B-Prestaties vloeren'!$L$3:$M$24)=0),IF(R48="Sprayen/conserveren",I48/VLOOKUP(E48,'3B-Prestaties vloeren'!$A$3:$M$24,13,FALSE),0),0)</f>
        <v>0</v>
      </c>
      <c r="V48" s="386">
        <f>IF(AND(COUNTBLANK('3B-Prestaties vloeren'!$F$3:$H$24)=0,COUNTBLANK('3B-Prestaties vloeren'!$L$3:$M$24)=0),IF(R48="schrobben",I48/VLOOKUP(E48,'3B-Prestaties vloeren'!$A$3:$H$24,6,FALSE),0)*P48,0)</f>
        <v>0</v>
      </c>
      <c r="W48" s="386">
        <f>IF(AND(COUNTBLANK('3B-Prestaties vloeren'!$F$3:$H$24)=0,COUNTBLANK('3B-Prestaties vloeren'!$L$3:$M$24)=0),IF(R48="sproei-extractie",I48/VLOOKUP(E48,'3B-Prestaties vloeren'!$A$3:$H$24,8,FALSE),0)*P48,0)</f>
        <v>0</v>
      </c>
    </row>
    <row r="49" spans="1:23" ht="15" hidden="1">
      <c r="A49" s="378" t="s">
        <v>649</v>
      </c>
      <c r="B49" s="378" t="s">
        <v>650</v>
      </c>
      <c r="C49" s="378">
        <v>0</v>
      </c>
      <c r="D49" s="378" t="s">
        <v>315</v>
      </c>
      <c r="E49" s="378" t="s">
        <v>728</v>
      </c>
      <c r="F49" s="378" t="s">
        <v>64</v>
      </c>
      <c r="G49" s="378" t="str">
        <f>VLOOKUP(F49,'3B-Prestaties vloeren'!$A$28:$B$118,2,0)</f>
        <v>Hard behandeld</v>
      </c>
      <c r="H49" s="378" t="s">
        <v>283</v>
      </c>
      <c r="I49" s="378">
        <v>15.8</v>
      </c>
      <c r="J49" s="419"/>
      <c r="K49" s="426">
        <v>0</v>
      </c>
      <c r="L49" s="378">
        <f t="shared" si="0"/>
        <v>0</v>
      </c>
      <c r="M49" s="380">
        <f>IF(K49=0,0,IF(COUNTBLANK('3A-Prestatie'!$B$2:$I$22)=0,L49/VLOOKUP(E49,'3A-Prestatie'!$A$1:$M$22,VLOOKUP(K49,'3A-Prestatie'!$A$28:$B$34,2,FALSE),FALSE),"3A prestatie invullen"))</f>
        <v>0</v>
      </c>
      <c r="N49" s="380">
        <f t="shared" si="2"/>
        <v>0</v>
      </c>
      <c r="O49" s="381" t="str">
        <f>VLOOKUP(E49,'3A-Prestatie'!A:M,13,FALSE)</f>
        <v>N.v.t.</v>
      </c>
      <c r="P49" s="382">
        <f>IF(R49="Niet van toepassing",0,VLOOKUP(E49,'3B-Prestaties vloeren'!$A$3:$D$24,IF(G49="Hard onbehandeld",2,IF(G49="Hard behandeld",3,4)),FALSE))</f>
        <v>0</v>
      </c>
      <c r="Q49" s="383">
        <f t="shared" si="1"/>
        <v>0</v>
      </c>
      <c r="R49" s="384" t="str">
        <f>IF(K49=0,"Niet van toepassing",IF(G49='3B-Prestaties vloeren'!$B$2,"Schrobben",IF(G49='3B-Prestaties vloeren'!$C$2,"Sprayen/conserveren",IF(G49='3B-Prestaties vloeren'!$D$2,"Sproei-extractie",0))))</f>
        <v>Niet van toepassing</v>
      </c>
      <c r="S49" s="385">
        <f>IF('2-Tarieven'!$B$28=0,0,IF(M49=0,0,'2-Tarieven'!$B$28*M49))</f>
        <v>0</v>
      </c>
      <c r="T49" s="386">
        <f>IF(AND(COUNTBLANK('3B-Prestaties vloeren'!$F$3:$H$24)=0,COUNTBLANK('3B-Prestaties vloeren'!$L$3:$M$24)=0),IF(R49="Sprayen/conserveren",I49/VLOOKUP(E49,'3B-Prestaties vloeren'!$A$3:$M$24,12,FALSE),0)*(P49-1),0)</f>
        <v>0</v>
      </c>
      <c r="U49" s="386">
        <f>IF(AND(COUNTBLANK('3B-Prestaties vloeren'!$F$3:$H$24)=0,COUNTBLANK('3B-Prestaties vloeren'!$L$3:$M$24)=0),IF(R49="Sprayen/conserveren",I49/VLOOKUP(E49,'3B-Prestaties vloeren'!$A$3:$M$24,13,FALSE),0),0)</f>
        <v>0</v>
      </c>
      <c r="V49" s="386">
        <f>IF(AND(COUNTBLANK('3B-Prestaties vloeren'!$F$3:$H$24)=0,COUNTBLANK('3B-Prestaties vloeren'!$L$3:$M$24)=0),IF(R49="schrobben",I49/VLOOKUP(E49,'3B-Prestaties vloeren'!$A$3:$H$24,6,FALSE),0)*P49,0)</f>
        <v>0</v>
      </c>
      <c r="W49" s="386">
        <f>IF(AND(COUNTBLANK('3B-Prestaties vloeren'!$F$3:$H$24)=0,COUNTBLANK('3B-Prestaties vloeren'!$L$3:$M$24)=0),IF(R49="sproei-extractie",I49/VLOOKUP(E49,'3B-Prestaties vloeren'!$A$3:$H$24,8,FALSE),0)*P49,0)</f>
        <v>0</v>
      </c>
    </row>
    <row r="50" spans="1:23" ht="15" hidden="1">
      <c r="A50" s="378" t="s">
        <v>649</v>
      </c>
      <c r="B50" s="378" t="s">
        <v>650</v>
      </c>
      <c r="C50" s="378">
        <v>0</v>
      </c>
      <c r="D50" s="378" t="s">
        <v>316</v>
      </c>
      <c r="E50" s="378" t="s">
        <v>286</v>
      </c>
      <c r="F50" s="378" t="s">
        <v>648</v>
      </c>
      <c r="G50" s="378" t="str">
        <f>VLOOKUP(F50,'3B-Prestaties vloeren'!$A$28:$B$118,2,0)</f>
        <v>Hard onbehandeld</v>
      </c>
      <c r="H50" s="378"/>
      <c r="I50" s="378">
        <v>5.8</v>
      </c>
      <c r="J50" s="420" t="s">
        <v>749</v>
      </c>
      <c r="K50" s="426">
        <v>52</v>
      </c>
      <c r="L50" s="378">
        <f t="shared" si="0"/>
        <v>301.59999999999997</v>
      </c>
      <c r="M50" s="380" t="str">
        <f>IF(K50=0,0,IF(COUNTBLANK('3A-Prestatie'!$B$2:$I$22)=0,L50/VLOOKUP(E50,'3A-Prestatie'!$A$1:$M$22,VLOOKUP(K50,'3A-Prestatie'!$A$28:$B$34,2,FALSE),FALSE),"3A prestatie invullen"))</f>
        <v>3A prestatie invullen</v>
      </c>
      <c r="N50" s="380">
        <f t="shared" si="2"/>
        <v>0</v>
      </c>
      <c r="O50" s="381" t="str">
        <f>VLOOKUP(E50,'3A-Prestatie'!A:M,13,FALSE)</f>
        <v>V</v>
      </c>
      <c r="P50" s="382">
        <f>IF(R50="Niet van toepassing",0,VLOOKUP(E50,'3B-Prestaties vloeren'!$A$3:$D$24,IF(G50="Hard onbehandeld",2,IF(G50="Hard behandeld",3,4)),FALSE))</f>
        <v>4</v>
      </c>
      <c r="Q50" s="383">
        <f t="shared" si="1"/>
        <v>0</v>
      </c>
      <c r="R50" s="384" t="str">
        <f>IF(K50=0,"Niet van toepassing",IF(G50='3B-Prestaties vloeren'!$B$2,"Schrobben",IF(G50='3B-Prestaties vloeren'!$C$2,"Sprayen/conserveren",IF(G50='3B-Prestaties vloeren'!$D$2,"Sproei-extractie",0))))</f>
        <v>Schrobben</v>
      </c>
      <c r="S50" s="385">
        <f>IF('2-Tarieven'!$B$28=0,0,IF(M50=0,0,'2-Tarieven'!$B$28*M50))</f>
        <v>0</v>
      </c>
      <c r="T50" s="386">
        <f>IF(AND(COUNTBLANK('3B-Prestaties vloeren'!$F$3:$H$24)=0,COUNTBLANK('3B-Prestaties vloeren'!$L$3:$M$24)=0),IF(R50="Sprayen/conserveren",I50/VLOOKUP(E50,'3B-Prestaties vloeren'!$A$3:$M$24,12,FALSE),0)*(P50-1),0)</f>
        <v>0</v>
      </c>
      <c r="U50" s="386">
        <f>IF(AND(COUNTBLANK('3B-Prestaties vloeren'!$F$3:$H$24)=0,COUNTBLANK('3B-Prestaties vloeren'!$L$3:$M$24)=0),IF(R50="Sprayen/conserveren",I50/VLOOKUP(E50,'3B-Prestaties vloeren'!$A$3:$M$24,13,FALSE),0),0)</f>
        <v>0</v>
      </c>
      <c r="V50" s="386">
        <f>IF(AND(COUNTBLANK('3B-Prestaties vloeren'!$F$3:$H$24)=0,COUNTBLANK('3B-Prestaties vloeren'!$L$3:$M$24)=0),IF(R50="schrobben",I50/VLOOKUP(E50,'3B-Prestaties vloeren'!$A$3:$H$24,6,FALSE),0)*P50,0)</f>
        <v>0</v>
      </c>
      <c r="W50" s="386">
        <f>IF(AND(COUNTBLANK('3B-Prestaties vloeren'!$F$3:$H$24)=0,COUNTBLANK('3B-Prestaties vloeren'!$L$3:$M$24)=0),IF(R50="sproei-extractie",I50/VLOOKUP(E50,'3B-Prestaties vloeren'!$A$3:$H$24,8,FALSE),0)*P50,0)</f>
        <v>0</v>
      </c>
    </row>
    <row r="51" spans="1:23" ht="15" hidden="1">
      <c r="A51" s="378" t="s">
        <v>649</v>
      </c>
      <c r="B51" s="378" t="s">
        <v>650</v>
      </c>
      <c r="C51" s="378">
        <v>0</v>
      </c>
      <c r="D51" s="378" t="s">
        <v>317</v>
      </c>
      <c r="E51" s="378" t="s">
        <v>334</v>
      </c>
      <c r="F51" s="378" t="s">
        <v>64</v>
      </c>
      <c r="G51" s="378" t="str">
        <f>VLOOKUP(F51,'3B-Prestaties vloeren'!$A$28:$B$118,2,0)</f>
        <v>Hard behandeld</v>
      </c>
      <c r="H51" s="378"/>
      <c r="I51" s="378">
        <v>16.2</v>
      </c>
      <c r="J51" s="420" t="s">
        <v>749</v>
      </c>
      <c r="K51" s="426">
        <v>255</v>
      </c>
      <c r="L51" s="378">
        <f t="shared" si="0"/>
        <v>4131</v>
      </c>
      <c r="M51" s="380" t="str">
        <f>IF(K51=0,0,IF(COUNTBLANK('3A-Prestatie'!$B$2:$I$22)=0,L51/VLOOKUP(E51,'3A-Prestatie'!$A$1:$M$22,VLOOKUP(K51,'3A-Prestatie'!$A$28:$B$34,2,FALSE),FALSE),"3A prestatie invullen"))</f>
        <v>3A prestatie invullen</v>
      </c>
      <c r="N51" s="380">
        <f t="shared" si="2"/>
        <v>0</v>
      </c>
      <c r="O51" s="381" t="str">
        <f>VLOOKUP(E51,'3A-Prestatie'!A:M,13,FALSE)</f>
        <v>V</v>
      </c>
      <c r="P51" s="382">
        <f>IF(R51="Niet van toepassing",0,VLOOKUP(E51,'3B-Prestaties vloeren'!$A$3:$D$24,IF(G51="Hard onbehandeld",2,IF(G51="Hard behandeld",3,4)),FALSE))</f>
        <v>12</v>
      </c>
      <c r="Q51" s="383">
        <f t="shared" si="1"/>
        <v>0</v>
      </c>
      <c r="R51" s="384" t="str">
        <f>IF(K51=0,"Niet van toepassing",IF(G51='3B-Prestaties vloeren'!$B$2,"Schrobben",IF(G51='3B-Prestaties vloeren'!$C$2,"Sprayen/conserveren",IF(G51='3B-Prestaties vloeren'!$D$2,"Sproei-extractie",0))))</f>
        <v>Sprayen/conserveren</v>
      </c>
      <c r="S51" s="385">
        <f>IF('2-Tarieven'!$B$28=0,0,IF(M51=0,0,'2-Tarieven'!$B$28*M51))</f>
        <v>0</v>
      </c>
      <c r="T51" s="386">
        <f>IF(AND(COUNTBLANK('3B-Prestaties vloeren'!$F$3:$H$24)=0,COUNTBLANK('3B-Prestaties vloeren'!$L$3:$M$24)=0),IF(R51="Sprayen/conserveren",I51/VLOOKUP(E51,'3B-Prestaties vloeren'!$A$3:$M$24,12,FALSE),0)*(P51-1),0)</f>
        <v>0</v>
      </c>
      <c r="U51" s="386">
        <f>IF(AND(COUNTBLANK('3B-Prestaties vloeren'!$F$3:$H$24)=0,COUNTBLANK('3B-Prestaties vloeren'!$L$3:$M$24)=0),IF(R51="Sprayen/conserveren",I51/VLOOKUP(E51,'3B-Prestaties vloeren'!$A$3:$M$24,13,FALSE),0),0)</f>
        <v>0</v>
      </c>
      <c r="V51" s="386">
        <f>IF(AND(COUNTBLANK('3B-Prestaties vloeren'!$F$3:$H$24)=0,COUNTBLANK('3B-Prestaties vloeren'!$L$3:$M$24)=0),IF(R51="schrobben",I51/VLOOKUP(E51,'3B-Prestaties vloeren'!$A$3:$H$24,6,FALSE),0)*P51,0)</f>
        <v>0</v>
      </c>
      <c r="W51" s="386">
        <f>IF(AND(COUNTBLANK('3B-Prestaties vloeren'!$F$3:$H$24)=0,COUNTBLANK('3B-Prestaties vloeren'!$L$3:$M$24)=0),IF(R51="sproei-extractie",I51/VLOOKUP(E51,'3B-Prestaties vloeren'!$A$3:$H$24,8,FALSE),0)*P51,0)</f>
        <v>0</v>
      </c>
    </row>
    <row r="52" spans="1:23" ht="15" hidden="1">
      <c r="A52" s="378" t="s">
        <v>649</v>
      </c>
      <c r="B52" s="378" t="s">
        <v>650</v>
      </c>
      <c r="C52" s="378">
        <v>0</v>
      </c>
      <c r="D52" s="378" t="s">
        <v>318</v>
      </c>
      <c r="E52" s="378" t="s">
        <v>728</v>
      </c>
      <c r="F52" s="378" t="s">
        <v>648</v>
      </c>
      <c r="G52" s="378" t="str">
        <f>VLOOKUP(F52,'3B-Prestaties vloeren'!$A$28:$B$118,2,0)</f>
        <v>Hard onbehandeld</v>
      </c>
      <c r="H52" s="378" t="s">
        <v>287</v>
      </c>
      <c r="I52" s="378">
        <v>1.5</v>
      </c>
      <c r="J52" s="419"/>
      <c r="K52" s="426">
        <v>0</v>
      </c>
      <c r="L52" s="378">
        <f t="shared" si="0"/>
        <v>0</v>
      </c>
      <c r="M52" s="380">
        <f>IF(K52=0,0,IF(COUNTBLANK('3A-Prestatie'!$B$2:$I$22)=0,L52/VLOOKUP(E52,'3A-Prestatie'!$A$1:$M$22,VLOOKUP(K52,'3A-Prestatie'!$A$28:$B$34,2,FALSE),FALSE),"3A prestatie invullen"))</f>
        <v>0</v>
      </c>
      <c r="N52" s="380">
        <f t="shared" si="2"/>
        <v>0</v>
      </c>
      <c r="O52" s="381" t="str">
        <f>VLOOKUP(E52,'3A-Prestatie'!A:M,13,FALSE)</f>
        <v>N.v.t.</v>
      </c>
      <c r="P52" s="382">
        <f>IF(R52="Niet van toepassing",0,VLOOKUP(E52,'3B-Prestaties vloeren'!$A$3:$D$24,IF(G52="Hard onbehandeld",2,IF(G52="Hard behandeld",3,4)),FALSE))</f>
        <v>0</v>
      </c>
      <c r="Q52" s="383">
        <f t="shared" si="1"/>
        <v>0</v>
      </c>
      <c r="R52" s="384" t="str">
        <f>IF(K52=0,"Niet van toepassing",IF(G52='3B-Prestaties vloeren'!$B$2,"Schrobben",IF(G52='3B-Prestaties vloeren'!$C$2,"Sprayen/conserveren",IF(G52='3B-Prestaties vloeren'!$D$2,"Sproei-extractie",0))))</f>
        <v>Niet van toepassing</v>
      </c>
      <c r="S52" s="385">
        <f>IF('2-Tarieven'!$B$28=0,0,IF(M52=0,0,'2-Tarieven'!$B$28*M52))</f>
        <v>0</v>
      </c>
      <c r="T52" s="386">
        <f>IF(AND(COUNTBLANK('3B-Prestaties vloeren'!$F$3:$H$24)=0,COUNTBLANK('3B-Prestaties vloeren'!$L$3:$M$24)=0),IF(R52="Sprayen/conserveren",I52/VLOOKUP(E52,'3B-Prestaties vloeren'!$A$3:$M$24,12,FALSE),0)*(P52-1),0)</f>
        <v>0</v>
      </c>
      <c r="U52" s="386">
        <f>IF(AND(COUNTBLANK('3B-Prestaties vloeren'!$F$3:$H$24)=0,COUNTBLANK('3B-Prestaties vloeren'!$L$3:$M$24)=0),IF(R52="Sprayen/conserveren",I52/VLOOKUP(E52,'3B-Prestaties vloeren'!$A$3:$M$24,13,FALSE),0),0)</f>
        <v>0</v>
      </c>
      <c r="V52" s="386">
        <f>IF(AND(COUNTBLANK('3B-Prestaties vloeren'!$F$3:$H$24)=0,COUNTBLANK('3B-Prestaties vloeren'!$L$3:$M$24)=0),IF(R52="schrobben",I52/VLOOKUP(E52,'3B-Prestaties vloeren'!$A$3:$H$24,6,FALSE),0)*P52,0)</f>
        <v>0</v>
      </c>
      <c r="W52" s="386">
        <f>IF(AND(COUNTBLANK('3B-Prestaties vloeren'!$F$3:$H$24)=0,COUNTBLANK('3B-Prestaties vloeren'!$L$3:$M$24)=0),IF(R52="sproei-extractie",I52/VLOOKUP(E52,'3B-Prestaties vloeren'!$A$3:$H$24,8,FALSE),0)*P52,0)</f>
        <v>0</v>
      </c>
    </row>
    <row r="53" spans="1:23" ht="15" hidden="1">
      <c r="A53" s="378" t="s">
        <v>649</v>
      </c>
      <c r="B53" s="378" t="s">
        <v>650</v>
      </c>
      <c r="C53" s="378">
        <v>0</v>
      </c>
      <c r="D53" s="378" t="s">
        <v>319</v>
      </c>
      <c r="E53" s="378" t="s">
        <v>653</v>
      </c>
      <c r="F53" s="378" t="s">
        <v>647</v>
      </c>
      <c r="G53" s="378" t="str">
        <f>VLOOKUP(F53,'3B-Prestaties vloeren'!$A$28:$B$118,2,0)</f>
        <v>Hard onbehandeld</v>
      </c>
      <c r="H53" s="378" t="s">
        <v>330</v>
      </c>
      <c r="I53" s="378">
        <v>1.3</v>
      </c>
      <c r="J53" s="421" t="s">
        <v>511</v>
      </c>
      <c r="K53" s="426">
        <v>255</v>
      </c>
      <c r="L53" s="378">
        <f t="shared" si="0"/>
        <v>331.5</v>
      </c>
      <c r="M53" s="380" t="str">
        <f>IF(K53=0,0,IF(COUNTBLANK('3A-Prestatie'!$B$2:$I$22)=0,L53/VLOOKUP(E53,'3A-Prestatie'!$A$1:$M$22,VLOOKUP(K53,'3A-Prestatie'!$A$28:$B$34,2,FALSE),FALSE),"3A prestatie invullen"))</f>
        <v>3A prestatie invullen</v>
      </c>
      <c r="N53" s="380">
        <f t="shared" si="2"/>
        <v>0</v>
      </c>
      <c r="O53" s="381" t="str">
        <f>VLOOKUP(E53,'3A-Prestatie'!A:M,13,FALSE)</f>
        <v>S</v>
      </c>
      <c r="P53" s="382">
        <f>IF(R53="Niet van toepassing",0,VLOOKUP(E53,'3B-Prestaties vloeren'!$A$3:$D$24,IF(G53="Hard onbehandeld",2,IF(G53="Hard behandeld",3,4)),FALSE))</f>
        <v>52</v>
      </c>
      <c r="Q53" s="383">
        <f t="shared" si="1"/>
        <v>0</v>
      </c>
      <c r="R53" s="384" t="str">
        <f>IF(K53=0,"Niet van toepassing",IF(G53='3B-Prestaties vloeren'!$B$2,"Schrobben",IF(G53='3B-Prestaties vloeren'!$C$2,"Sprayen/conserveren",IF(G53='3B-Prestaties vloeren'!$D$2,"Sproei-extractie",0))))</f>
        <v>Schrobben</v>
      </c>
      <c r="S53" s="385">
        <f>IF('2-Tarieven'!$B$28=0,0,IF(M53=0,0,'2-Tarieven'!$B$28*M53))</f>
        <v>0</v>
      </c>
      <c r="T53" s="386">
        <f>IF(AND(COUNTBLANK('3B-Prestaties vloeren'!$F$3:$H$24)=0,COUNTBLANK('3B-Prestaties vloeren'!$L$3:$M$24)=0),IF(R53="Sprayen/conserveren",I53/VLOOKUP(E53,'3B-Prestaties vloeren'!$A$3:$M$24,12,FALSE),0)*(P53-1),0)</f>
        <v>0</v>
      </c>
      <c r="U53" s="386">
        <f>IF(AND(COUNTBLANK('3B-Prestaties vloeren'!$F$3:$H$24)=0,COUNTBLANK('3B-Prestaties vloeren'!$L$3:$M$24)=0),IF(R53="Sprayen/conserveren",I53/VLOOKUP(E53,'3B-Prestaties vloeren'!$A$3:$M$24,13,FALSE),0),0)</f>
        <v>0</v>
      </c>
      <c r="V53" s="386">
        <f>IF(AND(COUNTBLANK('3B-Prestaties vloeren'!$F$3:$H$24)=0,COUNTBLANK('3B-Prestaties vloeren'!$L$3:$M$24)=0),IF(R53="schrobben",I53/VLOOKUP(E53,'3B-Prestaties vloeren'!$A$3:$H$24,6,FALSE),0)*P53,0)</f>
        <v>0</v>
      </c>
      <c r="W53" s="386">
        <f>IF(AND(COUNTBLANK('3B-Prestaties vloeren'!$F$3:$H$24)=0,COUNTBLANK('3B-Prestaties vloeren'!$L$3:$M$24)=0),IF(R53="sproei-extractie",I53/VLOOKUP(E53,'3B-Prestaties vloeren'!$A$3:$H$24,8,FALSE),0)*P53,0)</f>
        <v>0</v>
      </c>
    </row>
    <row r="54" spans="1:23" ht="15" hidden="1">
      <c r="A54" s="378" t="s">
        <v>649</v>
      </c>
      <c r="B54" s="378" t="s">
        <v>650</v>
      </c>
      <c r="C54" s="378">
        <v>0</v>
      </c>
      <c r="D54" s="378" t="s">
        <v>320</v>
      </c>
      <c r="E54" s="378" t="s">
        <v>5</v>
      </c>
      <c r="F54" s="378" t="s">
        <v>64</v>
      </c>
      <c r="G54" s="378" t="str">
        <f>VLOOKUP(F54,'3B-Prestaties vloeren'!$A$28:$B$118,2,0)</f>
        <v>Hard behandeld</v>
      </c>
      <c r="H54" s="378"/>
      <c r="I54" s="378">
        <v>16.2</v>
      </c>
      <c r="J54" s="420" t="s">
        <v>749</v>
      </c>
      <c r="K54" s="426">
        <v>52</v>
      </c>
      <c r="L54" s="378">
        <f t="shared" si="0"/>
        <v>842.4</v>
      </c>
      <c r="M54" s="380" t="str">
        <f>IF(K54=0,0,IF(COUNTBLANK('3A-Prestatie'!$B$2:$I$22)=0,L54/VLOOKUP(E54,'3A-Prestatie'!$A$1:$M$22,VLOOKUP(K54,'3A-Prestatie'!$A$28:$B$34,2,FALSE),FALSE),"3A prestatie invullen"))</f>
        <v>3A prestatie invullen</v>
      </c>
      <c r="N54" s="380">
        <f t="shared" si="2"/>
        <v>0</v>
      </c>
      <c r="O54" s="381" t="str">
        <f>VLOOKUP(E54,'3A-Prestatie'!A:M,13,FALSE)</f>
        <v>B</v>
      </c>
      <c r="P54" s="382">
        <f>IF(R54="Niet van toepassing",0,VLOOKUP(E54,'3B-Prestaties vloeren'!$A$3:$D$24,IF(G54="Hard onbehandeld",2,IF(G54="Hard behandeld",3,4)),FALSE))</f>
        <v>4</v>
      </c>
      <c r="Q54" s="383">
        <f t="shared" si="1"/>
        <v>0</v>
      </c>
      <c r="R54" s="384" t="str">
        <f>IF(K54=0,"Niet van toepassing",IF(G54='3B-Prestaties vloeren'!$B$2,"Schrobben",IF(G54='3B-Prestaties vloeren'!$C$2,"Sprayen/conserveren",IF(G54='3B-Prestaties vloeren'!$D$2,"Sproei-extractie",0))))</f>
        <v>Sprayen/conserveren</v>
      </c>
      <c r="S54" s="385">
        <f>IF('2-Tarieven'!$B$28=0,0,IF(M54=0,0,'2-Tarieven'!$B$28*M54))</f>
        <v>0</v>
      </c>
      <c r="T54" s="386">
        <f>IF(AND(COUNTBLANK('3B-Prestaties vloeren'!$F$3:$H$24)=0,COUNTBLANK('3B-Prestaties vloeren'!$L$3:$M$24)=0),IF(R54="Sprayen/conserveren",I54/VLOOKUP(E54,'3B-Prestaties vloeren'!$A$3:$M$24,12,FALSE),0)*(P54-1),0)</f>
        <v>0</v>
      </c>
      <c r="U54" s="386">
        <f>IF(AND(COUNTBLANK('3B-Prestaties vloeren'!$F$3:$H$24)=0,COUNTBLANK('3B-Prestaties vloeren'!$L$3:$M$24)=0),IF(R54="Sprayen/conserveren",I54/VLOOKUP(E54,'3B-Prestaties vloeren'!$A$3:$M$24,13,FALSE),0),0)</f>
        <v>0</v>
      </c>
      <c r="V54" s="386">
        <f>IF(AND(COUNTBLANK('3B-Prestaties vloeren'!$F$3:$H$24)=0,COUNTBLANK('3B-Prestaties vloeren'!$L$3:$M$24)=0),IF(R54="schrobben",I54/VLOOKUP(E54,'3B-Prestaties vloeren'!$A$3:$H$24,6,FALSE),0)*P54,0)</f>
        <v>0</v>
      </c>
      <c r="W54" s="386">
        <f>IF(AND(COUNTBLANK('3B-Prestaties vloeren'!$F$3:$H$24)=0,COUNTBLANK('3B-Prestaties vloeren'!$L$3:$M$24)=0),IF(R54="sproei-extractie",I54/VLOOKUP(E54,'3B-Prestaties vloeren'!$A$3:$H$24,8,FALSE),0)*P54,0)</f>
        <v>0</v>
      </c>
    </row>
    <row r="55" spans="1:23" ht="15" hidden="1">
      <c r="A55" s="378" t="s">
        <v>649</v>
      </c>
      <c r="B55" s="378" t="s">
        <v>650</v>
      </c>
      <c r="C55" s="378">
        <v>0</v>
      </c>
      <c r="D55" s="378" t="s">
        <v>321</v>
      </c>
      <c r="E55" s="378" t="s">
        <v>286</v>
      </c>
      <c r="F55" s="378" t="s">
        <v>648</v>
      </c>
      <c r="G55" s="378" t="str">
        <f>VLOOKUP(F55,'3B-Prestaties vloeren'!$A$28:$B$118,2,0)</f>
        <v>Hard onbehandeld</v>
      </c>
      <c r="H55" s="378"/>
      <c r="I55" s="378">
        <v>1.8</v>
      </c>
      <c r="J55" s="420" t="s">
        <v>749</v>
      </c>
      <c r="K55" s="426">
        <v>52</v>
      </c>
      <c r="L55" s="378">
        <f t="shared" si="0"/>
        <v>93.600000000000009</v>
      </c>
      <c r="M55" s="380" t="str">
        <f>IF(K55=0,0,IF(COUNTBLANK('3A-Prestatie'!$B$2:$I$22)=0,L55/VLOOKUP(E55,'3A-Prestatie'!$A$1:$M$22,VLOOKUP(K55,'3A-Prestatie'!$A$28:$B$34,2,FALSE),FALSE),"3A prestatie invullen"))</f>
        <v>3A prestatie invullen</v>
      </c>
      <c r="N55" s="380">
        <f t="shared" si="2"/>
        <v>0</v>
      </c>
      <c r="O55" s="381" t="str">
        <f>VLOOKUP(E55,'3A-Prestatie'!A:M,13,FALSE)</f>
        <v>V</v>
      </c>
      <c r="P55" s="382">
        <f>IF(R55="Niet van toepassing",0,VLOOKUP(E55,'3B-Prestaties vloeren'!$A$3:$D$24,IF(G55="Hard onbehandeld",2,IF(G55="Hard behandeld",3,4)),FALSE))</f>
        <v>4</v>
      </c>
      <c r="Q55" s="383">
        <f t="shared" si="1"/>
        <v>0</v>
      </c>
      <c r="R55" s="384" t="str">
        <f>IF(K55=0,"Niet van toepassing",IF(G55='3B-Prestaties vloeren'!$B$2,"Schrobben",IF(G55='3B-Prestaties vloeren'!$C$2,"Sprayen/conserveren",IF(G55='3B-Prestaties vloeren'!$D$2,"Sproei-extractie",0))))</f>
        <v>Schrobben</v>
      </c>
      <c r="S55" s="385">
        <f>IF('2-Tarieven'!$B$28=0,0,IF(M55=0,0,'2-Tarieven'!$B$28*M55))</f>
        <v>0</v>
      </c>
      <c r="T55" s="386">
        <f>IF(AND(COUNTBLANK('3B-Prestaties vloeren'!$F$3:$H$24)=0,COUNTBLANK('3B-Prestaties vloeren'!$L$3:$M$24)=0),IF(R55="Sprayen/conserveren",I55/VLOOKUP(E55,'3B-Prestaties vloeren'!$A$3:$M$24,12,FALSE),0)*(P55-1),0)</f>
        <v>0</v>
      </c>
      <c r="U55" s="386">
        <f>IF(AND(COUNTBLANK('3B-Prestaties vloeren'!$F$3:$H$24)=0,COUNTBLANK('3B-Prestaties vloeren'!$L$3:$M$24)=0),IF(R55="Sprayen/conserveren",I55/VLOOKUP(E55,'3B-Prestaties vloeren'!$A$3:$M$24,13,FALSE),0),0)</f>
        <v>0</v>
      </c>
      <c r="V55" s="386">
        <f>IF(AND(COUNTBLANK('3B-Prestaties vloeren'!$F$3:$H$24)=0,COUNTBLANK('3B-Prestaties vloeren'!$L$3:$M$24)=0),IF(R55="schrobben",I55/VLOOKUP(E55,'3B-Prestaties vloeren'!$A$3:$H$24,6,FALSE),0)*P55,0)</f>
        <v>0</v>
      </c>
      <c r="W55" s="386">
        <f>IF(AND(COUNTBLANK('3B-Prestaties vloeren'!$F$3:$H$24)=0,COUNTBLANK('3B-Prestaties vloeren'!$L$3:$M$24)=0),IF(R55="sproei-extractie",I55/VLOOKUP(E55,'3B-Prestaties vloeren'!$A$3:$H$24,8,FALSE),0)*P55,0)</f>
        <v>0</v>
      </c>
    </row>
    <row r="56" spans="1:23" ht="15" hidden="1">
      <c r="A56" s="378" t="s">
        <v>649</v>
      </c>
      <c r="B56" s="378" t="s">
        <v>650</v>
      </c>
      <c r="C56" s="378">
        <v>1</v>
      </c>
      <c r="D56" s="378" t="s">
        <v>336</v>
      </c>
      <c r="E56" s="378" t="s">
        <v>341</v>
      </c>
      <c r="F56" s="378" t="s">
        <v>64</v>
      </c>
      <c r="G56" s="378" t="str">
        <f>VLOOKUP(F56,'3B-Prestaties vloeren'!$A$28:$B$118,2,0)</f>
        <v>Hard behandeld</v>
      </c>
      <c r="H56" s="378"/>
      <c r="I56" s="378">
        <v>81.5</v>
      </c>
      <c r="J56" s="420" t="s">
        <v>749</v>
      </c>
      <c r="K56" s="426">
        <v>52</v>
      </c>
      <c r="L56" s="378">
        <f t="shared" si="0"/>
        <v>4238</v>
      </c>
      <c r="M56" s="380" t="str">
        <f>IF(K56=0,0,IF(COUNTBLANK('3A-Prestatie'!$B$2:$I$22)=0,L56/VLOOKUP(E56,'3A-Prestatie'!$A$1:$M$22,VLOOKUP(K56,'3A-Prestatie'!$A$28:$B$34,2,FALSE),FALSE),"3A prestatie invullen"))</f>
        <v>3A prestatie invullen</v>
      </c>
      <c r="N56" s="380">
        <f t="shared" si="2"/>
        <v>0</v>
      </c>
      <c r="O56" s="381" t="str">
        <f>VLOOKUP(E56,'3A-Prestatie'!A:M,13,FALSE)</f>
        <v>V</v>
      </c>
      <c r="P56" s="382">
        <f>IF(R56="Niet van toepassing",0,VLOOKUP(E56,'3B-Prestaties vloeren'!$A$3:$D$24,IF(G56="Hard onbehandeld",2,IF(G56="Hard behandeld",3,4)),FALSE))</f>
        <v>4</v>
      </c>
      <c r="Q56" s="383">
        <f t="shared" si="1"/>
        <v>0</v>
      </c>
      <c r="R56" s="384" t="str">
        <f>IF(K56=0,"Niet van toepassing",IF(G56='3B-Prestaties vloeren'!$B$2,"Schrobben",IF(G56='3B-Prestaties vloeren'!$C$2,"Sprayen/conserveren",IF(G56='3B-Prestaties vloeren'!$D$2,"Sproei-extractie",0))))</f>
        <v>Sprayen/conserveren</v>
      </c>
      <c r="S56" s="385">
        <f>IF('2-Tarieven'!$B$28=0,0,IF(M56=0,0,'2-Tarieven'!$B$28*M56))</f>
        <v>0</v>
      </c>
      <c r="T56" s="386">
        <f>IF(AND(COUNTBLANK('3B-Prestaties vloeren'!$F$3:$H$24)=0,COUNTBLANK('3B-Prestaties vloeren'!$L$3:$M$24)=0),IF(R56="Sprayen/conserveren",I56/VLOOKUP(E56,'3B-Prestaties vloeren'!$A$3:$M$24,12,FALSE),0)*(P56-1),0)</f>
        <v>0</v>
      </c>
      <c r="U56" s="386">
        <f>IF(AND(COUNTBLANK('3B-Prestaties vloeren'!$F$3:$H$24)=0,COUNTBLANK('3B-Prestaties vloeren'!$L$3:$M$24)=0),IF(R56="Sprayen/conserveren",I56/VLOOKUP(E56,'3B-Prestaties vloeren'!$A$3:$M$24,13,FALSE),0),0)</f>
        <v>0</v>
      </c>
      <c r="V56" s="386">
        <f>IF(AND(COUNTBLANK('3B-Prestaties vloeren'!$F$3:$H$24)=0,COUNTBLANK('3B-Prestaties vloeren'!$L$3:$M$24)=0),IF(R56="schrobben",I56/VLOOKUP(E56,'3B-Prestaties vloeren'!$A$3:$H$24,6,FALSE),0)*P56,0)</f>
        <v>0</v>
      </c>
      <c r="W56" s="386">
        <f>IF(AND(COUNTBLANK('3B-Prestaties vloeren'!$F$3:$H$24)=0,COUNTBLANK('3B-Prestaties vloeren'!$L$3:$M$24)=0),IF(R56="sproei-extractie",I56/VLOOKUP(E56,'3B-Prestaties vloeren'!$A$3:$H$24,8,FALSE),0)*P56,0)</f>
        <v>0</v>
      </c>
    </row>
    <row r="57" spans="1:23" ht="15" hidden="1">
      <c r="A57" s="378" t="s">
        <v>649</v>
      </c>
      <c r="B57" s="378" t="s">
        <v>650</v>
      </c>
      <c r="C57" s="378">
        <v>1</v>
      </c>
      <c r="D57" s="378" t="s">
        <v>337</v>
      </c>
      <c r="E57" s="378" t="s">
        <v>728</v>
      </c>
      <c r="F57" s="378" t="s">
        <v>64</v>
      </c>
      <c r="G57" s="378" t="str">
        <f>VLOOKUP(F57,'3B-Prestaties vloeren'!$A$28:$B$118,2,0)</f>
        <v>Hard behandeld</v>
      </c>
      <c r="H57" s="378" t="s">
        <v>283</v>
      </c>
      <c r="I57" s="378">
        <v>32.5</v>
      </c>
      <c r="J57" s="419"/>
      <c r="K57" s="426">
        <v>0</v>
      </c>
      <c r="L57" s="378">
        <f t="shared" si="0"/>
        <v>0</v>
      </c>
      <c r="M57" s="380">
        <f>IF(K57=0,0,IF(COUNTBLANK('3A-Prestatie'!$B$2:$I$22)=0,L57/VLOOKUP(E57,'3A-Prestatie'!$A$1:$M$22,VLOOKUP(K57,'3A-Prestatie'!$A$28:$B$34,2,FALSE),FALSE),"3A prestatie invullen"))</f>
        <v>0</v>
      </c>
      <c r="N57" s="380">
        <f t="shared" si="2"/>
        <v>0</v>
      </c>
      <c r="O57" s="381" t="str">
        <f>VLOOKUP(E57,'3A-Prestatie'!A:M,13,FALSE)</f>
        <v>N.v.t.</v>
      </c>
      <c r="P57" s="382">
        <f>IF(R57="Niet van toepassing",0,VLOOKUP(E57,'3B-Prestaties vloeren'!$A$3:$D$24,IF(G57="Hard onbehandeld",2,IF(G57="Hard behandeld",3,4)),FALSE))</f>
        <v>0</v>
      </c>
      <c r="Q57" s="383">
        <f t="shared" si="1"/>
        <v>0</v>
      </c>
      <c r="R57" s="384" t="str">
        <f>IF(K57=0,"Niet van toepassing",IF(G57='3B-Prestaties vloeren'!$B$2,"Schrobben",IF(G57='3B-Prestaties vloeren'!$C$2,"Sprayen/conserveren",IF(G57='3B-Prestaties vloeren'!$D$2,"Sproei-extractie",0))))</f>
        <v>Niet van toepassing</v>
      </c>
      <c r="S57" s="385">
        <f>IF('2-Tarieven'!$B$28=0,0,IF(M57=0,0,'2-Tarieven'!$B$28*M57))</f>
        <v>0</v>
      </c>
      <c r="T57" s="386">
        <f>IF(AND(COUNTBLANK('3B-Prestaties vloeren'!$F$3:$H$24)=0,COUNTBLANK('3B-Prestaties vloeren'!$L$3:$M$24)=0),IF(R57="Sprayen/conserveren",I57/VLOOKUP(E57,'3B-Prestaties vloeren'!$A$3:$M$24,12,FALSE),0)*(P57-1),0)</f>
        <v>0</v>
      </c>
      <c r="U57" s="386">
        <f>IF(AND(COUNTBLANK('3B-Prestaties vloeren'!$F$3:$H$24)=0,COUNTBLANK('3B-Prestaties vloeren'!$L$3:$M$24)=0),IF(R57="Sprayen/conserveren",I57/VLOOKUP(E57,'3B-Prestaties vloeren'!$A$3:$M$24,13,FALSE),0),0)</f>
        <v>0</v>
      </c>
      <c r="V57" s="386">
        <f>IF(AND(COUNTBLANK('3B-Prestaties vloeren'!$F$3:$H$24)=0,COUNTBLANK('3B-Prestaties vloeren'!$L$3:$M$24)=0),IF(R57="schrobben",I57/VLOOKUP(E57,'3B-Prestaties vloeren'!$A$3:$H$24,6,FALSE),0)*P57,0)</f>
        <v>0</v>
      </c>
      <c r="W57" s="386">
        <f>IF(AND(COUNTBLANK('3B-Prestaties vloeren'!$F$3:$H$24)=0,COUNTBLANK('3B-Prestaties vloeren'!$L$3:$M$24)=0),IF(R57="sproei-extractie",I57/VLOOKUP(E57,'3B-Prestaties vloeren'!$A$3:$H$24,8,FALSE),0)*P57,0)</f>
        <v>0</v>
      </c>
    </row>
    <row r="58" spans="1:23" ht="15" hidden="1">
      <c r="A58" s="378" t="s">
        <v>649</v>
      </c>
      <c r="B58" s="378" t="s">
        <v>650</v>
      </c>
      <c r="C58" s="378">
        <v>1</v>
      </c>
      <c r="D58" s="378" t="s">
        <v>338</v>
      </c>
      <c r="E58" s="378" t="s">
        <v>653</v>
      </c>
      <c r="F58" s="378" t="s">
        <v>647</v>
      </c>
      <c r="G58" s="378" t="str">
        <f>VLOOKUP(F58,'3B-Prestaties vloeren'!$A$28:$B$118,2,0)</f>
        <v>Hard onbehandeld</v>
      </c>
      <c r="H58" s="378"/>
      <c r="I58" s="378">
        <v>7.7</v>
      </c>
      <c r="J58" s="421" t="s">
        <v>511</v>
      </c>
      <c r="K58" s="426">
        <v>255</v>
      </c>
      <c r="L58" s="378">
        <f t="shared" si="0"/>
        <v>1963.5</v>
      </c>
      <c r="M58" s="380" t="str">
        <f>IF(K58=0,0,IF(COUNTBLANK('3A-Prestatie'!$B$2:$I$22)=0,L58/VLOOKUP(E58,'3A-Prestatie'!$A$1:$M$22,VLOOKUP(K58,'3A-Prestatie'!$A$28:$B$34,2,FALSE),FALSE),"3A prestatie invullen"))</f>
        <v>3A prestatie invullen</v>
      </c>
      <c r="N58" s="380">
        <f t="shared" si="2"/>
        <v>0</v>
      </c>
      <c r="O58" s="381" t="str">
        <f>VLOOKUP(E58,'3A-Prestatie'!A:M,13,FALSE)</f>
        <v>S</v>
      </c>
      <c r="P58" s="382">
        <f>IF(R58="Niet van toepassing",0,VLOOKUP(E58,'3B-Prestaties vloeren'!$A$3:$D$24,IF(G58="Hard onbehandeld",2,IF(G58="Hard behandeld",3,4)),FALSE))</f>
        <v>52</v>
      </c>
      <c r="Q58" s="383">
        <f t="shared" si="1"/>
        <v>0</v>
      </c>
      <c r="R58" s="384" t="str">
        <f>IF(K58=0,"Niet van toepassing",IF(G58='3B-Prestaties vloeren'!$B$2,"Schrobben",IF(G58='3B-Prestaties vloeren'!$C$2,"Sprayen/conserveren",IF(G58='3B-Prestaties vloeren'!$D$2,"Sproei-extractie",0))))</f>
        <v>Schrobben</v>
      </c>
      <c r="S58" s="385">
        <f>IF('2-Tarieven'!$B$28=0,0,IF(M58=0,0,'2-Tarieven'!$B$28*M58))</f>
        <v>0</v>
      </c>
      <c r="T58" s="386">
        <f>IF(AND(COUNTBLANK('3B-Prestaties vloeren'!$F$3:$H$24)=0,COUNTBLANK('3B-Prestaties vloeren'!$L$3:$M$24)=0),IF(R58="Sprayen/conserveren",I58/VLOOKUP(E58,'3B-Prestaties vloeren'!$A$3:$M$24,12,FALSE),0)*(P58-1),0)</f>
        <v>0</v>
      </c>
      <c r="U58" s="386">
        <f>IF(AND(COUNTBLANK('3B-Prestaties vloeren'!$F$3:$H$24)=0,COUNTBLANK('3B-Prestaties vloeren'!$L$3:$M$24)=0),IF(R58="Sprayen/conserveren",I58/VLOOKUP(E58,'3B-Prestaties vloeren'!$A$3:$M$24,13,FALSE),0),0)</f>
        <v>0</v>
      </c>
      <c r="V58" s="386">
        <f>IF(AND(COUNTBLANK('3B-Prestaties vloeren'!$F$3:$H$24)=0,COUNTBLANK('3B-Prestaties vloeren'!$L$3:$M$24)=0),IF(R58="schrobben",I58/VLOOKUP(E58,'3B-Prestaties vloeren'!$A$3:$H$24,6,FALSE),0)*P58,0)</f>
        <v>0</v>
      </c>
      <c r="W58" s="386">
        <f>IF(AND(COUNTBLANK('3B-Prestaties vloeren'!$F$3:$H$24)=0,COUNTBLANK('3B-Prestaties vloeren'!$L$3:$M$24)=0),IF(R58="sproei-extractie",I58/VLOOKUP(E58,'3B-Prestaties vloeren'!$A$3:$H$24,8,FALSE),0)*P58,0)</f>
        <v>0</v>
      </c>
    </row>
    <row r="59" spans="1:23" ht="15" hidden="1">
      <c r="A59" s="378" t="s">
        <v>649</v>
      </c>
      <c r="B59" s="378" t="s">
        <v>650</v>
      </c>
      <c r="C59" s="378">
        <v>1</v>
      </c>
      <c r="D59" s="378" t="s">
        <v>339</v>
      </c>
      <c r="E59" s="378" t="s">
        <v>653</v>
      </c>
      <c r="F59" s="378" t="s">
        <v>647</v>
      </c>
      <c r="G59" s="378" t="str">
        <f>VLOOKUP(F59,'3B-Prestaties vloeren'!$A$28:$B$118,2,0)</f>
        <v>Hard onbehandeld</v>
      </c>
      <c r="H59" s="378" t="s">
        <v>330</v>
      </c>
      <c r="I59" s="378">
        <v>1</v>
      </c>
      <c r="J59" s="421" t="s">
        <v>511</v>
      </c>
      <c r="K59" s="426">
        <v>255</v>
      </c>
      <c r="L59" s="378">
        <f t="shared" si="0"/>
        <v>255</v>
      </c>
      <c r="M59" s="380" t="str">
        <f>IF(K59=0,0,IF(COUNTBLANK('3A-Prestatie'!$B$2:$I$22)=0,L59/VLOOKUP(E59,'3A-Prestatie'!$A$1:$M$22,VLOOKUP(K59,'3A-Prestatie'!$A$28:$B$34,2,FALSE),FALSE),"3A prestatie invullen"))</f>
        <v>3A prestatie invullen</v>
      </c>
      <c r="N59" s="380">
        <f t="shared" si="2"/>
        <v>0</v>
      </c>
      <c r="O59" s="381" t="str">
        <f>VLOOKUP(E59,'3A-Prestatie'!A:M,13,FALSE)</f>
        <v>S</v>
      </c>
      <c r="P59" s="382">
        <f>IF(R59="Niet van toepassing",0,VLOOKUP(E59,'3B-Prestaties vloeren'!$A$3:$D$24,IF(G59="Hard onbehandeld",2,IF(G59="Hard behandeld",3,4)),FALSE))</f>
        <v>52</v>
      </c>
      <c r="Q59" s="383">
        <f t="shared" si="1"/>
        <v>0</v>
      </c>
      <c r="R59" s="384" t="str">
        <f>IF(K59=0,"Niet van toepassing",IF(G59='3B-Prestaties vloeren'!$B$2,"Schrobben",IF(G59='3B-Prestaties vloeren'!$C$2,"Sprayen/conserveren",IF(G59='3B-Prestaties vloeren'!$D$2,"Sproei-extractie",0))))</f>
        <v>Schrobben</v>
      </c>
      <c r="S59" s="385">
        <f>IF('2-Tarieven'!$B$28=0,0,IF(M59=0,0,'2-Tarieven'!$B$28*M59))</f>
        <v>0</v>
      </c>
      <c r="T59" s="386">
        <f>IF(AND(COUNTBLANK('3B-Prestaties vloeren'!$F$3:$H$24)=0,COUNTBLANK('3B-Prestaties vloeren'!$L$3:$M$24)=0),IF(R59="Sprayen/conserveren",I59/VLOOKUP(E59,'3B-Prestaties vloeren'!$A$3:$M$24,12,FALSE),0)*(P59-1),0)</f>
        <v>0</v>
      </c>
      <c r="U59" s="386">
        <f>IF(AND(COUNTBLANK('3B-Prestaties vloeren'!$F$3:$H$24)=0,COUNTBLANK('3B-Prestaties vloeren'!$L$3:$M$24)=0),IF(R59="Sprayen/conserveren",I59/VLOOKUP(E59,'3B-Prestaties vloeren'!$A$3:$M$24,13,FALSE),0),0)</f>
        <v>0</v>
      </c>
      <c r="V59" s="386">
        <f>IF(AND(COUNTBLANK('3B-Prestaties vloeren'!$F$3:$H$24)=0,COUNTBLANK('3B-Prestaties vloeren'!$L$3:$M$24)=0),IF(R59="schrobben",I59/VLOOKUP(E59,'3B-Prestaties vloeren'!$A$3:$H$24,6,FALSE),0)*P59,0)</f>
        <v>0</v>
      </c>
      <c r="W59" s="386">
        <f>IF(AND(COUNTBLANK('3B-Prestaties vloeren'!$F$3:$H$24)=0,COUNTBLANK('3B-Prestaties vloeren'!$L$3:$M$24)=0),IF(R59="sproei-extractie",I59/VLOOKUP(E59,'3B-Prestaties vloeren'!$A$3:$H$24,8,FALSE),0)*P59,0)</f>
        <v>0</v>
      </c>
    </row>
    <row r="60" spans="1:23" ht="15" hidden="1">
      <c r="A60" s="378" t="s">
        <v>649</v>
      </c>
      <c r="B60" s="378" t="s">
        <v>650</v>
      </c>
      <c r="C60" s="378">
        <v>1</v>
      </c>
      <c r="D60" s="378" t="s">
        <v>340</v>
      </c>
      <c r="E60" s="378" t="s">
        <v>653</v>
      </c>
      <c r="F60" s="378" t="s">
        <v>647</v>
      </c>
      <c r="G60" s="378" t="str">
        <f>VLOOKUP(F60,'3B-Prestaties vloeren'!$A$28:$B$118,2,0)</f>
        <v>Hard onbehandeld</v>
      </c>
      <c r="H60" s="378" t="s">
        <v>330</v>
      </c>
      <c r="I60" s="378">
        <v>1.6</v>
      </c>
      <c r="J60" s="421" t="s">
        <v>511</v>
      </c>
      <c r="K60" s="426">
        <v>255</v>
      </c>
      <c r="L60" s="378">
        <f t="shared" si="0"/>
        <v>408</v>
      </c>
      <c r="M60" s="380" t="str">
        <f>IF(K60=0,0,IF(COUNTBLANK('3A-Prestatie'!$B$2:$I$22)=0,L60/VLOOKUP(E60,'3A-Prestatie'!$A$1:$M$22,VLOOKUP(K60,'3A-Prestatie'!$A$28:$B$34,2,FALSE),FALSE),"3A prestatie invullen"))</f>
        <v>3A prestatie invullen</v>
      </c>
      <c r="N60" s="380">
        <f t="shared" si="2"/>
        <v>0</v>
      </c>
      <c r="O60" s="381" t="str">
        <f>VLOOKUP(E60,'3A-Prestatie'!A:M,13,FALSE)</f>
        <v>S</v>
      </c>
      <c r="P60" s="382">
        <f>IF(R60="Niet van toepassing",0,VLOOKUP(E60,'3B-Prestaties vloeren'!$A$3:$D$24,IF(G60="Hard onbehandeld",2,IF(G60="Hard behandeld",3,4)),FALSE))</f>
        <v>52</v>
      </c>
      <c r="Q60" s="383">
        <f t="shared" si="1"/>
        <v>0</v>
      </c>
      <c r="R60" s="384" t="str">
        <f>IF(K60=0,"Niet van toepassing",IF(G60='3B-Prestaties vloeren'!$B$2,"Schrobben",IF(G60='3B-Prestaties vloeren'!$C$2,"Sprayen/conserveren",IF(G60='3B-Prestaties vloeren'!$D$2,"Sproei-extractie",0))))</f>
        <v>Schrobben</v>
      </c>
      <c r="S60" s="385">
        <f>IF('2-Tarieven'!$B$28=0,0,IF(M60=0,0,'2-Tarieven'!$B$28*M60))</f>
        <v>0</v>
      </c>
      <c r="T60" s="386">
        <f>IF(AND(COUNTBLANK('3B-Prestaties vloeren'!$F$3:$H$24)=0,COUNTBLANK('3B-Prestaties vloeren'!$L$3:$M$24)=0),IF(R60="Sprayen/conserveren",I60/VLOOKUP(E60,'3B-Prestaties vloeren'!$A$3:$M$24,12,FALSE),0)*(P60-1),0)</f>
        <v>0</v>
      </c>
      <c r="U60" s="386">
        <f>IF(AND(COUNTBLANK('3B-Prestaties vloeren'!$F$3:$H$24)=0,COUNTBLANK('3B-Prestaties vloeren'!$L$3:$M$24)=0),IF(R60="Sprayen/conserveren",I60/VLOOKUP(E60,'3B-Prestaties vloeren'!$A$3:$M$24,13,FALSE),0),0)</f>
        <v>0</v>
      </c>
      <c r="V60" s="386">
        <f>IF(AND(COUNTBLANK('3B-Prestaties vloeren'!$F$3:$H$24)=0,COUNTBLANK('3B-Prestaties vloeren'!$L$3:$M$24)=0),IF(R60="schrobben",I60/VLOOKUP(E60,'3B-Prestaties vloeren'!$A$3:$H$24,6,FALSE),0)*P60,0)</f>
        <v>0</v>
      </c>
      <c r="W60" s="386">
        <f>IF(AND(COUNTBLANK('3B-Prestaties vloeren'!$F$3:$H$24)=0,COUNTBLANK('3B-Prestaties vloeren'!$L$3:$M$24)=0),IF(R60="sproei-extractie",I60/VLOOKUP(E60,'3B-Prestaties vloeren'!$A$3:$H$24,8,FALSE),0)*P60,0)</f>
        <v>0</v>
      </c>
    </row>
    <row r="61" spans="1:23" ht="15" hidden="1">
      <c r="A61" s="378" t="s">
        <v>649</v>
      </c>
      <c r="B61" s="378" t="s">
        <v>650</v>
      </c>
      <c r="C61" s="378">
        <v>1</v>
      </c>
      <c r="D61" s="378" t="s">
        <v>342</v>
      </c>
      <c r="E61" s="378" t="s">
        <v>728</v>
      </c>
      <c r="F61" s="378" t="s">
        <v>647</v>
      </c>
      <c r="G61" s="378" t="str">
        <f>VLOOKUP(F61,'3B-Prestaties vloeren'!$A$28:$B$118,2,0)</f>
        <v>Hard onbehandeld</v>
      </c>
      <c r="H61" s="378" t="s">
        <v>283</v>
      </c>
      <c r="I61" s="378">
        <v>1.6</v>
      </c>
      <c r="J61" s="419"/>
      <c r="K61" s="426">
        <v>0</v>
      </c>
      <c r="L61" s="378">
        <f t="shared" si="0"/>
        <v>0</v>
      </c>
      <c r="M61" s="380">
        <f>IF(K61=0,0,IF(COUNTBLANK('3A-Prestatie'!$B$2:$I$22)=0,L61/VLOOKUP(E61,'3A-Prestatie'!$A$1:$M$22,VLOOKUP(K61,'3A-Prestatie'!$A$28:$B$34,2,FALSE),FALSE),"3A prestatie invullen"))</f>
        <v>0</v>
      </c>
      <c r="N61" s="380">
        <f t="shared" si="2"/>
        <v>0</v>
      </c>
      <c r="O61" s="381" t="str">
        <f>VLOOKUP(E61,'3A-Prestatie'!A:M,13,FALSE)</f>
        <v>N.v.t.</v>
      </c>
      <c r="P61" s="382">
        <f>IF(R61="Niet van toepassing",0,VLOOKUP(E61,'3B-Prestaties vloeren'!$A$3:$D$24,IF(G61="Hard onbehandeld",2,IF(G61="Hard behandeld",3,4)),FALSE))</f>
        <v>0</v>
      </c>
      <c r="Q61" s="383">
        <f t="shared" si="1"/>
        <v>0</v>
      </c>
      <c r="R61" s="384" t="str">
        <f>IF(K61=0,"Niet van toepassing",IF(G61='3B-Prestaties vloeren'!$B$2,"Schrobben",IF(G61='3B-Prestaties vloeren'!$C$2,"Sprayen/conserveren",IF(G61='3B-Prestaties vloeren'!$D$2,"Sproei-extractie",0))))</f>
        <v>Niet van toepassing</v>
      </c>
      <c r="S61" s="385">
        <f>IF('2-Tarieven'!$B$28=0,0,IF(M61=0,0,'2-Tarieven'!$B$28*M61))</f>
        <v>0</v>
      </c>
      <c r="T61" s="386">
        <f>IF(AND(COUNTBLANK('3B-Prestaties vloeren'!$F$3:$H$24)=0,COUNTBLANK('3B-Prestaties vloeren'!$L$3:$M$24)=0),IF(R61="Sprayen/conserveren",I61/VLOOKUP(E61,'3B-Prestaties vloeren'!$A$3:$M$24,12,FALSE),0)*(P61-1),0)</f>
        <v>0</v>
      </c>
      <c r="U61" s="386">
        <f>IF(AND(COUNTBLANK('3B-Prestaties vloeren'!$F$3:$H$24)=0,COUNTBLANK('3B-Prestaties vloeren'!$L$3:$M$24)=0),IF(R61="Sprayen/conserveren",I61/VLOOKUP(E61,'3B-Prestaties vloeren'!$A$3:$M$24,13,FALSE),0),0)</f>
        <v>0</v>
      </c>
      <c r="V61" s="386">
        <f>IF(AND(COUNTBLANK('3B-Prestaties vloeren'!$F$3:$H$24)=0,COUNTBLANK('3B-Prestaties vloeren'!$L$3:$M$24)=0),IF(R61="schrobben",I61/VLOOKUP(E61,'3B-Prestaties vloeren'!$A$3:$H$24,6,FALSE),0)*P61,0)</f>
        <v>0</v>
      </c>
      <c r="W61" s="386">
        <f>IF(AND(COUNTBLANK('3B-Prestaties vloeren'!$F$3:$H$24)=0,COUNTBLANK('3B-Prestaties vloeren'!$L$3:$M$24)=0),IF(R61="sproei-extractie",I61/VLOOKUP(E61,'3B-Prestaties vloeren'!$A$3:$H$24,8,FALSE),0)*P61,0)</f>
        <v>0</v>
      </c>
    </row>
    <row r="62" spans="1:23" ht="15" hidden="1">
      <c r="A62" s="378" t="s">
        <v>649</v>
      </c>
      <c r="B62" s="378" t="s">
        <v>650</v>
      </c>
      <c r="C62" s="378">
        <v>1</v>
      </c>
      <c r="D62" s="378" t="s">
        <v>343</v>
      </c>
      <c r="E62" s="378" t="s">
        <v>1</v>
      </c>
      <c r="F62" s="378" t="s">
        <v>647</v>
      </c>
      <c r="G62" s="378" t="str">
        <f>VLOOKUP(F62,'3B-Prestaties vloeren'!$A$28:$B$118,2,0)</f>
        <v>Hard onbehandeld</v>
      </c>
      <c r="H62" s="378"/>
      <c r="I62" s="378">
        <v>24.9</v>
      </c>
      <c r="J62" s="421" t="s">
        <v>511</v>
      </c>
      <c r="K62" s="426">
        <v>52</v>
      </c>
      <c r="L62" s="378">
        <f t="shared" si="0"/>
        <v>1294.8</v>
      </c>
      <c r="M62" s="380" t="str">
        <f>IF(K62=0,0,IF(COUNTBLANK('3A-Prestatie'!$B$2:$I$22)=0,L62/VLOOKUP(E62,'3A-Prestatie'!$A$1:$M$22,VLOOKUP(K62,'3A-Prestatie'!$A$28:$B$34,2,FALSE),FALSE),"3A prestatie invullen"))</f>
        <v>3A prestatie invullen</v>
      </c>
      <c r="N62" s="380">
        <f t="shared" si="2"/>
        <v>0</v>
      </c>
      <c r="O62" s="381" t="str">
        <f>VLOOKUP(E62,'3A-Prestatie'!A:M,13,FALSE)</f>
        <v>S</v>
      </c>
      <c r="P62" s="382">
        <v>12</v>
      </c>
      <c r="Q62" s="383">
        <f t="shared" si="1"/>
        <v>0</v>
      </c>
      <c r="R62" s="384" t="str">
        <f>IF(K62=0,"Niet van toepassing",IF(G62='3B-Prestaties vloeren'!$B$2,"Schrobben",IF(G62='3B-Prestaties vloeren'!$C$2,"Sprayen/conserveren",IF(G62='3B-Prestaties vloeren'!$D$2,"Sproei-extractie",0))))</f>
        <v>Schrobben</v>
      </c>
      <c r="S62" s="385">
        <f>IF('2-Tarieven'!$B$28=0,0,IF(M62=0,0,'2-Tarieven'!$B$28*M62))</f>
        <v>0</v>
      </c>
      <c r="T62" s="386">
        <f>IF(AND(COUNTBLANK('3B-Prestaties vloeren'!$F$3:$H$24)=0,COUNTBLANK('3B-Prestaties vloeren'!$L$3:$M$24)=0),IF(R62="Sprayen/conserveren",I62/VLOOKUP(E62,'3B-Prestaties vloeren'!$A$3:$M$24,12,FALSE),0)*(P62-1),0)</f>
        <v>0</v>
      </c>
      <c r="U62" s="386">
        <f>IF(AND(COUNTBLANK('3B-Prestaties vloeren'!$F$3:$H$24)=0,COUNTBLANK('3B-Prestaties vloeren'!$L$3:$M$24)=0),IF(R62="Sprayen/conserveren",I62/VLOOKUP(E62,'3B-Prestaties vloeren'!$A$3:$M$24,13,FALSE),0),0)</f>
        <v>0</v>
      </c>
      <c r="V62" s="386">
        <f>IF(AND(COUNTBLANK('3B-Prestaties vloeren'!$F$3:$H$24)=0,COUNTBLANK('3B-Prestaties vloeren'!$L$3:$M$24)=0),IF(R62="schrobben",I62/VLOOKUP(E62,'3B-Prestaties vloeren'!$A$3:$H$24,6,FALSE),0)*P62,0)</f>
        <v>0</v>
      </c>
      <c r="W62" s="386">
        <f>IF(AND(COUNTBLANK('3B-Prestaties vloeren'!$F$3:$H$24)=0,COUNTBLANK('3B-Prestaties vloeren'!$L$3:$M$24)=0),IF(R62="sproei-extractie",I62/VLOOKUP(E62,'3B-Prestaties vloeren'!$A$3:$H$24,8,FALSE),0)*P62,0)</f>
        <v>0</v>
      </c>
    </row>
    <row r="63" spans="1:23" ht="15" hidden="1">
      <c r="A63" s="378" t="s">
        <v>649</v>
      </c>
      <c r="B63" s="378" t="s">
        <v>650</v>
      </c>
      <c r="C63" s="378">
        <v>1</v>
      </c>
      <c r="D63" s="378" t="s">
        <v>7</v>
      </c>
      <c r="E63" s="378" t="s">
        <v>728</v>
      </c>
      <c r="F63" s="378" t="s">
        <v>647</v>
      </c>
      <c r="G63" s="378" t="str">
        <f>VLOOKUP(F63,'3B-Prestaties vloeren'!$A$28:$B$118,2,0)</f>
        <v>Hard onbehandeld</v>
      </c>
      <c r="H63" s="378" t="s">
        <v>283</v>
      </c>
      <c r="I63" s="378">
        <v>4.2</v>
      </c>
      <c r="J63" s="419"/>
      <c r="K63" s="426">
        <v>0</v>
      </c>
      <c r="L63" s="378">
        <f t="shared" si="0"/>
        <v>0</v>
      </c>
      <c r="M63" s="380">
        <f>IF(K63=0,0,IF(COUNTBLANK('3A-Prestatie'!$B$2:$I$22)=0,L63/VLOOKUP(E63,'3A-Prestatie'!$A$1:$M$22,VLOOKUP(K63,'3A-Prestatie'!$A$28:$B$34,2,FALSE),FALSE),"3A prestatie invullen"))</f>
        <v>0</v>
      </c>
      <c r="N63" s="380">
        <f t="shared" si="2"/>
        <v>0</v>
      </c>
      <c r="O63" s="381" t="str">
        <f>VLOOKUP(E63,'3A-Prestatie'!A:M,13,FALSE)</f>
        <v>N.v.t.</v>
      </c>
      <c r="P63" s="382">
        <f>IF(R63="Niet van toepassing",0,VLOOKUP(E63,'3B-Prestaties vloeren'!$A$3:$D$24,IF(G63="Hard onbehandeld",2,IF(G63="Hard behandeld",3,4)),FALSE))</f>
        <v>0</v>
      </c>
      <c r="Q63" s="383">
        <f t="shared" si="1"/>
        <v>0</v>
      </c>
      <c r="R63" s="384" t="str">
        <f>IF(K63=0,"Niet van toepassing",IF(G63='3B-Prestaties vloeren'!$B$2,"Schrobben",IF(G63='3B-Prestaties vloeren'!$C$2,"Sprayen/conserveren",IF(G63='3B-Prestaties vloeren'!$D$2,"Sproei-extractie",0))))</f>
        <v>Niet van toepassing</v>
      </c>
      <c r="S63" s="385">
        <f>IF('2-Tarieven'!$B$28=0,0,IF(M63=0,0,'2-Tarieven'!$B$28*M63))</f>
        <v>0</v>
      </c>
      <c r="T63" s="386">
        <f>IF(AND(COUNTBLANK('3B-Prestaties vloeren'!$F$3:$H$24)=0,COUNTBLANK('3B-Prestaties vloeren'!$L$3:$M$24)=0),IF(R63="Sprayen/conserveren",I63/VLOOKUP(E63,'3B-Prestaties vloeren'!$A$3:$M$24,12,FALSE),0)*(P63-1),0)</f>
        <v>0</v>
      </c>
      <c r="U63" s="386">
        <f>IF(AND(COUNTBLANK('3B-Prestaties vloeren'!$F$3:$H$24)=0,COUNTBLANK('3B-Prestaties vloeren'!$L$3:$M$24)=0),IF(R63="Sprayen/conserveren",I63/VLOOKUP(E63,'3B-Prestaties vloeren'!$A$3:$M$24,13,FALSE),0),0)</f>
        <v>0</v>
      </c>
      <c r="V63" s="386">
        <f>IF(AND(COUNTBLANK('3B-Prestaties vloeren'!$F$3:$H$24)=0,COUNTBLANK('3B-Prestaties vloeren'!$L$3:$M$24)=0),IF(R63="schrobben",I63/VLOOKUP(E63,'3B-Prestaties vloeren'!$A$3:$H$24,6,FALSE),0)*P63,0)</f>
        <v>0</v>
      </c>
      <c r="W63" s="386">
        <f>IF(AND(COUNTBLANK('3B-Prestaties vloeren'!$F$3:$H$24)=0,COUNTBLANK('3B-Prestaties vloeren'!$L$3:$M$24)=0),IF(R63="sproei-extractie",I63/VLOOKUP(E63,'3B-Prestaties vloeren'!$A$3:$H$24,8,FALSE),0)*P63,0)</f>
        <v>0</v>
      </c>
    </row>
    <row r="64" spans="1:23" ht="15" hidden="1">
      <c r="A64" s="378" t="s">
        <v>649</v>
      </c>
      <c r="B64" s="378" t="s">
        <v>650</v>
      </c>
      <c r="C64" s="378">
        <v>1</v>
      </c>
      <c r="D64" s="378" t="s">
        <v>344</v>
      </c>
      <c r="E64" s="378" t="s">
        <v>728</v>
      </c>
      <c r="F64" s="378" t="s">
        <v>647</v>
      </c>
      <c r="G64" s="378" t="str">
        <f>VLOOKUP(F64,'3B-Prestaties vloeren'!$A$28:$B$118,2,0)</f>
        <v>Hard onbehandeld</v>
      </c>
      <c r="H64" s="378" t="s">
        <v>287</v>
      </c>
      <c r="I64" s="378">
        <v>0.88</v>
      </c>
      <c r="J64" s="419"/>
      <c r="K64" s="426">
        <v>0</v>
      </c>
      <c r="L64" s="378">
        <f t="shared" si="0"/>
        <v>0</v>
      </c>
      <c r="M64" s="380">
        <f>IF(K64=0,0,IF(COUNTBLANK('3A-Prestatie'!$B$2:$I$22)=0,L64/VLOOKUP(E64,'3A-Prestatie'!$A$1:$M$22,VLOOKUP(K64,'3A-Prestatie'!$A$28:$B$34,2,FALSE),FALSE),"3A prestatie invullen"))</f>
        <v>0</v>
      </c>
      <c r="N64" s="380">
        <f t="shared" si="2"/>
        <v>0</v>
      </c>
      <c r="O64" s="381" t="str">
        <f>VLOOKUP(E64,'3A-Prestatie'!A:M,13,FALSE)</f>
        <v>N.v.t.</v>
      </c>
      <c r="P64" s="382">
        <f>IF(R64="Niet van toepassing",0,VLOOKUP(E64,'3B-Prestaties vloeren'!$A$3:$D$24,IF(G64="Hard onbehandeld",2,IF(G64="Hard behandeld",3,4)),FALSE))</f>
        <v>0</v>
      </c>
      <c r="Q64" s="383">
        <f t="shared" si="1"/>
        <v>0</v>
      </c>
      <c r="R64" s="384" t="str">
        <f>IF(K64=0,"Niet van toepassing",IF(G64='3B-Prestaties vloeren'!$B$2,"Schrobben",IF(G64='3B-Prestaties vloeren'!$C$2,"Sprayen/conserveren",IF(G64='3B-Prestaties vloeren'!$D$2,"Sproei-extractie",0))))</f>
        <v>Niet van toepassing</v>
      </c>
      <c r="S64" s="385">
        <f>IF('2-Tarieven'!$B$28=0,0,IF(M64=0,0,'2-Tarieven'!$B$28*M64))</f>
        <v>0</v>
      </c>
      <c r="T64" s="386">
        <f>IF(AND(COUNTBLANK('3B-Prestaties vloeren'!$F$3:$H$24)=0,COUNTBLANK('3B-Prestaties vloeren'!$L$3:$M$24)=0),IF(R64="Sprayen/conserveren",I64/VLOOKUP(E64,'3B-Prestaties vloeren'!$A$3:$M$24,12,FALSE),0)*(P64-1),0)</f>
        <v>0</v>
      </c>
      <c r="U64" s="386">
        <f>IF(AND(COUNTBLANK('3B-Prestaties vloeren'!$F$3:$H$24)=0,COUNTBLANK('3B-Prestaties vloeren'!$L$3:$M$24)=0),IF(R64="Sprayen/conserveren",I64/VLOOKUP(E64,'3B-Prestaties vloeren'!$A$3:$M$24,13,FALSE),0),0)</f>
        <v>0</v>
      </c>
      <c r="V64" s="386">
        <f>IF(AND(COUNTBLANK('3B-Prestaties vloeren'!$F$3:$H$24)=0,COUNTBLANK('3B-Prestaties vloeren'!$L$3:$M$24)=0),IF(R64="schrobben",I64/VLOOKUP(E64,'3B-Prestaties vloeren'!$A$3:$H$24,6,FALSE),0)*P64,0)</f>
        <v>0</v>
      </c>
      <c r="W64" s="386">
        <f>IF(AND(COUNTBLANK('3B-Prestaties vloeren'!$F$3:$H$24)=0,COUNTBLANK('3B-Prestaties vloeren'!$L$3:$M$24)=0),IF(R64="sproei-extractie",I64/VLOOKUP(E64,'3B-Prestaties vloeren'!$A$3:$H$24,8,FALSE),0)*P64,0)</f>
        <v>0</v>
      </c>
    </row>
    <row r="65" spans="1:23" ht="15" hidden="1">
      <c r="A65" s="378" t="s">
        <v>649</v>
      </c>
      <c r="B65" s="378" t="s">
        <v>650</v>
      </c>
      <c r="C65" s="378">
        <v>1</v>
      </c>
      <c r="D65" s="378" t="s">
        <v>345</v>
      </c>
      <c r="E65" s="378" t="s">
        <v>728</v>
      </c>
      <c r="F65" s="378" t="s">
        <v>648</v>
      </c>
      <c r="G65" s="378" t="str">
        <f>VLOOKUP(F65,'3B-Prestaties vloeren'!$A$28:$B$118,2,0)</f>
        <v>Hard onbehandeld</v>
      </c>
      <c r="H65" s="378" t="s">
        <v>287</v>
      </c>
      <c r="I65" s="378">
        <v>16.2</v>
      </c>
      <c r="J65" s="419"/>
      <c r="K65" s="426">
        <v>0</v>
      </c>
      <c r="L65" s="378">
        <f t="shared" si="0"/>
        <v>0</v>
      </c>
      <c r="M65" s="380">
        <f>IF(K65=0,0,IF(COUNTBLANK('3A-Prestatie'!$B$2:$I$22)=0,L65/VLOOKUP(E65,'3A-Prestatie'!$A$1:$M$22,VLOOKUP(K65,'3A-Prestatie'!$A$28:$B$34,2,FALSE),FALSE),"3A prestatie invullen"))</f>
        <v>0</v>
      </c>
      <c r="N65" s="380">
        <f t="shared" si="2"/>
        <v>0</v>
      </c>
      <c r="O65" s="381" t="str">
        <f>VLOOKUP(E65,'3A-Prestatie'!A:M,13,FALSE)</f>
        <v>N.v.t.</v>
      </c>
      <c r="P65" s="382">
        <f>IF(R65="Niet van toepassing",0,VLOOKUP(E65,'3B-Prestaties vloeren'!$A$3:$D$24,IF(G65="Hard onbehandeld",2,IF(G65="Hard behandeld",3,4)),FALSE))</f>
        <v>0</v>
      </c>
      <c r="Q65" s="383">
        <f t="shared" si="1"/>
        <v>0</v>
      </c>
      <c r="R65" s="384" t="str">
        <f>IF(K65=0,"Niet van toepassing",IF(G65='3B-Prestaties vloeren'!$B$2,"Schrobben",IF(G65='3B-Prestaties vloeren'!$C$2,"Sprayen/conserveren",IF(G65='3B-Prestaties vloeren'!$D$2,"Sproei-extractie",0))))</f>
        <v>Niet van toepassing</v>
      </c>
      <c r="S65" s="385">
        <f>IF('2-Tarieven'!$B$28=0,0,IF(M65=0,0,'2-Tarieven'!$B$28*M65))</f>
        <v>0</v>
      </c>
      <c r="T65" s="386">
        <f>IF(AND(COUNTBLANK('3B-Prestaties vloeren'!$F$3:$H$24)=0,COUNTBLANK('3B-Prestaties vloeren'!$L$3:$M$24)=0),IF(R65="Sprayen/conserveren",I65/VLOOKUP(E65,'3B-Prestaties vloeren'!$A$3:$M$24,12,FALSE),0)*(P65-1),0)</f>
        <v>0</v>
      </c>
      <c r="U65" s="386">
        <f>IF(AND(COUNTBLANK('3B-Prestaties vloeren'!$F$3:$H$24)=0,COUNTBLANK('3B-Prestaties vloeren'!$L$3:$M$24)=0),IF(R65="Sprayen/conserveren",I65/VLOOKUP(E65,'3B-Prestaties vloeren'!$A$3:$M$24,13,FALSE),0),0)</f>
        <v>0</v>
      </c>
      <c r="V65" s="386">
        <f>IF(AND(COUNTBLANK('3B-Prestaties vloeren'!$F$3:$H$24)=0,COUNTBLANK('3B-Prestaties vloeren'!$L$3:$M$24)=0),IF(R65="schrobben",I65/VLOOKUP(E65,'3B-Prestaties vloeren'!$A$3:$H$24,6,FALSE),0)*P65,0)</f>
        <v>0</v>
      </c>
      <c r="W65" s="386">
        <f>IF(AND(COUNTBLANK('3B-Prestaties vloeren'!$F$3:$H$24)=0,COUNTBLANK('3B-Prestaties vloeren'!$L$3:$M$24)=0),IF(R65="sproei-extractie",I65/VLOOKUP(E65,'3B-Prestaties vloeren'!$A$3:$H$24,8,FALSE),0)*P65,0)</f>
        <v>0</v>
      </c>
    </row>
    <row r="66" spans="1:23" ht="15" hidden="1">
      <c r="A66" s="378" t="s">
        <v>649</v>
      </c>
      <c r="B66" s="378" t="s">
        <v>650</v>
      </c>
      <c r="C66" s="378">
        <v>1</v>
      </c>
      <c r="D66" s="378" t="s">
        <v>346</v>
      </c>
      <c r="E66" s="378" t="s">
        <v>286</v>
      </c>
      <c r="F66" s="378" t="s">
        <v>64</v>
      </c>
      <c r="G66" s="378" t="str">
        <f>VLOOKUP(F66,'3B-Prestaties vloeren'!$A$28:$B$118,2,0)</f>
        <v>Hard behandeld</v>
      </c>
      <c r="H66" s="378"/>
      <c r="I66" s="378">
        <v>11.4</v>
      </c>
      <c r="J66" s="420" t="s">
        <v>749</v>
      </c>
      <c r="K66" s="426">
        <v>52</v>
      </c>
      <c r="L66" s="378">
        <f t="shared" ref="L66:L129" si="3">IF(K66=0,0,K66*I66)</f>
        <v>592.80000000000007</v>
      </c>
      <c r="M66" s="380" t="str">
        <f>IF(K66=0,0,IF(COUNTBLANK('3A-Prestatie'!$B$2:$I$22)=0,L66/VLOOKUP(E66,'3A-Prestatie'!$A$1:$M$22,VLOOKUP(K66,'3A-Prestatie'!$A$28:$B$34,2,FALSE),FALSE),"3A prestatie invullen"))</f>
        <v>3A prestatie invullen</v>
      </c>
      <c r="N66" s="380">
        <f t="shared" si="2"/>
        <v>0</v>
      </c>
      <c r="O66" s="381" t="str">
        <f>VLOOKUP(E66,'3A-Prestatie'!A:M,13,FALSE)</f>
        <v>V</v>
      </c>
      <c r="P66" s="382">
        <f>IF(R66="Niet van toepassing",0,VLOOKUP(E66,'3B-Prestaties vloeren'!$A$3:$D$24,IF(G66="Hard onbehandeld",2,IF(G66="Hard behandeld",3,4)),FALSE))</f>
        <v>4</v>
      </c>
      <c r="Q66" s="383">
        <f t="shared" ref="Q66:Q129" si="4">SUM(T66:W66)</f>
        <v>0</v>
      </c>
      <c r="R66" s="384" t="str">
        <f>IF(K66=0,"Niet van toepassing",IF(G66='3B-Prestaties vloeren'!$B$2,"Schrobben",IF(G66='3B-Prestaties vloeren'!$C$2,"Sprayen/conserveren",IF(G66='3B-Prestaties vloeren'!$D$2,"Sproei-extractie",0))))</f>
        <v>Sprayen/conserveren</v>
      </c>
      <c r="S66" s="385">
        <f>IF('2-Tarieven'!$B$28=0,0,IF(M66=0,0,'2-Tarieven'!$B$28*M66))</f>
        <v>0</v>
      </c>
      <c r="T66" s="386">
        <f>IF(AND(COUNTBLANK('3B-Prestaties vloeren'!$F$3:$H$24)=0,COUNTBLANK('3B-Prestaties vloeren'!$L$3:$M$24)=0),IF(R66="Sprayen/conserveren",I66/VLOOKUP(E66,'3B-Prestaties vloeren'!$A$3:$M$24,12,FALSE),0)*(P66-1),0)</f>
        <v>0</v>
      </c>
      <c r="U66" s="386">
        <f>IF(AND(COUNTBLANK('3B-Prestaties vloeren'!$F$3:$H$24)=0,COUNTBLANK('3B-Prestaties vloeren'!$L$3:$M$24)=0),IF(R66="Sprayen/conserveren",I66/VLOOKUP(E66,'3B-Prestaties vloeren'!$A$3:$M$24,13,FALSE),0),0)</f>
        <v>0</v>
      </c>
      <c r="V66" s="386">
        <f>IF(AND(COUNTBLANK('3B-Prestaties vloeren'!$F$3:$H$24)=0,COUNTBLANK('3B-Prestaties vloeren'!$L$3:$M$24)=0),IF(R66="schrobben",I66/VLOOKUP(E66,'3B-Prestaties vloeren'!$A$3:$H$24,6,FALSE),0)*P66,0)</f>
        <v>0</v>
      </c>
      <c r="W66" s="386">
        <f>IF(AND(COUNTBLANK('3B-Prestaties vloeren'!$F$3:$H$24)=0,COUNTBLANK('3B-Prestaties vloeren'!$L$3:$M$24)=0),IF(R66="sproei-extractie",I66/VLOOKUP(E66,'3B-Prestaties vloeren'!$A$3:$H$24,8,FALSE),0)*P66,0)</f>
        <v>0</v>
      </c>
    </row>
    <row r="67" spans="1:23" ht="15" hidden="1">
      <c r="A67" s="378" t="s">
        <v>654</v>
      </c>
      <c r="B67" s="378" t="s">
        <v>655</v>
      </c>
      <c r="C67" s="378">
        <v>0</v>
      </c>
      <c r="D67" s="378" t="s">
        <v>288</v>
      </c>
      <c r="E67" s="378" t="s">
        <v>334</v>
      </c>
      <c r="F67" s="378" t="s">
        <v>65</v>
      </c>
      <c r="G67" s="378" t="str">
        <f>VLOOKUP(F67,'3B-Prestaties vloeren'!$A$28:$B$118,2,0)</f>
        <v>Zacht onbehandeld</v>
      </c>
      <c r="H67" s="378"/>
      <c r="I67" s="378">
        <v>10.8</v>
      </c>
      <c r="J67" s="420" t="s">
        <v>749</v>
      </c>
      <c r="K67" s="426">
        <v>255</v>
      </c>
      <c r="L67" s="378">
        <f t="shared" si="3"/>
        <v>2754</v>
      </c>
      <c r="M67" s="380" t="str">
        <f>IF(K67=0,0,IF(COUNTBLANK('3A-Prestatie'!$B$2:$I$22)=0,L67/VLOOKUP(E67,'3A-Prestatie'!$A$1:$M$22,VLOOKUP(K67,'3A-Prestatie'!$A$28:$B$34,2,FALSE),FALSE),"3A prestatie invullen"))</f>
        <v>3A prestatie invullen</v>
      </c>
      <c r="N67" s="380">
        <f t="shared" ref="N67:N130" si="5">IF(M67="3A prestatie invullen",0,IF(K67&lt;&gt;0,L67/M67,0))</f>
        <v>0</v>
      </c>
      <c r="O67" s="381" t="str">
        <f>VLOOKUP(E67,'3A-Prestatie'!A:M,13,FALSE)</f>
        <v>V</v>
      </c>
      <c r="P67" s="382">
        <f>IF(R67="Niet van toepassing",0,VLOOKUP(E67,'3B-Prestaties vloeren'!$A$3:$D$24,IF(G67="Hard onbehandeld",2,IF(G67="Hard behandeld",3,4)),FALSE))</f>
        <v>1</v>
      </c>
      <c r="Q67" s="383">
        <f t="shared" si="4"/>
        <v>0</v>
      </c>
      <c r="R67" s="384" t="str">
        <f>IF(K67=0,"Niet van toepassing",IF(G67='3B-Prestaties vloeren'!$B$2,"Schrobben",IF(G67='3B-Prestaties vloeren'!$C$2,"Sprayen/conserveren",IF(G67='3B-Prestaties vloeren'!$D$2,"Sproei-extractie",0))))</f>
        <v>Sproei-extractie</v>
      </c>
      <c r="S67" s="385">
        <f>IF('2-Tarieven'!$B$28=0,0,IF(M67=0,0,'2-Tarieven'!$B$28*M67))</f>
        <v>0</v>
      </c>
      <c r="T67" s="386">
        <f>IF(AND(COUNTBLANK('3B-Prestaties vloeren'!$F$3:$H$24)=0,COUNTBLANK('3B-Prestaties vloeren'!$L$3:$M$24)=0),IF(R67="Sprayen/conserveren",I67/VLOOKUP(E67,'3B-Prestaties vloeren'!$A$3:$M$24,12,FALSE),0)*(P67-1),0)</f>
        <v>0</v>
      </c>
      <c r="U67" s="386">
        <f>IF(AND(COUNTBLANK('3B-Prestaties vloeren'!$F$3:$H$24)=0,COUNTBLANK('3B-Prestaties vloeren'!$L$3:$M$24)=0),IF(R67="Sprayen/conserveren",I67/VLOOKUP(E67,'3B-Prestaties vloeren'!$A$3:$M$24,13,FALSE),0),0)</f>
        <v>0</v>
      </c>
      <c r="V67" s="386">
        <f>IF(AND(COUNTBLANK('3B-Prestaties vloeren'!$F$3:$H$24)=0,COUNTBLANK('3B-Prestaties vloeren'!$L$3:$M$24)=0),IF(R67="schrobben",I67/VLOOKUP(E67,'3B-Prestaties vloeren'!$A$3:$H$24,6,FALSE),0)*P67,0)</f>
        <v>0</v>
      </c>
      <c r="W67" s="386">
        <f>IF(AND(COUNTBLANK('3B-Prestaties vloeren'!$F$3:$H$24)=0,COUNTBLANK('3B-Prestaties vloeren'!$L$3:$M$24)=0),IF(R67="sproei-extractie",I67/VLOOKUP(E67,'3B-Prestaties vloeren'!$A$3:$H$24,8,FALSE),0)*P67,0)</f>
        <v>0</v>
      </c>
    </row>
    <row r="68" spans="1:23" ht="15" hidden="1">
      <c r="A68" s="378" t="s">
        <v>654</v>
      </c>
      <c r="B68" s="378" t="s">
        <v>655</v>
      </c>
      <c r="C68" s="378">
        <v>0</v>
      </c>
      <c r="D68" s="378" t="s">
        <v>289</v>
      </c>
      <c r="E68" s="378" t="s">
        <v>285</v>
      </c>
      <c r="F68" s="378" t="s">
        <v>64</v>
      </c>
      <c r="G68" s="378" t="str">
        <f>VLOOKUP(F68,'3B-Prestaties vloeren'!$A$28:$B$118,2,0)</f>
        <v>Hard behandeld</v>
      </c>
      <c r="H68" s="378"/>
      <c r="I68" s="378">
        <v>28.9</v>
      </c>
      <c r="J68" s="420" t="s">
        <v>749</v>
      </c>
      <c r="K68" s="426">
        <v>52</v>
      </c>
      <c r="L68" s="378">
        <f t="shared" si="3"/>
        <v>1502.8</v>
      </c>
      <c r="M68" s="380" t="str">
        <f>IF(K68=0,0,IF(COUNTBLANK('3A-Prestatie'!$B$2:$I$22)=0,L68/VLOOKUP(E68,'3A-Prestatie'!$A$1:$M$22,VLOOKUP(K68,'3A-Prestatie'!$A$28:$B$34,2,FALSE),FALSE),"3A prestatie invullen"))</f>
        <v>3A prestatie invullen</v>
      </c>
      <c r="N68" s="380">
        <f t="shared" si="5"/>
        <v>0</v>
      </c>
      <c r="O68" s="381" t="str">
        <f>VLOOKUP(E68,'3A-Prestatie'!A:M,13,FALSE)</f>
        <v>V</v>
      </c>
      <c r="P68" s="382">
        <v>12</v>
      </c>
      <c r="Q68" s="383">
        <f t="shared" si="4"/>
        <v>0</v>
      </c>
      <c r="R68" s="384" t="str">
        <f>IF(K68=0,"Niet van toepassing",IF(G68='3B-Prestaties vloeren'!$B$2,"Schrobben",IF(G68='3B-Prestaties vloeren'!$C$2,"Sprayen/conserveren",IF(G68='3B-Prestaties vloeren'!$D$2,"Sproei-extractie",0))))</f>
        <v>Sprayen/conserveren</v>
      </c>
      <c r="S68" s="385">
        <f>IF('2-Tarieven'!$B$28=0,0,IF(M68=0,0,'2-Tarieven'!$B$28*M68))</f>
        <v>0</v>
      </c>
      <c r="T68" s="386">
        <f>IF(AND(COUNTBLANK('3B-Prestaties vloeren'!$F$3:$H$24)=0,COUNTBLANK('3B-Prestaties vloeren'!$L$3:$M$24)=0),IF(R68="Sprayen/conserveren",I68/VLOOKUP(E68,'3B-Prestaties vloeren'!$A$3:$M$24,12,FALSE),0)*(P68-1),0)</f>
        <v>0</v>
      </c>
      <c r="U68" s="386">
        <f>IF(AND(COUNTBLANK('3B-Prestaties vloeren'!$F$3:$H$24)=0,COUNTBLANK('3B-Prestaties vloeren'!$L$3:$M$24)=0),IF(R68="Sprayen/conserveren",I68/VLOOKUP(E68,'3B-Prestaties vloeren'!$A$3:$M$24,13,FALSE),0),0)</f>
        <v>0</v>
      </c>
      <c r="V68" s="386">
        <f>IF(AND(COUNTBLANK('3B-Prestaties vloeren'!$F$3:$H$24)=0,COUNTBLANK('3B-Prestaties vloeren'!$L$3:$M$24)=0),IF(R68="schrobben",I68/VLOOKUP(E68,'3B-Prestaties vloeren'!$A$3:$H$24,6,FALSE),0)*P68,0)</f>
        <v>0</v>
      </c>
      <c r="W68" s="386">
        <f>IF(AND(COUNTBLANK('3B-Prestaties vloeren'!$F$3:$H$24)=0,COUNTBLANK('3B-Prestaties vloeren'!$L$3:$M$24)=0),IF(R68="sproei-extractie",I68/VLOOKUP(E68,'3B-Prestaties vloeren'!$A$3:$H$24,8,FALSE),0)*P68,0)</f>
        <v>0</v>
      </c>
    </row>
    <row r="69" spans="1:23" ht="15" hidden="1">
      <c r="A69" s="378" t="s">
        <v>654</v>
      </c>
      <c r="B69" s="378" t="s">
        <v>655</v>
      </c>
      <c r="C69" s="378">
        <v>0</v>
      </c>
      <c r="D69" s="378" t="s">
        <v>496</v>
      </c>
      <c r="E69" s="378" t="s">
        <v>728</v>
      </c>
      <c r="F69" s="378" t="s">
        <v>266</v>
      </c>
      <c r="G69" s="378" t="str">
        <f>VLOOKUP(F69,'3B-Prestaties vloeren'!$A$28:$B$118,2,0)</f>
        <v>Hard behandeld</v>
      </c>
      <c r="H69" s="378" t="s">
        <v>656</v>
      </c>
      <c r="I69" s="378" t="s">
        <v>657</v>
      </c>
      <c r="J69" s="422"/>
      <c r="K69" s="426">
        <v>0</v>
      </c>
      <c r="L69" s="378">
        <f t="shared" si="3"/>
        <v>0</v>
      </c>
      <c r="M69" s="380">
        <f>IF(K69=0,0,IF(COUNTBLANK('3A-Prestatie'!$B$2:$I$22)=0,L69/VLOOKUP(E69,'3A-Prestatie'!$A$1:$M$22,VLOOKUP(K69,'3A-Prestatie'!$A$28:$B$34,2,FALSE),FALSE),"3A prestatie invullen"))</f>
        <v>0</v>
      </c>
      <c r="N69" s="380">
        <f t="shared" si="5"/>
        <v>0</v>
      </c>
      <c r="O69" s="381" t="str">
        <f>VLOOKUP(E69,'3A-Prestatie'!A:M,13,FALSE)</f>
        <v>N.v.t.</v>
      </c>
      <c r="P69" s="382">
        <f>IF(R69="Niet van toepassing",0,VLOOKUP(E69,'3B-Prestaties vloeren'!$A$3:$D$24,IF(G69="Hard onbehandeld",2,IF(G69="Hard behandeld",3,4)),FALSE))</f>
        <v>0</v>
      </c>
      <c r="Q69" s="383">
        <f t="shared" si="4"/>
        <v>0</v>
      </c>
      <c r="R69" s="384" t="str">
        <f>IF(K69=0,"Niet van toepassing",IF(G69='3B-Prestaties vloeren'!$B$2,"Schrobben",IF(G69='3B-Prestaties vloeren'!$C$2,"Sprayen/conserveren",IF(G69='3B-Prestaties vloeren'!$D$2,"Sproei-extractie",0))))</f>
        <v>Niet van toepassing</v>
      </c>
      <c r="S69" s="385">
        <f>IF('2-Tarieven'!$B$28=0,0,IF(M69=0,0,'2-Tarieven'!$B$28*M69))</f>
        <v>0</v>
      </c>
      <c r="T69" s="386">
        <f>IF(AND(COUNTBLANK('3B-Prestaties vloeren'!$F$3:$H$24)=0,COUNTBLANK('3B-Prestaties vloeren'!$L$3:$M$24)=0),IF(R69="Sprayen/conserveren",I69/VLOOKUP(E69,'3B-Prestaties vloeren'!$A$3:$M$24,12,FALSE),0)*(P69-1),0)</f>
        <v>0</v>
      </c>
      <c r="U69" s="386">
        <f>IF(AND(COUNTBLANK('3B-Prestaties vloeren'!$F$3:$H$24)=0,COUNTBLANK('3B-Prestaties vloeren'!$L$3:$M$24)=0),IF(R69="Sprayen/conserveren",I69/VLOOKUP(E69,'3B-Prestaties vloeren'!$A$3:$M$24,13,FALSE),0),0)</f>
        <v>0</v>
      </c>
      <c r="V69" s="386">
        <f>IF(AND(COUNTBLANK('3B-Prestaties vloeren'!$F$3:$H$24)=0,COUNTBLANK('3B-Prestaties vloeren'!$L$3:$M$24)=0),IF(R69="schrobben",I69/VLOOKUP(E69,'3B-Prestaties vloeren'!$A$3:$H$24,6,FALSE),0)*P69,0)</f>
        <v>0</v>
      </c>
      <c r="W69" s="386">
        <f>IF(AND(COUNTBLANK('3B-Prestaties vloeren'!$F$3:$H$24)=0,COUNTBLANK('3B-Prestaties vloeren'!$L$3:$M$24)=0),IF(R69="sproei-extractie",I69/VLOOKUP(E69,'3B-Prestaties vloeren'!$A$3:$H$24,8,FALSE),0)*P69,0)</f>
        <v>0</v>
      </c>
    </row>
    <row r="70" spans="1:23" ht="15" hidden="1">
      <c r="A70" s="378" t="s">
        <v>654</v>
      </c>
      <c r="B70" s="378" t="s">
        <v>655</v>
      </c>
      <c r="C70" s="378">
        <v>0</v>
      </c>
      <c r="D70" s="378" t="s">
        <v>290</v>
      </c>
      <c r="E70" s="378" t="s">
        <v>728</v>
      </c>
      <c r="F70" s="378" t="s">
        <v>648</v>
      </c>
      <c r="G70" s="378" t="str">
        <f>VLOOKUP(F70,'3B-Prestaties vloeren'!$A$28:$B$118,2,0)</f>
        <v>Hard onbehandeld</v>
      </c>
      <c r="H70" s="378" t="s">
        <v>287</v>
      </c>
      <c r="I70" s="378">
        <v>1</v>
      </c>
      <c r="J70" s="422"/>
      <c r="K70" s="426">
        <v>0</v>
      </c>
      <c r="L70" s="378">
        <f t="shared" si="3"/>
        <v>0</v>
      </c>
      <c r="M70" s="380">
        <f>IF(K70=0,0,IF(COUNTBLANK('3A-Prestatie'!$B$2:$I$22)=0,L70/VLOOKUP(E70,'3A-Prestatie'!$A$1:$M$22,VLOOKUP(K70,'3A-Prestatie'!$A$28:$B$34,2,FALSE),FALSE),"3A prestatie invullen"))</f>
        <v>0</v>
      </c>
      <c r="N70" s="380">
        <f t="shared" si="5"/>
        <v>0</v>
      </c>
      <c r="O70" s="381" t="str">
        <f>VLOOKUP(E70,'3A-Prestatie'!A:M,13,FALSE)</f>
        <v>N.v.t.</v>
      </c>
      <c r="P70" s="382">
        <f>IF(R70="Niet van toepassing",0,VLOOKUP(E70,'3B-Prestaties vloeren'!$A$3:$D$24,IF(G70="Hard onbehandeld",2,IF(G70="Hard behandeld",3,4)),FALSE))</f>
        <v>0</v>
      </c>
      <c r="Q70" s="383">
        <f t="shared" si="4"/>
        <v>0</v>
      </c>
      <c r="R70" s="384" t="str">
        <f>IF(K70=0,"Niet van toepassing",IF(G70='3B-Prestaties vloeren'!$B$2,"Schrobben",IF(G70='3B-Prestaties vloeren'!$C$2,"Sprayen/conserveren",IF(G70='3B-Prestaties vloeren'!$D$2,"Sproei-extractie",0))))</f>
        <v>Niet van toepassing</v>
      </c>
      <c r="S70" s="385">
        <f>IF('2-Tarieven'!$B$28=0,0,IF(M70=0,0,'2-Tarieven'!$B$28*M70))</f>
        <v>0</v>
      </c>
      <c r="T70" s="386">
        <f>IF(AND(COUNTBLANK('3B-Prestaties vloeren'!$F$3:$H$24)=0,COUNTBLANK('3B-Prestaties vloeren'!$L$3:$M$24)=0),IF(R70="Sprayen/conserveren",I70/VLOOKUP(E70,'3B-Prestaties vloeren'!$A$3:$M$24,12,FALSE),0)*(P70-1),0)</f>
        <v>0</v>
      </c>
      <c r="U70" s="386">
        <f>IF(AND(COUNTBLANK('3B-Prestaties vloeren'!$F$3:$H$24)=0,COUNTBLANK('3B-Prestaties vloeren'!$L$3:$M$24)=0),IF(R70="Sprayen/conserveren",I70/VLOOKUP(E70,'3B-Prestaties vloeren'!$A$3:$M$24,13,FALSE),0),0)</f>
        <v>0</v>
      </c>
      <c r="V70" s="386">
        <f>IF(AND(COUNTBLANK('3B-Prestaties vloeren'!$F$3:$H$24)=0,COUNTBLANK('3B-Prestaties vloeren'!$L$3:$M$24)=0),IF(R70="schrobben",I70/VLOOKUP(E70,'3B-Prestaties vloeren'!$A$3:$H$24,6,FALSE),0)*P70,0)</f>
        <v>0</v>
      </c>
      <c r="W70" s="386">
        <f>IF(AND(COUNTBLANK('3B-Prestaties vloeren'!$F$3:$H$24)=0,COUNTBLANK('3B-Prestaties vloeren'!$L$3:$M$24)=0),IF(R70="sproei-extractie",I70/VLOOKUP(E70,'3B-Prestaties vloeren'!$A$3:$H$24,8,FALSE),0)*P70,0)</f>
        <v>0</v>
      </c>
    </row>
    <row r="71" spans="1:23" ht="15" hidden="1">
      <c r="A71" s="378" t="s">
        <v>654</v>
      </c>
      <c r="B71" s="378" t="s">
        <v>655</v>
      </c>
      <c r="C71" s="378">
        <v>0</v>
      </c>
      <c r="D71" s="378" t="s">
        <v>291</v>
      </c>
      <c r="E71" s="378" t="s">
        <v>653</v>
      </c>
      <c r="F71" s="378" t="s">
        <v>647</v>
      </c>
      <c r="G71" s="378" t="str">
        <f>VLOOKUP(F71,'3B-Prestaties vloeren'!$A$28:$B$118,2,0)</f>
        <v>Hard onbehandeld</v>
      </c>
      <c r="H71" s="378"/>
      <c r="I71" s="378">
        <v>7.53</v>
      </c>
      <c r="J71" s="422"/>
      <c r="K71" s="426">
        <v>0</v>
      </c>
      <c r="L71" s="378">
        <f t="shared" si="3"/>
        <v>0</v>
      </c>
      <c r="M71" s="380">
        <f>IF(K71=0,0,IF(COUNTBLANK('3A-Prestatie'!$B$2:$I$22)=0,L71/VLOOKUP(E71,'3A-Prestatie'!$A$1:$M$22,VLOOKUP(K71,'3A-Prestatie'!$A$28:$B$34,2,FALSE),FALSE),"3A prestatie invullen"))</f>
        <v>0</v>
      </c>
      <c r="N71" s="380">
        <f t="shared" si="5"/>
        <v>0</v>
      </c>
      <c r="O71" s="381" t="str">
        <f>VLOOKUP(E71,'3A-Prestatie'!A:M,13,FALSE)</f>
        <v>S</v>
      </c>
      <c r="P71" s="382">
        <f>IF(R71="Niet van toepassing",0,VLOOKUP(E71,'3B-Prestaties vloeren'!$A$3:$D$24,IF(G71="Hard onbehandeld",2,IF(G71="Hard behandeld",3,4)),FALSE))</f>
        <v>0</v>
      </c>
      <c r="Q71" s="383">
        <f t="shared" si="4"/>
        <v>0</v>
      </c>
      <c r="R71" s="384" t="str">
        <f>IF(K71=0,"Niet van toepassing",IF(G71='3B-Prestaties vloeren'!$B$2,"Schrobben",IF(G71='3B-Prestaties vloeren'!$C$2,"Sprayen/conserveren",IF(G71='3B-Prestaties vloeren'!$D$2,"Sproei-extractie",0))))</f>
        <v>Niet van toepassing</v>
      </c>
      <c r="S71" s="385">
        <f>IF('2-Tarieven'!$B$28=0,0,IF(M71=0,0,'2-Tarieven'!$B$28*M71))</f>
        <v>0</v>
      </c>
      <c r="T71" s="386">
        <f>IF(AND(COUNTBLANK('3B-Prestaties vloeren'!$F$3:$H$24)=0,COUNTBLANK('3B-Prestaties vloeren'!$L$3:$M$24)=0),IF(R71="Sprayen/conserveren",I71/VLOOKUP(E71,'3B-Prestaties vloeren'!$A$3:$M$24,12,FALSE),0)*(P71-1),0)</f>
        <v>0</v>
      </c>
      <c r="U71" s="386">
        <f>IF(AND(COUNTBLANK('3B-Prestaties vloeren'!$F$3:$H$24)=0,COUNTBLANK('3B-Prestaties vloeren'!$L$3:$M$24)=0),IF(R71="Sprayen/conserveren",I71/VLOOKUP(E71,'3B-Prestaties vloeren'!$A$3:$M$24,13,FALSE),0),0)</f>
        <v>0</v>
      </c>
      <c r="V71" s="386">
        <f>IF(AND(COUNTBLANK('3B-Prestaties vloeren'!$F$3:$H$24)=0,COUNTBLANK('3B-Prestaties vloeren'!$L$3:$M$24)=0),IF(R71="schrobben",I71/VLOOKUP(E71,'3B-Prestaties vloeren'!$A$3:$H$24,6,FALSE),0)*P71,0)</f>
        <v>0</v>
      </c>
      <c r="W71" s="386">
        <f>IF(AND(COUNTBLANK('3B-Prestaties vloeren'!$F$3:$H$24)=0,COUNTBLANK('3B-Prestaties vloeren'!$L$3:$M$24)=0),IF(R71="sproei-extractie",I71/VLOOKUP(E71,'3B-Prestaties vloeren'!$A$3:$H$24,8,FALSE),0)*P71,0)</f>
        <v>0</v>
      </c>
    </row>
    <row r="72" spans="1:23" ht="15" hidden="1">
      <c r="A72" s="378" t="s">
        <v>654</v>
      </c>
      <c r="B72" s="378" t="s">
        <v>655</v>
      </c>
      <c r="C72" s="378">
        <v>0</v>
      </c>
      <c r="D72" s="378" t="s">
        <v>658</v>
      </c>
      <c r="E72" s="378" t="s">
        <v>728</v>
      </c>
      <c r="F72" s="378" t="s">
        <v>647</v>
      </c>
      <c r="G72" s="378" t="str">
        <f>VLOOKUP(F72,'3B-Prestaties vloeren'!$A$28:$B$118,2,0)</f>
        <v>Hard onbehandeld</v>
      </c>
      <c r="H72" s="378" t="s">
        <v>330</v>
      </c>
      <c r="I72" s="378" t="s">
        <v>657</v>
      </c>
      <c r="J72" s="422"/>
      <c r="K72" s="426">
        <v>0</v>
      </c>
      <c r="L72" s="378">
        <f t="shared" si="3"/>
        <v>0</v>
      </c>
      <c r="M72" s="380">
        <f>IF(K72=0,0,IF(COUNTBLANK('3A-Prestatie'!$B$2:$I$22)=0,L72/VLOOKUP(E72,'3A-Prestatie'!$A$1:$M$22,VLOOKUP(K72,'3A-Prestatie'!$A$28:$B$34,2,FALSE),FALSE),"3A prestatie invullen"))</f>
        <v>0</v>
      </c>
      <c r="N72" s="380">
        <f t="shared" si="5"/>
        <v>0</v>
      </c>
      <c r="O72" s="381" t="str">
        <f>VLOOKUP(E72,'3A-Prestatie'!A:M,13,FALSE)</f>
        <v>N.v.t.</v>
      </c>
      <c r="P72" s="382">
        <f>IF(R72="Niet van toepassing",0,VLOOKUP(E72,'3B-Prestaties vloeren'!$A$3:$D$24,IF(G72="Hard onbehandeld",2,IF(G72="Hard behandeld",3,4)),FALSE))</f>
        <v>0</v>
      </c>
      <c r="Q72" s="383">
        <f t="shared" si="4"/>
        <v>0</v>
      </c>
      <c r="R72" s="384" t="str">
        <f>IF(K72=0,"Niet van toepassing",IF(G72='3B-Prestaties vloeren'!$B$2,"Schrobben",IF(G72='3B-Prestaties vloeren'!$C$2,"Sprayen/conserveren",IF(G72='3B-Prestaties vloeren'!$D$2,"Sproei-extractie",0))))</f>
        <v>Niet van toepassing</v>
      </c>
      <c r="S72" s="385">
        <f>IF('2-Tarieven'!$B$28=0,0,IF(M72=0,0,'2-Tarieven'!$B$28*M72))</f>
        <v>0</v>
      </c>
      <c r="T72" s="386">
        <f>IF(AND(COUNTBLANK('3B-Prestaties vloeren'!$F$3:$H$24)=0,COUNTBLANK('3B-Prestaties vloeren'!$L$3:$M$24)=0),IF(R72="Sprayen/conserveren",I72/VLOOKUP(E72,'3B-Prestaties vloeren'!$A$3:$M$24,12,FALSE),0)*(P72-1),0)</f>
        <v>0</v>
      </c>
      <c r="U72" s="386">
        <f>IF(AND(COUNTBLANK('3B-Prestaties vloeren'!$F$3:$H$24)=0,COUNTBLANK('3B-Prestaties vloeren'!$L$3:$M$24)=0),IF(R72="Sprayen/conserveren",I72/VLOOKUP(E72,'3B-Prestaties vloeren'!$A$3:$M$24,13,FALSE),0),0)</f>
        <v>0</v>
      </c>
      <c r="V72" s="386">
        <f>IF(AND(COUNTBLANK('3B-Prestaties vloeren'!$F$3:$H$24)=0,COUNTBLANK('3B-Prestaties vloeren'!$L$3:$M$24)=0),IF(R72="schrobben",I72/VLOOKUP(E72,'3B-Prestaties vloeren'!$A$3:$H$24,6,FALSE),0)*P72,0)</f>
        <v>0</v>
      </c>
      <c r="W72" s="386">
        <f>IF(AND(COUNTBLANK('3B-Prestaties vloeren'!$F$3:$H$24)=0,COUNTBLANK('3B-Prestaties vloeren'!$L$3:$M$24)=0),IF(R72="sproei-extractie",I72/VLOOKUP(E72,'3B-Prestaties vloeren'!$A$3:$H$24,8,FALSE),0)*P72,0)</f>
        <v>0</v>
      </c>
    </row>
    <row r="73" spans="1:23" ht="15" hidden="1">
      <c r="A73" s="378" t="s">
        <v>654</v>
      </c>
      <c r="B73" s="378" t="s">
        <v>655</v>
      </c>
      <c r="C73" s="378">
        <v>0</v>
      </c>
      <c r="D73" s="378" t="s">
        <v>293</v>
      </c>
      <c r="E73" s="378" t="s">
        <v>653</v>
      </c>
      <c r="F73" s="378" t="s">
        <v>647</v>
      </c>
      <c r="G73" s="378" t="str">
        <f>VLOOKUP(F73,'3B-Prestaties vloeren'!$A$28:$B$118,2,0)</f>
        <v>Hard onbehandeld</v>
      </c>
      <c r="H73" s="378"/>
      <c r="I73" s="378">
        <v>11</v>
      </c>
      <c r="J73" s="421" t="s">
        <v>511</v>
      </c>
      <c r="K73" s="426">
        <v>52</v>
      </c>
      <c r="L73" s="378">
        <f t="shared" si="3"/>
        <v>572</v>
      </c>
      <c r="M73" s="380" t="str">
        <f>IF(K73=0,0,IF(COUNTBLANK('3A-Prestatie'!$B$2:$I$22)=0,L73/VLOOKUP(E73,'3A-Prestatie'!$A$1:$M$22,VLOOKUP(K73,'3A-Prestatie'!$A$28:$B$34,2,FALSE),FALSE),"3A prestatie invullen"))</f>
        <v>3A prestatie invullen</v>
      </c>
      <c r="N73" s="380">
        <f t="shared" si="5"/>
        <v>0</v>
      </c>
      <c r="O73" s="381" t="str">
        <f>VLOOKUP(E73,'3A-Prestatie'!A:M,13,FALSE)</f>
        <v>S</v>
      </c>
      <c r="P73" s="382">
        <v>12</v>
      </c>
      <c r="Q73" s="383">
        <f t="shared" si="4"/>
        <v>0</v>
      </c>
      <c r="R73" s="384" t="str">
        <f>IF(K73=0,"Niet van toepassing",IF(G73='3B-Prestaties vloeren'!$B$2,"Schrobben",IF(G73='3B-Prestaties vloeren'!$C$2,"Sprayen/conserveren",IF(G73='3B-Prestaties vloeren'!$D$2,"Sproei-extractie",0))))</f>
        <v>Schrobben</v>
      </c>
      <c r="S73" s="385">
        <f>IF('2-Tarieven'!$B$28=0,0,IF(M73=0,0,'2-Tarieven'!$B$28*M73))</f>
        <v>0</v>
      </c>
      <c r="T73" s="386">
        <f>IF(AND(COUNTBLANK('3B-Prestaties vloeren'!$F$3:$H$24)=0,COUNTBLANK('3B-Prestaties vloeren'!$L$3:$M$24)=0),IF(R73="Sprayen/conserveren",I73/VLOOKUP(E73,'3B-Prestaties vloeren'!$A$3:$M$24,12,FALSE),0)*(P73-1),0)</f>
        <v>0</v>
      </c>
      <c r="U73" s="386">
        <f>IF(AND(COUNTBLANK('3B-Prestaties vloeren'!$F$3:$H$24)=0,COUNTBLANK('3B-Prestaties vloeren'!$L$3:$M$24)=0),IF(R73="Sprayen/conserveren",I73/VLOOKUP(E73,'3B-Prestaties vloeren'!$A$3:$M$24,13,FALSE),0),0)</f>
        <v>0</v>
      </c>
      <c r="V73" s="386">
        <f>IF(AND(COUNTBLANK('3B-Prestaties vloeren'!$F$3:$H$24)=0,COUNTBLANK('3B-Prestaties vloeren'!$L$3:$M$24)=0),IF(R73="schrobben",I73/VLOOKUP(E73,'3B-Prestaties vloeren'!$A$3:$H$24,6,FALSE),0)*P73,0)</f>
        <v>0</v>
      </c>
      <c r="W73" s="386">
        <f>IF(AND(COUNTBLANK('3B-Prestaties vloeren'!$F$3:$H$24)=0,COUNTBLANK('3B-Prestaties vloeren'!$L$3:$M$24)=0),IF(R73="sproei-extractie",I73/VLOOKUP(E73,'3B-Prestaties vloeren'!$A$3:$H$24,8,FALSE),0)*P73,0)</f>
        <v>0</v>
      </c>
    </row>
    <row r="74" spans="1:23" ht="15" hidden="1">
      <c r="A74" s="378" t="s">
        <v>654</v>
      </c>
      <c r="B74" s="378" t="s">
        <v>655</v>
      </c>
      <c r="C74" s="378">
        <v>0</v>
      </c>
      <c r="D74" s="378" t="s">
        <v>294</v>
      </c>
      <c r="E74" s="378" t="s">
        <v>728</v>
      </c>
      <c r="F74" s="378" t="s">
        <v>647</v>
      </c>
      <c r="G74" s="378" t="str">
        <f>VLOOKUP(F74,'3B-Prestaties vloeren'!$A$28:$B$118,2,0)</f>
        <v>Hard onbehandeld</v>
      </c>
      <c r="H74" s="378" t="s">
        <v>330</v>
      </c>
      <c r="I74" s="378" t="s">
        <v>657</v>
      </c>
      <c r="J74" s="422"/>
      <c r="K74" s="426">
        <v>0</v>
      </c>
      <c r="L74" s="378">
        <f t="shared" si="3"/>
        <v>0</v>
      </c>
      <c r="M74" s="380">
        <f>IF(K74=0,0,IF(COUNTBLANK('3A-Prestatie'!$B$2:$I$22)=0,L74/VLOOKUP(E74,'3A-Prestatie'!$A$1:$M$22,VLOOKUP(K74,'3A-Prestatie'!$A$28:$B$34,2,FALSE),FALSE),"3A prestatie invullen"))</f>
        <v>0</v>
      </c>
      <c r="N74" s="380">
        <f t="shared" si="5"/>
        <v>0</v>
      </c>
      <c r="O74" s="381" t="str">
        <f>VLOOKUP(E74,'3A-Prestatie'!A:M,13,FALSE)</f>
        <v>N.v.t.</v>
      </c>
      <c r="P74" s="382">
        <f>IF(R74="Niet van toepassing",0,VLOOKUP(E74,'3B-Prestaties vloeren'!$A$3:$D$24,IF(G74="Hard onbehandeld",2,IF(G74="Hard behandeld",3,4)),FALSE))</f>
        <v>0</v>
      </c>
      <c r="Q74" s="383">
        <f t="shared" si="4"/>
        <v>0</v>
      </c>
      <c r="R74" s="384" t="str">
        <f>IF(K74=0,"Niet van toepassing",IF(G74='3B-Prestaties vloeren'!$B$2,"Schrobben",IF(G74='3B-Prestaties vloeren'!$C$2,"Sprayen/conserveren",IF(G74='3B-Prestaties vloeren'!$D$2,"Sproei-extractie",0))))</f>
        <v>Niet van toepassing</v>
      </c>
      <c r="S74" s="385">
        <f>IF('2-Tarieven'!$B$28=0,0,IF(M74=0,0,'2-Tarieven'!$B$28*M74))</f>
        <v>0</v>
      </c>
      <c r="T74" s="386">
        <f>IF(AND(COUNTBLANK('3B-Prestaties vloeren'!$F$3:$H$24)=0,COUNTBLANK('3B-Prestaties vloeren'!$L$3:$M$24)=0),IF(R74="Sprayen/conserveren",I74/VLOOKUP(E74,'3B-Prestaties vloeren'!$A$3:$M$24,12,FALSE),0)*(P74-1),0)</f>
        <v>0</v>
      </c>
      <c r="U74" s="386">
        <f>IF(AND(COUNTBLANK('3B-Prestaties vloeren'!$F$3:$H$24)=0,COUNTBLANK('3B-Prestaties vloeren'!$L$3:$M$24)=0),IF(R74="Sprayen/conserveren",I74/VLOOKUP(E74,'3B-Prestaties vloeren'!$A$3:$M$24,13,FALSE),0),0)</f>
        <v>0</v>
      </c>
      <c r="V74" s="386">
        <f>IF(AND(COUNTBLANK('3B-Prestaties vloeren'!$F$3:$H$24)=0,COUNTBLANK('3B-Prestaties vloeren'!$L$3:$M$24)=0),IF(R74="schrobben",I74/VLOOKUP(E74,'3B-Prestaties vloeren'!$A$3:$H$24,6,FALSE),0)*P74,0)</f>
        <v>0</v>
      </c>
      <c r="W74" s="386">
        <f>IF(AND(COUNTBLANK('3B-Prestaties vloeren'!$F$3:$H$24)=0,COUNTBLANK('3B-Prestaties vloeren'!$L$3:$M$24)=0),IF(R74="sproei-extractie",I74/VLOOKUP(E74,'3B-Prestaties vloeren'!$A$3:$H$24,8,FALSE),0)*P74,0)</f>
        <v>0</v>
      </c>
    </row>
    <row r="75" spans="1:23" ht="15" hidden="1">
      <c r="A75" s="378" t="s">
        <v>654</v>
      </c>
      <c r="B75" s="378" t="s">
        <v>655</v>
      </c>
      <c r="C75" s="378">
        <v>0</v>
      </c>
      <c r="D75" s="378" t="s">
        <v>295</v>
      </c>
      <c r="E75" s="378" t="s">
        <v>728</v>
      </c>
      <c r="F75" s="378" t="s">
        <v>647</v>
      </c>
      <c r="G75" s="378" t="str">
        <f>VLOOKUP(F75,'3B-Prestaties vloeren'!$A$28:$B$118,2,0)</f>
        <v>Hard onbehandeld</v>
      </c>
      <c r="H75" s="378" t="s">
        <v>330</v>
      </c>
      <c r="I75" s="378" t="s">
        <v>657</v>
      </c>
      <c r="J75" s="422"/>
      <c r="K75" s="426">
        <v>0</v>
      </c>
      <c r="L75" s="378">
        <f t="shared" si="3"/>
        <v>0</v>
      </c>
      <c r="M75" s="380">
        <f>IF(K75=0,0,IF(COUNTBLANK('3A-Prestatie'!$B$2:$I$22)=0,L75/VLOOKUP(E75,'3A-Prestatie'!$A$1:$M$22,VLOOKUP(K75,'3A-Prestatie'!$A$28:$B$34,2,FALSE),FALSE),"3A prestatie invullen"))</f>
        <v>0</v>
      </c>
      <c r="N75" s="380">
        <f t="shared" si="5"/>
        <v>0</v>
      </c>
      <c r="O75" s="381" t="str">
        <f>VLOOKUP(E75,'3A-Prestatie'!A:M,13,FALSE)</f>
        <v>N.v.t.</v>
      </c>
      <c r="P75" s="382">
        <f>IF(R75="Niet van toepassing",0,VLOOKUP(E75,'3B-Prestaties vloeren'!$A$3:$D$24,IF(G75="Hard onbehandeld",2,IF(G75="Hard behandeld",3,4)),FALSE))</f>
        <v>0</v>
      </c>
      <c r="Q75" s="383">
        <f t="shared" si="4"/>
        <v>0</v>
      </c>
      <c r="R75" s="384" t="str">
        <f>IF(K75=0,"Niet van toepassing",IF(G75='3B-Prestaties vloeren'!$B$2,"Schrobben",IF(G75='3B-Prestaties vloeren'!$C$2,"Sprayen/conserveren",IF(G75='3B-Prestaties vloeren'!$D$2,"Sproei-extractie",0))))</f>
        <v>Niet van toepassing</v>
      </c>
      <c r="S75" s="385">
        <f>IF('2-Tarieven'!$B$28=0,0,IF(M75=0,0,'2-Tarieven'!$B$28*M75))</f>
        <v>0</v>
      </c>
      <c r="T75" s="386">
        <f>IF(AND(COUNTBLANK('3B-Prestaties vloeren'!$F$3:$H$24)=0,COUNTBLANK('3B-Prestaties vloeren'!$L$3:$M$24)=0),IF(R75="Sprayen/conserveren",I75/VLOOKUP(E75,'3B-Prestaties vloeren'!$A$3:$M$24,12,FALSE),0)*(P75-1),0)</f>
        <v>0</v>
      </c>
      <c r="U75" s="386">
        <f>IF(AND(COUNTBLANK('3B-Prestaties vloeren'!$F$3:$H$24)=0,COUNTBLANK('3B-Prestaties vloeren'!$L$3:$M$24)=0),IF(R75="Sprayen/conserveren",I75/VLOOKUP(E75,'3B-Prestaties vloeren'!$A$3:$M$24,13,FALSE),0),0)</f>
        <v>0</v>
      </c>
      <c r="V75" s="386">
        <f>IF(AND(COUNTBLANK('3B-Prestaties vloeren'!$F$3:$H$24)=0,COUNTBLANK('3B-Prestaties vloeren'!$L$3:$M$24)=0),IF(R75="schrobben",I75/VLOOKUP(E75,'3B-Prestaties vloeren'!$A$3:$H$24,6,FALSE),0)*P75,0)</f>
        <v>0</v>
      </c>
      <c r="W75" s="386">
        <f>IF(AND(COUNTBLANK('3B-Prestaties vloeren'!$F$3:$H$24)=0,COUNTBLANK('3B-Prestaties vloeren'!$L$3:$M$24)=0),IF(R75="sproei-extractie",I75/VLOOKUP(E75,'3B-Prestaties vloeren'!$A$3:$H$24,8,FALSE),0)*P75,0)</f>
        <v>0</v>
      </c>
    </row>
    <row r="76" spans="1:23" ht="15" hidden="1">
      <c r="A76" s="378" t="s">
        <v>654</v>
      </c>
      <c r="B76" s="378" t="s">
        <v>655</v>
      </c>
      <c r="C76" s="378">
        <v>0</v>
      </c>
      <c r="D76" s="378" t="s">
        <v>296</v>
      </c>
      <c r="E76" s="378" t="s">
        <v>5</v>
      </c>
      <c r="F76" s="378" t="s">
        <v>64</v>
      </c>
      <c r="G76" s="378" t="str">
        <f>VLOOKUP(F76,'3B-Prestaties vloeren'!$A$28:$B$118,2,0)</f>
        <v>Hard behandeld</v>
      </c>
      <c r="H76" s="378"/>
      <c r="I76" s="378">
        <v>59.2</v>
      </c>
      <c r="J76" s="422"/>
      <c r="K76" s="426">
        <v>0</v>
      </c>
      <c r="L76" s="378">
        <f t="shared" si="3"/>
        <v>0</v>
      </c>
      <c r="M76" s="380">
        <f>IF(K76=0,0,IF(COUNTBLANK('3A-Prestatie'!$B$2:$I$22)=0,L76/VLOOKUP(E76,'3A-Prestatie'!$A$1:$M$22,VLOOKUP(K76,'3A-Prestatie'!$A$28:$B$34,2,FALSE),FALSE),"3A prestatie invullen"))</f>
        <v>0</v>
      </c>
      <c r="N76" s="380">
        <f t="shared" si="5"/>
        <v>0</v>
      </c>
      <c r="O76" s="381" t="str">
        <f>VLOOKUP(E76,'3A-Prestatie'!A:M,13,FALSE)</f>
        <v>B</v>
      </c>
      <c r="P76" s="382">
        <f>IF(R76="Niet van toepassing",0,VLOOKUP(E76,'3B-Prestaties vloeren'!$A$3:$D$24,IF(G76="Hard onbehandeld",2,IF(G76="Hard behandeld",3,4)),FALSE))</f>
        <v>0</v>
      </c>
      <c r="Q76" s="383">
        <f t="shared" si="4"/>
        <v>0</v>
      </c>
      <c r="R76" s="384" t="str">
        <f>IF(K76=0,"Niet van toepassing",IF(G76='3B-Prestaties vloeren'!$B$2,"Schrobben",IF(G76='3B-Prestaties vloeren'!$C$2,"Sprayen/conserveren",IF(G76='3B-Prestaties vloeren'!$D$2,"Sproei-extractie",0))))</f>
        <v>Niet van toepassing</v>
      </c>
      <c r="S76" s="385">
        <f>IF('2-Tarieven'!$B$28=0,0,IF(M76=0,0,'2-Tarieven'!$B$28*M76))</f>
        <v>0</v>
      </c>
      <c r="T76" s="386">
        <f>IF(AND(COUNTBLANK('3B-Prestaties vloeren'!$F$3:$H$24)=0,COUNTBLANK('3B-Prestaties vloeren'!$L$3:$M$24)=0),IF(R76="Sprayen/conserveren",I76/VLOOKUP(E76,'3B-Prestaties vloeren'!$A$3:$M$24,12,FALSE),0)*(P76-1),0)</f>
        <v>0</v>
      </c>
      <c r="U76" s="386">
        <f>IF(AND(COUNTBLANK('3B-Prestaties vloeren'!$F$3:$H$24)=0,COUNTBLANK('3B-Prestaties vloeren'!$L$3:$M$24)=0),IF(R76="Sprayen/conserveren",I76/VLOOKUP(E76,'3B-Prestaties vloeren'!$A$3:$M$24,13,FALSE),0),0)</f>
        <v>0</v>
      </c>
      <c r="V76" s="386">
        <f>IF(AND(COUNTBLANK('3B-Prestaties vloeren'!$F$3:$H$24)=0,COUNTBLANK('3B-Prestaties vloeren'!$L$3:$M$24)=0),IF(R76="schrobben",I76/VLOOKUP(E76,'3B-Prestaties vloeren'!$A$3:$H$24,6,FALSE),0)*P76,0)</f>
        <v>0</v>
      </c>
      <c r="W76" s="386">
        <f>IF(AND(COUNTBLANK('3B-Prestaties vloeren'!$F$3:$H$24)=0,COUNTBLANK('3B-Prestaties vloeren'!$L$3:$M$24)=0),IF(R76="sproei-extractie",I76/VLOOKUP(E76,'3B-Prestaties vloeren'!$A$3:$H$24,8,FALSE),0)*P76,0)</f>
        <v>0</v>
      </c>
    </row>
    <row r="77" spans="1:23" ht="15" hidden="1">
      <c r="A77" s="378" t="s">
        <v>654</v>
      </c>
      <c r="B77" s="378" t="s">
        <v>655</v>
      </c>
      <c r="C77" s="378">
        <v>0</v>
      </c>
      <c r="D77" s="378" t="s">
        <v>297</v>
      </c>
      <c r="E77" s="378" t="s">
        <v>728</v>
      </c>
      <c r="F77" s="378" t="s">
        <v>648</v>
      </c>
      <c r="G77" s="378" t="str">
        <f>VLOOKUP(F77,'3B-Prestaties vloeren'!$A$28:$B$118,2,0)</f>
        <v>Hard onbehandeld</v>
      </c>
      <c r="H77" s="378" t="s">
        <v>284</v>
      </c>
      <c r="I77" s="378">
        <v>1308</v>
      </c>
      <c r="J77" s="422"/>
      <c r="K77" s="426">
        <v>0</v>
      </c>
      <c r="L77" s="378">
        <f t="shared" si="3"/>
        <v>0</v>
      </c>
      <c r="M77" s="380">
        <f>IF(K77=0,0,IF(COUNTBLANK('3A-Prestatie'!$B$2:$I$22)=0,L77/VLOOKUP(E77,'3A-Prestatie'!$A$1:$M$22,VLOOKUP(K77,'3A-Prestatie'!$A$28:$B$34,2,FALSE),FALSE),"3A prestatie invullen"))</f>
        <v>0</v>
      </c>
      <c r="N77" s="380">
        <f t="shared" si="5"/>
        <v>0</v>
      </c>
      <c r="O77" s="381" t="str">
        <f>VLOOKUP(E77,'3A-Prestatie'!A:M,13,FALSE)</f>
        <v>N.v.t.</v>
      </c>
      <c r="P77" s="382">
        <f>IF(R77="Niet van toepassing",0,VLOOKUP(E77,'3B-Prestaties vloeren'!$A$3:$D$24,IF(G77="Hard onbehandeld",2,IF(G77="Hard behandeld",3,4)),FALSE))</f>
        <v>0</v>
      </c>
      <c r="Q77" s="383">
        <f t="shared" si="4"/>
        <v>0</v>
      </c>
      <c r="R77" s="384" t="str">
        <f>IF(K77=0,"Niet van toepassing",IF(G77='3B-Prestaties vloeren'!$B$2,"Schrobben",IF(G77='3B-Prestaties vloeren'!$C$2,"Sprayen/conserveren",IF(G77='3B-Prestaties vloeren'!$D$2,"Sproei-extractie",0))))</f>
        <v>Niet van toepassing</v>
      </c>
      <c r="S77" s="385">
        <f>IF('2-Tarieven'!$B$28=0,0,IF(M77=0,0,'2-Tarieven'!$B$28*M77))</f>
        <v>0</v>
      </c>
      <c r="T77" s="386">
        <f>IF(AND(COUNTBLANK('3B-Prestaties vloeren'!$F$3:$H$24)=0,COUNTBLANK('3B-Prestaties vloeren'!$L$3:$M$24)=0),IF(R77="Sprayen/conserveren",I77/VLOOKUP(E77,'3B-Prestaties vloeren'!$A$3:$M$24,12,FALSE),0)*(P77-1),0)</f>
        <v>0</v>
      </c>
      <c r="U77" s="386">
        <f>IF(AND(COUNTBLANK('3B-Prestaties vloeren'!$F$3:$H$24)=0,COUNTBLANK('3B-Prestaties vloeren'!$L$3:$M$24)=0),IF(R77="Sprayen/conserveren",I77/VLOOKUP(E77,'3B-Prestaties vloeren'!$A$3:$M$24,13,FALSE),0),0)</f>
        <v>0</v>
      </c>
      <c r="V77" s="386">
        <f>IF(AND(COUNTBLANK('3B-Prestaties vloeren'!$F$3:$H$24)=0,COUNTBLANK('3B-Prestaties vloeren'!$L$3:$M$24)=0),IF(R77="schrobben",I77/VLOOKUP(E77,'3B-Prestaties vloeren'!$A$3:$H$24,6,FALSE),0)*P77,0)</f>
        <v>0</v>
      </c>
      <c r="W77" s="386">
        <f>IF(AND(COUNTBLANK('3B-Prestaties vloeren'!$F$3:$H$24)=0,COUNTBLANK('3B-Prestaties vloeren'!$L$3:$M$24)=0),IF(R77="sproei-extractie",I77/VLOOKUP(E77,'3B-Prestaties vloeren'!$A$3:$H$24,8,FALSE),0)*P77,0)</f>
        <v>0</v>
      </c>
    </row>
    <row r="78" spans="1:23" ht="15" hidden="1">
      <c r="A78" s="378" t="s">
        <v>654</v>
      </c>
      <c r="B78" s="378" t="s">
        <v>655</v>
      </c>
      <c r="C78" s="378">
        <v>0</v>
      </c>
      <c r="D78" s="378" t="s">
        <v>0</v>
      </c>
      <c r="E78" s="378" t="s">
        <v>728</v>
      </c>
      <c r="F78" s="378" t="s">
        <v>648</v>
      </c>
      <c r="G78" s="378" t="str">
        <f>VLOOKUP(F78,'3B-Prestaties vloeren'!$A$28:$B$118,2,0)</f>
        <v>Hard onbehandeld</v>
      </c>
      <c r="H78" s="378" t="s">
        <v>284</v>
      </c>
      <c r="I78" s="378">
        <v>46.3</v>
      </c>
      <c r="J78" s="422"/>
      <c r="K78" s="426">
        <v>0</v>
      </c>
      <c r="L78" s="378">
        <f t="shared" si="3"/>
        <v>0</v>
      </c>
      <c r="M78" s="380">
        <f>IF(K78=0,0,IF(COUNTBLANK('3A-Prestatie'!$B$2:$I$22)=0,L78/VLOOKUP(E78,'3A-Prestatie'!$A$1:$M$22,VLOOKUP(K78,'3A-Prestatie'!$A$28:$B$34,2,FALSE),FALSE),"3A prestatie invullen"))</f>
        <v>0</v>
      </c>
      <c r="N78" s="380">
        <f t="shared" si="5"/>
        <v>0</v>
      </c>
      <c r="O78" s="381" t="str">
        <f>VLOOKUP(E78,'3A-Prestatie'!A:M,13,FALSE)</f>
        <v>N.v.t.</v>
      </c>
      <c r="P78" s="382">
        <f>IF(R78="Niet van toepassing",0,VLOOKUP(E78,'3B-Prestaties vloeren'!$A$3:$D$24,IF(G78="Hard onbehandeld",2,IF(G78="Hard behandeld",3,4)),FALSE))</f>
        <v>0</v>
      </c>
      <c r="Q78" s="383">
        <f t="shared" si="4"/>
        <v>0</v>
      </c>
      <c r="R78" s="384" t="str">
        <f>IF(K78=0,"Niet van toepassing",IF(G78='3B-Prestaties vloeren'!$B$2,"Schrobben",IF(G78='3B-Prestaties vloeren'!$C$2,"Sprayen/conserveren",IF(G78='3B-Prestaties vloeren'!$D$2,"Sproei-extractie",0))))</f>
        <v>Niet van toepassing</v>
      </c>
      <c r="S78" s="385">
        <f>IF('2-Tarieven'!$B$28=0,0,IF(M78=0,0,'2-Tarieven'!$B$28*M78))</f>
        <v>0</v>
      </c>
      <c r="T78" s="386">
        <f>IF(AND(COUNTBLANK('3B-Prestaties vloeren'!$F$3:$H$24)=0,COUNTBLANK('3B-Prestaties vloeren'!$L$3:$M$24)=0),IF(R78="Sprayen/conserveren",I78/VLOOKUP(E78,'3B-Prestaties vloeren'!$A$3:$M$24,12,FALSE),0)*(P78-1),0)</f>
        <v>0</v>
      </c>
      <c r="U78" s="386">
        <f>IF(AND(COUNTBLANK('3B-Prestaties vloeren'!$F$3:$H$24)=0,COUNTBLANK('3B-Prestaties vloeren'!$L$3:$M$24)=0),IF(R78="Sprayen/conserveren",I78/VLOOKUP(E78,'3B-Prestaties vloeren'!$A$3:$M$24,13,FALSE),0),0)</f>
        <v>0</v>
      </c>
      <c r="V78" s="386">
        <f>IF(AND(COUNTBLANK('3B-Prestaties vloeren'!$F$3:$H$24)=0,COUNTBLANK('3B-Prestaties vloeren'!$L$3:$M$24)=0),IF(R78="schrobben",I78/VLOOKUP(E78,'3B-Prestaties vloeren'!$A$3:$H$24,6,FALSE),0)*P78,0)</f>
        <v>0</v>
      </c>
      <c r="W78" s="386">
        <f>IF(AND(COUNTBLANK('3B-Prestaties vloeren'!$F$3:$H$24)=0,COUNTBLANK('3B-Prestaties vloeren'!$L$3:$M$24)=0),IF(R78="sproei-extractie",I78/VLOOKUP(E78,'3B-Prestaties vloeren'!$A$3:$H$24,8,FALSE),0)*P78,0)</f>
        <v>0</v>
      </c>
    </row>
    <row r="79" spans="1:23" ht="15" hidden="1">
      <c r="A79" s="378" t="s">
        <v>654</v>
      </c>
      <c r="B79" s="378" t="s">
        <v>655</v>
      </c>
      <c r="C79" s="378">
        <v>0</v>
      </c>
      <c r="D79" s="378" t="s">
        <v>298</v>
      </c>
      <c r="E79" s="378" t="s">
        <v>5</v>
      </c>
      <c r="F79" s="378" t="s">
        <v>64</v>
      </c>
      <c r="G79" s="378" t="str">
        <f>VLOOKUP(F79,'3B-Prestaties vloeren'!$A$28:$B$118,2,0)</f>
        <v>Hard behandeld</v>
      </c>
      <c r="H79" s="378"/>
      <c r="I79" s="378">
        <v>26</v>
      </c>
      <c r="J79" s="420" t="s">
        <v>749</v>
      </c>
      <c r="K79" s="426">
        <v>52</v>
      </c>
      <c r="L79" s="378">
        <f t="shared" si="3"/>
        <v>1352</v>
      </c>
      <c r="M79" s="380" t="str">
        <f>IF(K79=0,0,IF(COUNTBLANK('3A-Prestatie'!$B$2:$I$22)=0,L79/VLOOKUP(E79,'3A-Prestatie'!$A$1:$M$22,VLOOKUP(K79,'3A-Prestatie'!$A$28:$B$34,2,FALSE),FALSE),"3A prestatie invullen"))</f>
        <v>3A prestatie invullen</v>
      </c>
      <c r="N79" s="380">
        <f t="shared" si="5"/>
        <v>0</v>
      </c>
      <c r="O79" s="381" t="str">
        <f>VLOOKUP(E79,'3A-Prestatie'!A:M,13,FALSE)</f>
        <v>B</v>
      </c>
      <c r="P79" s="382">
        <f>IF(R79="Niet van toepassing",0,VLOOKUP(E79,'3B-Prestaties vloeren'!$A$3:$D$24,IF(G79="Hard onbehandeld",2,IF(G79="Hard behandeld",3,4)),FALSE))</f>
        <v>4</v>
      </c>
      <c r="Q79" s="383">
        <f t="shared" si="4"/>
        <v>0</v>
      </c>
      <c r="R79" s="384" t="str">
        <f>IF(K79=0,"Niet van toepassing",IF(G79='3B-Prestaties vloeren'!$B$2,"Schrobben",IF(G79='3B-Prestaties vloeren'!$C$2,"Sprayen/conserveren",IF(G79='3B-Prestaties vloeren'!$D$2,"Sproei-extractie",0))))</f>
        <v>Sprayen/conserveren</v>
      </c>
      <c r="S79" s="385">
        <f>IF('2-Tarieven'!$B$28=0,0,IF(M79=0,0,'2-Tarieven'!$B$28*M79))</f>
        <v>0</v>
      </c>
      <c r="T79" s="386">
        <f>IF(AND(COUNTBLANK('3B-Prestaties vloeren'!$F$3:$H$24)=0,COUNTBLANK('3B-Prestaties vloeren'!$L$3:$M$24)=0),IF(R79="Sprayen/conserveren",I79/VLOOKUP(E79,'3B-Prestaties vloeren'!$A$3:$M$24,12,FALSE),0)*(P79-1),0)</f>
        <v>0</v>
      </c>
      <c r="U79" s="386">
        <f>IF(AND(COUNTBLANK('3B-Prestaties vloeren'!$F$3:$H$24)=0,COUNTBLANK('3B-Prestaties vloeren'!$L$3:$M$24)=0),IF(R79="Sprayen/conserveren",I79/VLOOKUP(E79,'3B-Prestaties vloeren'!$A$3:$M$24,13,FALSE),0),0)</f>
        <v>0</v>
      </c>
      <c r="V79" s="386">
        <f>IF(AND(COUNTBLANK('3B-Prestaties vloeren'!$F$3:$H$24)=0,COUNTBLANK('3B-Prestaties vloeren'!$L$3:$M$24)=0),IF(R79="schrobben",I79/VLOOKUP(E79,'3B-Prestaties vloeren'!$A$3:$H$24,6,FALSE),0)*P79,0)</f>
        <v>0</v>
      </c>
      <c r="W79" s="386">
        <f>IF(AND(COUNTBLANK('3B-Prestaties vloeren'!$F$3:$H$24)=0,COUNTBLANK('3B-Prestaties vloeren'!$L$3:$M$24)=0),IF(R79="sproei-extractie",I79/VLOOKUP(E79,'3B-Prestaties vloeren'!$A$3:$H$24,8,FALSE),0)*P79,0)</f>
        <v>0</v>
      </c>
    </row>
    <row r="80" spans="1:23" ht="15" hidden="1">
      <c r="A80" s="378" t="s">
        <v>654</v>
      </c>
      <c r="B80" s="378" t="s">
        <v>655</v>
      </c>
      <c r="C80" s="378">
        <v>0</v>
      </c>
      <c r="D80" s="378" t="s">
        <v>299</v>
      </c>
      <c r="E80" s="378" t="s">
        <v>285</v>
      </c>
      <c r="F80" s="378" t="s">
        <v>266</v>
      </c>
      <c r="G80" s="378" t="str">
        <f>VLOOKUP(F80,'3B-Prestaties vloeren'!$A$28:$B$118,2,0)</f>
        <v>Hard behandeld</v>
      </c>
      <c r="H80" s="378"/>
      <c r="I80" s="378">
        <v>24.06</v>
      </c>
      <c r="J80" s="420" t="s">
        <v>749</v>
      </c>
      <c r="K80" s="426">
        <v>52</v>
      </c>
      <c r="L80" s="378">
        <f t="shared" si="3"/>
        <v>1251.1199999999999</v>
      </c>
      <c r="M80" s="380" t="str">
        <f>IF(K80=0,0,IF(COUNTBLANK('3A-Prestatie'!$B$2:$I$22)=0,L80/VLOOKUP(E80,'3A-Prestatie'!$A$1:$M$22,VLOOKUP(K80,'3A-Prestatie'!$A$28:$B$34,2,FALSE),FALSE),"3A prestatie invullen"))</f>
        <v>3A prestatie invullen</v>
      </c>
      <c r="N80" s="380">
        <f t="shared" si="5"/>
        <v>0</v>
      </c>
      <c r="O80" s="381" t="str">
        <f>VLOOKUP(E80,'3A-Prestatie'!A:M,13,FALSE)</f>
        <v>V</v>
      </c>
      <c r="P80" s="382">
        <v>12</v>
      </c>
      <c r="Q80" s="383">
        <f t="shared" si="4"/>
        <v>0</v>
      </c>
      <c r="R80" s="384" t="str">
        <f>IF(K80=0,"Niet van toepassing",IF(G80='3B-Prestaties vloeren'!$B$2,"Schrobben",IF(G80='3B-Prestaties vloeren'!$C$2,"Sprayen/conserveren",IF(G80='3B-Prestaties vloeren'!$D$2,"Sproei-extractie",0))))</f>
        <v>Sprayen/conserveren</v>
      </c>
      <c r="S80" s="385">
        <f>IF('2-Tarieven'!$B$28=0,0,IF(M80=0,0,'2-Tarieven'!$B$28*M80))</f>
        <v>0</v>
      </c>
      <c r="T80" s="386">
        <f>IF(AND(COUNTBLANK('3B-Prestaties vloeren'!$F$3:$H$24)=0,COUNTBLANK('3B-Prestaties vloeren'!$L$3:$M$24)=0),IF(R80="Sprayen/conserveren",I80/VLOOKUP(E80,'3B-Prestaties vloeren'!$A$3:$M$24,12,FALSE),0)*(P80-1),0)</f>
        <v>0</v>
      </c>
      <c r="U80" s="386">
        <f>IF(AND(COUNTBLANK('3B-Prestaties vloeren'!$F$3:$H$24)=0,COUNTBLANK('3B-Prestaties vloeren'!$L$3:$M$24)=0),IF(R80="Sprayen/conserveren",I80/VLOOKUP(E80,'3B-Prestaties vloeren'!$A$3:$M$24,13,FALSE),0),0)</f>
        <v>0</v>
      </c>
      <c r="V80" s="386">
        <f>IF(AND(COUNTBLANK('3B-Prestaties vloeren'!$F$3:$H$24)=0,COUNTBLANK('3B-Prestaties vloeren'!$L$3:$M$24)=0),IF(R80="schrobben",I80/VLOOKUP(E80,'3B-Prestaties vloeren'!$A$3:$H$24,6,FALSE),0)*P80,0)</f>
        <v>0</v>
      </c>
      <c r="W80" s="386">
        <f>IF(AND(COUNTBLANK('3B-Prestaties vloeren'!$F$3:$H$24)=0,COUNTBLANK('3B-Prestaties vloeren'!$L$3:$M$24)=0),IF(R80="sproei-extractie",I80/VLOOKUP(E80,'3B-Prestaties vloeren'!$A$3:$H$24,8,FALSE),0)*P80,0)</f>
        <v>0</v>
      </c>
    </row>
    <row r="81" spans="1:23" ht="15" hidden="1">
      <c r="A81" s="378" t="s">
        <v>654</v>
      </c>
      <c r="B81" s="378" t="s">
        <v>655</v>
      </c>
      <c r="C81" s="378">
        <v>0</v>
      </c>
      <c r="D81" s="378" t="s">
        <v>659</v>
      </c>
      <c r="E81" s="378" t="s">
        <v>728</v>
      </c>
      <c r="F81" s="378" t="s">
        <v>266</v>
      </c>
      <c r="G81" s="378" t="str">
        <f>VLOOKUP(F81,'3B-Prestaties vloeren'!$A$28:$B$118,2,0)</f>
        <v>Hard behandeld</v>
      </c>
      <c r="H81" s="378" t="s">
        <v>656</v>
      </c>
      <c r="I81" s="378" t="s">
        <v>657</v>
      </c>
      <c r="J81" s="422"/>
      <c r="K81" s="426">
        <v>0</v>
      </c>
      <c r="L81" s="378">
        <f t="shared" si="3"/>
        <v>0</v>
      </c>
      <c r="M81" s="380">
        <f>IF(K81=0,0,IF(COUNTBLANK('3A-Prestatie'!$B$2:$I$22)=0,L81/VLOOKUP(E81,'3A-Prestatie'!$A$1:$M$22,VLOOKUP(K81,'3A-Prestatie'!$A$28:$B$34,2,FALSE),FALSE),"3A prestatie invullen"))</f>
        <v>0</v>
      </c>
      <c r="N81" s="380">
        <f t="shared" si="5"/>
        <v>0</v>
      </c>
      <c r="O81" s="381" t="str">
        <f>VLOOKUP(E81,'3A-Prestatie'!A:M,13,FALSE)</f>
        <v>N.v.t.</v>
      </c>
      <c r="P81" s="382">
        <f>IF(R81="Niet van toepassing",0,VLOOKUP(E81,'3B-Prestaties vloeren'!$A$3:$D$24,IF(G81="Hard onbehandeld",2,IF(G81="Hard behandeld",3,4)),FALSE))</f>
        <v>0</v>
      </c>
      <c r="Q81" s="383">
        <f t="shared" si="4"/>
        <v>0</v>
      </c>
      <c r="R81" s="384" t="str">
        <f>IF(K81=0,"Niet van toepassing",IF(G81='3B-Prestaties vloeren'!$B$2,"Schrobben",IF(G81='3B-Prestaties vloeren'!$C$2,"Sprayen/conserveren",IF(G81='3B-Prestaties vloeren'!$D$2,"Sproei-extractie",0))))</f>
        <v>Niet van toepassing</v>
      </c>
      <c r="S81" s="385">
        <f>IF('2-Tarieven'!$B$28=0,0,IF(M81=0,0,'2-Tarieven'!$B$28*M81))</f>
        <v>0</v>
      </c>
      <c r="T81" s="386">
        <f>IF(AND(COUNTBLANK('3B-Prestaties vloeren'!$F$3:$H$24)=0,COUNTBLANK('3B-Prestaties vloeren'!$L$3:$M$24)=0),IF(R81="Sprayen/conserveren",I81/VLOOKUP(E81,'3B-Prestaties vloeren'!$A$3:$M$24,12,FALSE),0)*(P81-1),0)</f>
        <v>0</v>
      </c>
      <c r="U81" s="386">
        <f>IF(AND(COUNTBLANK('3B-Prestaties vloeren'!$F$3:$H$24)=0,COUNTBLANK('3B-Prestaties vloeren'!$L$3:$M$24)=0),IF(R81="Sprayen/conserveren",I81/VLOOKUP(E81,'3B-Prestaties vloeren'!$A$3:$M$24,13,FALSE),0),0)</f>
        <v>0</v>
      </c>
      <c r="V81" s="386">
        <f>IF(AND(COUNTBLANK('3B-Prestaties vloeren'!$F$3:$H$24)=0,COUNTBLANK('3B-Prestaties vloeren'!$L$3:$M$24)=0),IF(R81="schrobben",I81/VLOOKUP(E81,'3B-Prestaties vloeren'!$A$3:$H$24,6,FALSE),0)*P81,0)</f>
        <v>0</v>
      </c>
      <c r="W81" s="386">
        <f>IF(AND(COUNTBLANK('3B-Prestaties vloeren'!$F$3:$H$24)=0,COUNTBLANK('3B-Prestaties vloeren'!$L$3:$M$24)=0),IF(R81="sproei-extractie",I81/VLOOKUP(E81,'3B-Prestaties vloeren'!$A$3:$H$24,8,FALSE),0)*P81,0)</f>
        <v>0</v>
      </c>
    </row>
    <row r="82" spans="1:23" ht="15" hidden="1">
      <c r="A82" s="378" t="s">
        <v>654</v>
      </c>
      <c r="B82" s="378" t="s">
        <v>655</v>
      </c>
      <c r="C82" s="378">
        <v>0</v>
      </c>
      <c r="D82" s="378" t="s">
        <v>300</v>
      </c>
      <c r="E82" s="378" t="s">
        <v>5</v>
      </c>
      <c r="F82" s="378" t="s">
        <v>64</v>
      </c>
      <c r="G82" s="378" t="str">
        <f>VLOOKUP(F82,'3B-Prestaties vloeren'!$A$28:$B$118,2,0)</f>
        <v>Hard behandeld</v>
      </c>
      <c r="H82" s="378"/>
      <c r="I82" s="378">
        <v>15.4</v>
      </c>
      <c r="J82" s="422"/>
      <c r="K82" s="426">
        <v>0</v>
      </c>
      <c r="L82" s="378">
        <f t="shared" si="3"/>
        <v>0</v>
      </c>
      <c r="M82" s="380">
        <f>IF(K82=0,0,IF(COUNTBLANK('3A-Prestatie'!$B$2:$I$22)=0,L82/VLOOKUP(E82,'3A-Prestatie'!$A$1:$M$22,VLOOKUP(K82,'3A-Prestatie'!$A$28:$B$34,2,FALSE),FALSE),"3A prestatie invullen"))</f>
        <v>0</v>
      </c>
      <c r="N82" s="380">
        <f t="shared" si="5"/>
        <v>0</v>
      </c>
      <c r="O82" s="381" t="str">
        <f>VLOOKUP(E82,'3A-Prestatie'!A:M,13,FALSE)</f>
        <v>B</v>
      </c>
      <c r="P82" s="382">
        <f>IF(R82="Niet van toepassing",0,VLOOKUP(E82,'3B-Prestaties vloeren'!$A$3:$D$24,IF(G82="Hard onbehandeld",2,IF(G82="Hard behandeld",3,4)),FALSE))</f>
        <v>0</v>
      </c>
      <c r="Q82" s="383">
        <f t="shared" si="4"/>
        <v>0</v>
      </c>
      <c r="R82" s="384" t="str">
        <f>IF(K82=0,"Niet van toepassing",IF(G82='3B-Prestaties vloeren'!$B$2,"Schrobben",IF(G82='3B-Prestaties vloeren'!$C$2,"Sprayen/conserveren",IF(G82='3B-Prestaties vloeren'!$D$2,"Sproei-extractie",0))))</f>
        <v>Niet van toepassing</v>
      </c>
      <c r="S82" s="385">
        <f>IF('2-Tarieven'!$B$28=0,0,IF(M82=0,0,'2-Tarieven'!$B$28*M82))</f>
        <v>0</v>
      </c>
      <c r="T82" s="386">
        <f>IF(AND(COUNTBLANK('3B-Prestaties vloeren'!$F$3:$H$24)=0,COUNTBLANK('3B-Prestaties vloeren'!$L$3:$M$24)=0),IF(R82="Sprayen/conserveren",I82/VLOOKUP(E82,'3B-Prestaties vloeren'!$A$3:$M$24,12,FALSE),0)*(P82-1),0)</f>
        <v>0</v>
      </c>
      <c r="U82" s="386">
        <f>IF(AND(COUNTBLANK('3B-Prestaties vloeren'!$F$3:$H$24)=0,COUNTBLANK('3B-Prestaties vloeren'!$L$3:$M$24)=0),IF(R82="Sprayen/conserveren",I82/VLOOKUP(E82,'3B-Prestaties vloeren'!$A$3:$M$24,13,FALSE),0),0)</f>
        <v>0</v>
      </c>
      <c r="V82" s="386">
        <f>IF(AND(COUNTBLANK('3B-Prestaties vloeren'!$F$3:$H$24)=0,COUNTBLANK('3B-Prestaties vloeren'!$L$3:$M$24)=0),IF(R82="schrobben",I82/VLOOKUP(E82,'3B-Prestaties vloeren'!$A$3:$H$24,6,FALSE),0)*P82,0)</f>
        <v>0</v>
      </c>
      <c r="W82" s="386">
        <f>IF(AND(COUNTBLANK('3B-Prestaties vloeren'!$F$3:$H$24)=0,COUNTBLANK('3B-Prestaties vloeren'!$L$3:$M$24)=0),IF(R82="sproei-extractie",I82/VLOOKUP(E82,'3B-Prestaties vloeren'!$A$3:$H$24,8,FALSE),0)*P82,0)</f>
        <v>0</v>
      </c>
    </row>
    <row r="83" spans="1:23" ht="15" hidden="1">
      <c r="A83" s="378" t="s">
        <v>654</v>
      </c>
      <c r="B83" s="378" t="s">
        <v>655</v>
      </c>
      <c r="C83" s="378">
        <v>0</v>
      </c>
      <c r="D83" s="378" t="s">
        <v>301</v>
      </c>
      <c r="E83" s="378" t="s">
        <v>5</v>
      </c>
      <c r="F83" s="378" t="s">
        <v>64</v>
      </c>
      <c r="G83" s="378" t="str">
        <f>VLOOKUP(F83,'3B-Prestaties vloeren'!$A$28:$B$118,2,0)</f>
        <v>Hard behandeld</v>
      </c>
      <c r="H83" s="378"/>
      <c r="I83" s="378">
        <v>143.80000000000001</v>
      </c>
      <c r="J83" s="422"/>
      <c r="K83" s="426">
        <v>0</v>
      </c>
      <c r="L83" s="378">
        <f t="shared" si="3"/>
        <v>0</v>
      </c>
      <c r="M83" s="380">
        <f>IF(K83=0,0,IF(COUNTBLANK('3A-Prestatie'!$B$2:$I$22)=0,L83/VLOOKUP(E83,'3A-Prestatie'!$A$1:$M$22,VLOOKUP(K83,'3A-Prestatie'!$A$28:$B$34,2,FALSE),FALSE),"3A prestatie invullen"))</f>
        <v>0</v>
      </c>
      <c r="N83" s="380">
        <f t="shared" si="5"/>
        <v>0</v>
      </c>
      <c r="O83" s="381" t="str">
        <f>VLOOKUP(E83,'3A-Prestatie'!A:M,13,FALSE)</f>
        <v>B</v>
      </c>
      <c r="P83" s="382">
        <f>IF(R83="Niet van toepassing",0,VLOOKUP(E83,'3B-Prestaties vloeren'!$A$3:$D$24,IF(G83="Hard onbehandeld",2,IF(G83="Hard behandeld",3,4)),FALSE))</f>
        <v>0</v>
      </c>
      <c r="Q83" s="383">
        <f t="shared" si="4"/>
        <v>0</v>
      </c>
      <c r="R83" s="384" t="str">
        <f>IF(K83=0,"Niet van toepassing",IF(G83='3B-Prestaties vloeren'!$B$2,"Schrobben",IF(G83='3B-Prestaties vloeren'!$C$2,"Sprayen/conserveren",IF(G83='3B-Prestaties vloeren'!$D$2,"Sproei-extractie",0))))</f>
        <v>Niet van toepassing</v>
      </c>
      <c r="S83" s="385">
        <f>IF('2-Tarieven'!$B$28=0,0,IF(M83=0,0,'2-Tarieven'!$B$28*M83))</f>
        <v>0</v>
      </c>
      <c r="T83" s="386">
        <f>IF(AND(COUNTBLANK('3B-Prestaties vloeren'!$F$3:$H$24)=0,COUNTBLANK('3B-Prestaties vloeren'!$L$3:$M$24)=0),IF(R83="Sprayen/conserveren",I83/VLOOKUP(E83,'3B-Prestaties vloeren'!$A$3:$M$24,12,FALSE),0)*(P83-1),0)</f>
        <v>0</v>
      </c>
      <c r="U83" s="386">
        <f>IF(AND(COUNTBLANK('3B-Prestaties vloeren'!$F$3:$H$24)=0,COUNTBLANK('3B-Prestaties vloeren'!$L$3:$M$24)=0),IF(R83="Sprayen/conserveren",I83/VLOOKUP(E83,'3B-Prestaties vloeren'!$A$3:$M$24,13,FALSE),0),0)</f>
        <v>0</v>
      </c>
      <c r="V83" s="386">
        <f>IF(AND(COUNTBLANK('3B-Prestaties vloeren'!$F$3:$H$24)=0,COUNTBLANK('3B-Prestaties vloeren'!$L$3:$M$24)=0),IF(R83="schrobben",I83/VLOOKUP(E83,'3B-Prestaties vloeren'!$A$3:$H$24,6,FALSE),0)*P83,0)</f>
        <v>0</v>
      </c>
      <c r="W83" s="386">
        <f>IF(AND(COUNTBLANK('3B-Prestaties vloeren'!$F$3:$H$24)=0,COUNTBLANK('3B-Prestaties vloeren'!$L$3:$M$24)=0),IF(R83="sproei-extractie",I83/VLOOKUP(E83,'3B-Prestaties vloeren'!$A$3:$H$24,8,FALSE),0)*P83,0)</f>
        <v>0</v>
      </c>
    </row>
    <row r="84" spans="1:23" ht="15" hidden="1">
      <c r="A84" s="378" t="s">
        <v>654</v>
      </c>
      <c r="B84" s="378" t="s">
        <v>655</v>
      </c>
      <c r="C84" s="378">
        <v>1</v>
      </c>
      <c r="D84" s="378" t="s">
        <v>336</v>
      </c>
      <c r="E84" s="378" t="s">
        <v>6</v>
      </c>
      <c r="F84" s="378" t="s">
        <v>64</v>
      </c>
      <c r="G84" s="378" t="str">
        <f>VLOOKUP(F84,'3B-Prestaties vloeren'!$A$28:$B$118,2,0)</f>
        <v>Hard behandeld</v>
      </c>
      <c r="H84" s="378"/>
      <c r="I84" s="378">
        <v>28.73</v>
      </c>
      <c r="J84" s="420" t="s">
        <v>749</v>
      </c>
      <c r="K84" s="426">
        <v>52</v>
      </c>
      <c r="L84" s="378">
        <f t="shared" si="3"/>
        <v>1493.96</v>
      </c>
      <c r="M84" s="380" t="str">
        <f>IF(K84=0,0,IF(COUNTBLANK('3A-Prestatie'!$B$2:$I$22)=0,L84/VLOOKUP(E84,'3A-Prestatie'!$A$1:$M$22,VLOOKUP(K84,'3A-Prestatie'!$A$28:$B$34,2,FALSE),FALSE),"3A prestatie invullen"))</f>
        <v>3A prestatie invullen</v>
      </c>
      <c r="N84" s="380">
        <f t="shared" si="5"/>
        <v>0</v>
      </c>
      <c r="O84" s="381" t="str">
        <f>VLOOKUP(E84,'3A-Prestatie'!A:M,13,FALSE)</f>
        <v>V</v>
      </c>
      <c r="P84" s="382">
        <f>IF(R84="Niet van toepassing",0,VLOOKUP(E84,'3B-Prestaties vloeren'!$A$3:$D$24,IF(G84="Hard onbehandeld",2,IF(G84="Hard behandeld",3,4)),FALSE))</f>
        <v>4</v>
      </c>
      <c r="Q84" s="383">
        <f t="shared" si="4"/>
        <v>0</v>
      </c>
      <c r="R84" s="384" t="str">
        <f>IF(K84=0,"Niet van toepassing",IF(G84='3B-Prestaties vloeren'!$B$2,"Schrobben",IF(G84='3B-Prestaties vloeren'!$C$2,"Sprayen/conserveren",IF(G84='3B-Prestaties vloeren'!$D$2,"Sproei-extractie",0))))</f>
        <v>Sprayen/conserveren</v>
      </c>
      <c r="S84" s="385">
        <f>IF('2-Tarieven'!$B$28=0,0,IF(M84=0,0,'2-Tarieven'!$B$28*M84))</f>
        <v>0</v>
      </c>
      <c r="T84" s="386">
        <f>IF(AND(COUNTBLANK('3B-Prestaties vloeren'!$F$3:$H$24)=0,COUNTBLANK('3B-Prestaties vloeren'!$L$3:$M$24)=0),IF(R84="Sprayen/conserveren",I84/VLOOKUP(E84,'3B-Prestaties vloeren'!$A$3:$M$24,12,FALSE),0)*(P84-1),0)</f>
        <v>0</v>
      </c>
      <c r="U84" s="386">
        <f>IF(AND(COUNTBLANK('3B-Prestaties vloeren'!$F$3:$H$24)=0,COUNTBLANK('3B-Prestaties vloeren'!$L$3:$M$24)=0),IF(R84="Sprayen/conserveren",I84/VLOOKUP(E84,'3B-Prestaties vloeren'!$A$3:$M$24,13,FALSE),0),0)</f>
        <v>0</v>
      </c>
      <c r="V84" s="386">
        <f>IF(AND(COUNTBLANK('3B-Prestaties vloeren'!$F$3:$H$24)=0,COUNTBLANK('3B-Prestaties vloeren'!$L$3:$M$24)=0),IF(R84="schrobben",I84/VLOOKUP(E84,'3B-Prestaties vloeren'!$A$3:$H$24,6,FALSE),0)*P84,0)</f>
        <v>0</v>
      </c>
      <c r="W84" s="386">
        <f>IF(AND(COUNTBLANK('3B-Prestaties vloeren'!$F$3:$H$24)=0,COUNTBLANK('3B-Prestaties vloeren'!$L$3:$M$24)=0),IF(R84="sproei-extractie",I84/VLOOKUP(E84,'3B-Prestaties vloeren'!$A$3:$H$24,8,FALSE),0)*P84,0)</f>
        <v>0</v>
      </c>
    </row>
    <row r="85" spans="1:23" ht="15" hidden="1">
      <c r="A85" s="378" t="s">
        <v>654</v>
      </c>
      <c r="B85" s="378" t="s">
        <v>655</v>
      </c>
      <c r="C85" s="378">
        <v>1</v>
      </c>
      <c r="D85" s="378" t="s">
        <v>337</v>
      </c>
      <c r="E85" s="378" t="s">
        <v>285</v>
      </c>
      <c r="F85" s="378" t="s">
        <v>64</v>
      </c>
      <c r="G85" s="378" t="str">
        <f>VLOOKUP(F85,'3B-Prestaties vloeren'!$A$28:$B$118,2,0)</f>
        <v>Hard behandeld</v>
      </c>
      <c r="H85" s="378"/>
      <c r="I85" s="378">
        <v>28.96</v>
      </c>
      <c r="J85" s="420" t="s">
        <v>749</v>
      </c>
      <c r="K85" s="426">
        <v>52</v>
      </c>
      <c r="L85" s="378">
        <f t="shared" si="3"/>
        <v>1505.92</v>
      </c>
      <c r="M85" s="380" t="str">
        <f>IF(K85=0,0,IF(COUNTBLANK('3A-Prestatie'!$B$2:$I$22)=0,L85/VLOOKUP(E85,'3A-Prestatie'!$A$1:$M$22,VLOOKUP(K85,'3A-Prestatie'!$A$28:$B$34,2,FALSE),FALSE),"3A prestatie invullen"))</f>
        <v>3A prestatie invullen</v>
      </c>
      <c r="N85" s="380">
        <f t="shared" si="5"/>
        <v>0</v>
      </c>
      <c r="O85" s="381" t="str">
        <f>VLOOKUP(E85,'3A-Prestatie'!A:M,13,FALSE)</f>
        <v>V</v>
      </c>
      <c r="P85" s="382">
        <v>12</v>
      </c>
      <c r="Q85" s="383">
        <f t="shared" si="4"/>
        <v>0</v>
      </c>
      <c r="R85" s="384" t="str">
        <f>IF(K85=0,"Niet van toepassing",IF(G85='3B-Prestaties vloeren'!$B$2,"Schrobben",IF(G85='3B-Prestaties vloeren'!$C$2,"Sprayen/conserveren",IF(G85='3B-Prestaties vloeren'!$D$2,"Sproei-extractie",0))))</f>
        <v>Sprayen/conserveren</v>
      </c>
      <c r="S85" s="385">
        <f>IF('2-Tarieven'!$B$28=0,0,IF(M85=0,0,'2-Tarieven'!$B$28*M85))</f>
        <v>0</v>
      </c>
      <c r="T85" s="386">
        <f>IF(AND(COUNTBLANK('3B-Prestaties vloeren'!$F$3:$H$24)=0,COUNTBLANK('3B-Prestaties vloeren'!$L$3:$M$24)=0),IF(R85="Sprayen/conserveren",I85/VLOOKUP(E85,'3B-Prestaties vloeren'!$A$3:$M$24,12,FALSE),0)*(P85-1),0)</f>
        <v>0</v>
      </c>
      <c r="U85" s="386">
        <f>IF(AND(COUNTBLANK('3B-Prestaties vloeren'!$F$3:$H$24)=0,COUNTBLANK('3B-Prestaties vloeren'!$L$3:$M$24)=0),IF(R85="Sprayen/conserveren",I85/VLOOKUP(E85,'3B-Prestaties vloeren'!$A$3:$M$24,13,FALSE),0),0)</f>
        <v>0</v>
      </c>
      <c r="V85" s="386">
        <f>IF(AND(COUNTBLANK('3B-Prestaties vloeren'!$F$3:$H$24)=0,COUNTBLANK('3B-Prestaties vloeren'!$L$3:$M$24)=0),IF(R85="schrobben",I85/VLOOKUP(E85,'3B-Prestaties vloeren'!$A$3:$H$24,6,FALSE),0)*P85,0)</f>
        <v>0</v>
      </c>
      <c r="W85" s="386">
        <f>IF(AND(COUNTBLANK('3B-Prestaties vloeren'!$F$3:$H$24)=0,COUNTBLANK('3B-Prestaties vloeren'!$L$3:$M$24)=0),IF(R85="sproei-extractie",I85/VLOOKUP(E85,'3B-Prestaties vloeren'!$A$3:$H$24,8,FALSE),0)*P85,0)</f>
        <v>0</v>
      </c>
    </row>
    <row r="86" spans="1:23" ht="15" hidden="1">
      <c r="A86" s="378" t="s">
        <v>654</v>
      </c>
      <c r="B86" s="378" t="s">
        <v>655</v>
      </c>
      <c r="C86" s="378">
        <v>1</v>
      </c>
      <c r="D86" s="378" t="s">
        <v>660</v>
      </c>
      <c r="E86" s="378" t="s">
        <v>728</v>
      </c>
      <c r="F86" s="378" t="s">
        <v>266</v>
      </c>
      <c r="G86" s="378" t="str">
        <f>VLOOKUP(F86,'3B-Prestaties vloeren'!$A$28:$B$118,2,0)</f>
        <v>Hard behandeld</v>
      </c>
      <c r="H86" s="378" t="s">
        <v>656</v>
      </c>
      <c r="I86" s="378" t="s">
        <v>657</v>
      </c>
      <c r="J86" s="422"/>
      <c r="K86" s="426">
        <v>0</v>
      </c>
      <c r="L86" s="378">
        <f t="shared" si="3"/>
        <v>0</v>
      </c>
      <c r="M86" s="380">
        <f>IF(K86=0,0,IF(COUNTBLANK('3A-Prestatie'!$B$2:$I$22)=0,L86/VLOOKUP(E86,'3A-Prestatie'!$A$1:$M$22,VLOOKUP(K86,'3A-Prestatie'!$A$28:$B$34,2,FALSE),FALSE),"3A prestatie invullen"))</f>
        <v>0</v>
      </c>
      <c r="N86" s="380">
        <f t="shared" si="5"/>
        <v>0</v>
      </c>
      <c r="O86" s="381" t="str">
        <f>VLOOKUP(E86,'3A-Prestatie'!A:M,13,FALSE)</f>
        <v>N.v.t.</v>
      </c>
      <c r="P86" s="382">
        <f>IF(R86="Niet van toepassing",0,VLOOKUP(E86,'3B-Prestaties vloeren'!$A$3:$D$24,IF(G86="Hard onbehandeld",2,IF(G86="Hard behandeld",3,4)),FALSE))</f>
        <v>0</v>
      </c>
      <c r="Q86" s="383">
        <f t="shared" si="4"/>
        <v>0</v>
      </c>
      <c r="R86" s="384" t="str">
        <f>IF(K86=0,"Niet van toepassing",IF(G86='3B-Prestaties vloeren'!$B$2,"Schrobben",IF(G86='3B-Prestaties vloeren'!$C$2,"Sprayen/conserveren",IF(G86='3B-Prestaties vloeren'!$D$2,"Sproei-extractie",0))))</f>
        <v>Niet van toepassing</v>
      </c>
      <c r="S86" s="385">
        <f>IF('2-Tarieven'!$B$28=0,0,IF(M86=0,0,'2-Tarieven'!$B$28*M86))</f>
        <v>0</v>
      </c>
      <c r="T86" s="386">
        <f>IF(AND(COUNTBLANK('3B-Prestaties vloeren'!$F$3:$H$24)=0,COUNTBLANK('3B-Prestaties vloeren'!$L$3:$M$24)=0),IF(R86="Sprayen/conserveren",I86/VLOOKUP(E86,'3B-Prestaties vloeren'!$A$3:$M$24,12,FALSE),0)*(P86-1),0)</f>
        <v>0</v>
      </c>
      <c r="U86" s="386">
        <f>IF(AND(COUNTBLANK('3B-Prestaties vloeren'!$F$3:$H$24)=0,COUNTBLANK('3B-Prestaties vloeren'!$L$3:$M$24)=0),IF(R86="Sprayen/conserveren",I86/VLOOKUP(E86,'3B-Prestaties vloeren'!$A$3:$M$24,13,FALSE),0),0)</f>
        <v>0</v>
      </c>
      <c r="V86" s="386">
        <f>IF(AND(COUNTBLANK('3B-Prestaties vloeren'!$F$3:$H$24)=0,COUNTBLANK('3B-Prestaties vloeren'!$L$3:$M$24)=0),IF(R86="schrobben",I86/VLOOKUP(E86,'3B-Prestaties vloeren'!$A$3:$H$24,6,FALSE),0)*P86,0)</f>
        <v>0</v>
      </c>
      <c r="W86" s="386">
        <f>IF(AND(COUNTBLANK('3B-Prestaties vloeren'!$F$3:$H$24)=0,COUNTBLANK('3B-Prestaties vloeren'!$L$3:$M$24)=0),IF(R86="sproei-extractie",I86/VLOOKUP(E86,'3B-Prestaties vloeren'!$A$3:$H$24,8,FALSE),0)*P86,0)</f>
        <v>0</v>
      </c>
    </row>
    <row r="87" spans="1:23" ht="15" hidden="1">
      <c r="A87" s="378" t="s">
        <v>654</v>
      </c>
      <c r="B87" s="378" t="s">
        <v>655</v>
      </c>
      <c r="C87" s="378">
        <v>1</v>
      </c>
      <c r="D87" s="378" t="s">
        <v>338</v>
      </c>
      <c r="E87" s="378" t="s">
        <v>5</v>
      </c>
      <c r="F87" s="378" t="s">
        <v>64</v>
      </c>
      <c r="G87" s="378" t="str">
        <f>VLOOKUP(F87,'3B-Prestaties vloeren'!$A$28:$B$118,2,0)</f>
        <v>Hard behandeld</v>
      </c>
      <c r="H87" s="378"/>
      <c r="I87" s="378">
        <v>45.77</v>
      </c>
      <c r="J87" s="422"/>
      <c r="K87" s="426">
        <v>0</v>
      </c>
      <c r="L87" s="378">
        <f t="shared" si="3"/>
        <v>0</v>
      </c>
      <c r="M87" s="380">
        <f>IF(K87=0,0,IF(COUNTBLANK('3A-Prestatie'!$B$2:$I$22)=0,L87/VLOOKUP(E87,'3A-Prestatie'!$A$1:$M$22,VLOOKUP(K87,'3A-Prestatie'!$A$28:$B$34,2,FALSE),FALSE),"3A prestatie invullen"))</f>
        <v>0</v>
      </c>
      <c r="N87" s="380">
        <f t="shared" si="5"/>
        <v>0</v>
      </c>
      <c r="O87" s="381" t="str">
        <f>VLOOKUP(E87,'3A-Prestatie'!A:M,13,FALSE)</f>
        <v>B</v>
      </c>
      <c r="P87" s="382">
        <f>IF(R87="Niet van toepassing",0,VLOOKUP(E87,'3B-Prestaties vloeren'!$A$3:$D$24,IF(G87="Hard onbehandeld",2,IF(G87="Hard behandeld",3,4)),FALSE))</f>
        <v>0</v>
      </c>
      <c r="Q87" s="383">
        <f t="shared" si="4"/>
        <v>0</v>
      </c>
      <c r="R87" s="384" t="str">
        <f>IF(K87=0,"Niet van toepassing",IF(G87='3B-Prestaties vloeren'!$B$2,"Schrobben",IF(G87='3B-Prestaties vloeren'!$C$2,"Sprayen/conserveren",IF(G87='3B-Prestaties vloeren'!$D$2,"Sproei-extractie",0))))</f>
        <v>Niet van toepassing</v>
      </c>
      <c r="S87" s="385">
        <f>IF('2-Tarieven'!$B$28=0,0,IF(M87=0,0,'2-Tarieven'!$B$28*M87))</f>
        <v>0</v>
      </c>
      <c r="T87" s="386">
        <f>IF(AND(COUNTBLANK('3B-Prestaties vloeren'!$F$3:$H$24)=0,COUNTBLANK('3B-Prestaties vloeren'!$L$3:$M$24)=0),IF(R87="Sprayen/conserveren",I87/VLOOKUP(E87,'3B-Prestaties vloeren'!$A$3:$M$24,12,FALSE),0)*(P87-1),0)</f>
        <v>0</v>
      </c>
      <c r="U87" s="386">
        <f>IF(AND(COUNTBLANK('3B-Prestaties vloeren'!$F$3:$H$24)=0,COUNTBLANK('3B-Prestaties vloeren'!$L$3:$M$24)=0),IF(R87="Sprayen/conserveren",I87/VLOOKUP(E87,'3B-Prestaties vloeren'!$A$3:$M$24,13,FALSE),0),0)</f>
        <v>0</v>
      </c>
      <c r="V87" s="386">
        <f>IF(AND(COUNTBLANK('3B-Prestaties vloeren'!$F$3:$H$24)=0,COUNTBLANK('3B-Prestaties vloeren'!$L$3:$M$24)=0),IF(R87="schrobben",I87/VLOOKUP(E87,'3B-Prestaties vloeren'!$A$3:$H$24,6,FALSE),0)*P87,0)</f>
        <v>0</v>
      </c>
      <c r="W87" s="386">
        <f>IF(AND(COUNTBLANK('3B-Prestaties vloeren'!$F$3:$H$24)=0,COUNTBLANK('3B-Prestaties vloeren'!$L$3:$M$24)=0),IF(R87="sproei-extractie",I87/VLOOKUP(E87,'3B-Prestaties vloeren'!$A$3:$H$24,8,FALSE),0)*P87,0)</f>
        <v>0</v>
      </c>
    </row>
    <row r="88" spans="1:23" ht="15" hidden="1">
      <c r="A88" s="378" t="s">
        <v>654</v>
      </c>
      <c r="B88" s="378" t="s">
        <v>655</v>
      </c>
      <c r="C88" s="378">
        <v>1</v>
      </c>
      <c r="D88" s="378" t="s">
        <v>339</v>
      </c>
      <c r="E88" s="378" t="s">
        <v>5</v>
      </c>
      <c r="F88" s="378" t="s">
        <v>64</v>
      </c>
      <c r="G88" s="378" t="str">
        <f>VLOOKUP(F88,'3B-Prestaties vloeren'!$A$28:$B$118,2,0)</f>
        <v>Hard behandeld</v>
      </c>
      <c r="H88" s="378"/>
      <c r="I88" s="378">
        <v>60.92</v>
      </c>
      <c r="J88" s="422"/>
      <c r="K88" s="426">
        <v>0</v>
      </c>
      <c r="L88" s="378">
        <f t="shared" si="3"/>
        <v>0</v>
      </c>
      <c r="M88" s="380">
        <f>IF(K88=0,0,IF(COUNTBLANK('3A-Prestatie'!$B$2:$I$22)=0,L88/VLOOKUP(E88,'3A-Prestatie'!$A$1:$M$22,VLOOKUP(K88,'3A-Prestatie'!$A$28:$B$34,2,FALSE),FALSE),"3A prestatie invullen"))</f>
        <v>0</v>
      </c>
      <c r="N88" s="380">
        <f t="shared" si="5"/>
        <v>0</v>
      </c>
      <c r="O88" s="381" t="str">
        <f>VLOOKUP(E88,'3A-Prestatie'!A:M,13,FALSE)</f>
        <v>B</v>
      </c>
      <c r="P88" s="382">
        <f>IF(R88="Niet van toepassing",0,VLOOKUP(E88,'3B-Prestaties vloeren'!$A$3:$D$24,IF(G88="Hard onbehandeld",2,IF(G88="Hard behandeld",3,4)),FALSE))</f>
        <v>0</v>
      </c>
      <c r="Q88" s="383">
        <f t="shared" si="4"/>
        <v>0</v>
      </c>
      <c r="R88" s="384" t="str">
        <f>IF(K88=0,"Niet van toepassing",IF(G88='3B-Prestaties vloeren'!$B$2,"Schrobben",IF(G88='3B-Prestaties vloeren'!$C$2,"Sprayen/conserveren",IF(G88='3B-Prestaties vloeren'!$D$2,"Sproei-extractie",0))))</f>
        <v>Niet van toepassing</v>
      </c>
      <c r="S88" s="385">
        <f>IF('2-Tarieven'!$B$28=0,0,IF(M88=0,0,'2-Tarieven'!$B$28*M88))</f>
        <v>0</v>
      </c>
      <c r="T88" s="386">
        <f>IF(AND(COUNTBLANK('3B-Prestaties vloeren'!$F$3:$H$24)=0,COUNTBLANK('3B-Prestaties vloeren'!$L$3:$M$24)=0),IF(R88="Sprayen/conserveren",I88/VLOOKUP(E88,'3B-Prestaties vloeren'!$A$3:$M$24,12,FALSE),0)*(P88-1),0)</f>
        <v>0</v>
      </c>
      <c r="U88" s="386">
        <f>IF(AND(COUNTBLANK('3B-Prestaties vloeren'!$F$3:$H$24)=0,COUNTBLANK('3B-Prestaties vloeren'!$L$3:$M$24)=0),IF(R88="Sprayen/conserveren",I88/VLOOKUP(E88,'3B-Prestaties vloeren'!$A$3:$M$24,13,FALSE),0),0)</f>
        <v>0</v>
      </c>
      <c r="V88" s="386">
        <f>IF(AND(COUNTBLANK('3B-Prestaties vloeren'!$F$3:$H$24)=0,COUNTBLANK('3B-Prestaties vloeren'!$L$3:$M$24)=0),IF(R88="schrobben",I88/VLOOKUP(E88,'3B-Prestaties vloeren'!$A$3:$H$24,6,FALSE),0)*P88,0)</f>
        <v>0</v>
      </c>
      <c r="W88" s="386">
        <f>IF(AND(COUNTBLANK('3B-Prestaties vloeren'!$F$3:$H$24)=0,COUNTBLANK('3B-Prestaties vloeren'!$L$3:$M$24)=0),IF(R88="sproei-extractie",I88/VLOOKUP(E88,'3B-Prestaties vloeren'!$A$3:$H$24,8,FALSE),0)*P88,0)</f>
        <v>0</v>
      </c>
    </row>
    <row r="89" spans="1:23" ht="15" hidden="1">
      <c r="A89" s="378" t="s">
        <v>654</v>
      </c>
      <c r="B89" s="378" t="s">
        <v>655</v>
      </c>
      <c r="C89" s="378">
        <v>1</v>
      </c>
      <c r="D89" s="378" t="s">
        <v>340</v>
      </c>
      <c r="E89" s="378" t="s">
        <v>728</v>
      </c>
      <c r="F89" s="378" t="s">
        <v>64</v>
      </c>
      <c r="G89" s="378" t="str">
        <f>VLOOKUP(F89,'3B-Prestaties vloeren'!$A$28:$B$118,2,0)</f>
        <v>Hard behandeld</v>
      </c>
      <c r="H89" s="378" t="s">
        <v>287</v>
      </c>
      <c r="I89" s="378">
        <v>8.39</v>
      </c>
      <c r="J89" s="422"/>
      <c r="K89" s="426">
        <v>0</v>
      </c>
      <c r="L89" s="378">
        <f t="shared" si="3"/>
        <v>0</v>
      </c>
      <c r="M89" s="380">
        <f>IF(K89=0,0,IF(COUNTBLANK('3A-Prestatie'!$B$2:$I$22)=0,L89/VLOOKUP(E89,'3A-Prestatie'!$A$1:$M$22,VLOOKUP(K89,'3A-Prestatie'!$A$28:$B$34,2,FALSE),FALSE),"3A prestatie invullen"))</f>
        <v>0</v>
      </c>
      <c r="N89" s="380">
        <f t="shared" si="5"/>
        <v>0</v>
      </c>
      <c r="O89" s="381" t="str">
        <f>VLOOKUP(E89,'3A-Prestatie'!A:M,13,FALSE)</f>
        <v>N.v.t.</v>
      </c>
      <c r="P89" s="382">
        <f>IF(R89="Niet van toepassing",0,VLOOKUP(E89,'3B-Prestaties vloeren'!$A$3:$D$24,IF(G89="Hard onbehandeld",2,IF(G89="Hard behandeld",3,4)),FALSE))</f>
        <v>0</v>
      </c>
      <c r="Q89" s="383">
        <f t="shared" si="4"/>
        <v>0</v>
      </c>
      <c r="R89" s="384" t="str">
        <f>IF(K89=0,"Niet van toepassing",IF(G89='3B-Prestaties vloeren'!$B$2,"Schrobben",IF(G89='3B-Prestaties vloeren'!$C$2,"Sprayen/conserveren",IF(G89='3B-Prestaties vloeren'!$D$2,"Sproei-extractie",0))))</f>
        <v>Niet van toepassing</v>
      </c>
      <c r="S89" s="385">
        <f>IF('2-Tarieven'!$B$28=0,0,IF(M89=0,0,'2-Tarieven'!$B$28*M89))</f>
        <v>0</v>
      </c>
      <c r="T89" s="386">
        <f>IF(AND(COUNTBLANK('3B-Prestaties vloeren'!$F$3:$H$24)=0,COUNTBLANK('3B-Prestaties vloeren'!$L$3:$M$24)=0),IF(R89="Sprayen/conserveren",I89/VLOOKUP(E89,'3B-Prestaties vloeren'!$A$3:$M$24,12,FALSE),0)*(P89-1),0)</f>
        <v>0</v>
      </c>
      <c r="U89" s="386">
        <f>IF(AND(COUNTBLANK('3B-Prestaties vloeren'!$F$3:$H$24)=0,COUNTBLANK('3B-Prestaties vloeren'!$L$3:$M$24)=0),IF(R89="Sprayen/conserveren",I89/VLOOKUP(E89,'3B-Prestaties vloeren'!$A$3:$M$24,13,FALSE),0),0)</f>
        <v>0</v>
      </c>
      <c r="V89" s="386">
        <f>IF(AND(COUNTBLANK('3B-Prestaties vloeren'!$F$3:$H$24)=0,COUNTBLANK('3B-Prestaties vloeren'!$L$3:$M$24)=0),IF(R89="schrobben",I89/VLOOKUP(E89,'3B-Prestaties vloeren'!$A$3:$H$24,6,FALSE),0)*P89,0)</f>
        <v>0</v>
      </c>
      <c r="W89" s="386">
        <f>IF(AND(COUNTBLANK('3B-Prestaties vloeren'!$F$3:$H$24)=0,COUNTBLANK('3B-Prestaties vloeren'!$L$3:$M$24)=0),IF(R89="sproei-extractie",I89/VLOOKUP(E89,'3B-Prestaties vloeren'!$A$3:$H$24,8,FALSE),0)*P89,0)</f>
        <v>0</v>
      </c>
    </row>
    <row r="90" spans="1:23" ht="15" hidden="1">
      <c r="A90" s="378" t="s">
        <v>654</v>
      </c>
      <c r="B90" s="378" t="s">
        <v>655</v>
      </c>
      <c r="C90" s="378">
        <v>1</v>
      </c>
      <c r="D90" s="378" t="s">
        <v>342</v>
      </c>
      <c r="E90" s="378" t="s">
        <v>285</v>
      </c>
      <c r="F90" s="378" t="s">
        <v>64</v>
      </c>
      <c r="G90" s="378" t="str">
        <f>VLOOKUP(F90,'3B-Prestaties vloeren'!$A$28:$B$118,2,0)</f>
        <v>Hard behandeld</v>
      </c>
      <c r="H90" s="378"/>
      <c r="I90" s="378">
        <v>10.46</v>
      </c>
      <c r="J90" s="420" t="s">
        <v>749</v>
      </c>
      <c r="K90" s="426">
        <v>52</v>
      </c>
      <c r="L90" s="378">
        <f t="shared" si="3"/>
        <v>543.92000000000007</v>
      </c>
      <c r="M90" s="380" t="str">
        <f>IF(K90=0,0,IF(COUNTBLANK('3A-Prestatie'!$B$2:$I$22)=0,L90/VLOOKUP(E90,'3A-Prestatie'!$A$1:$M$22,VLOOKUP(K90,'3A-Prestatie'!$A$28:$B$34,2,FALSE),FALSE),"3A prestatie invullen"))</f>
        <v>3A prestatie invullen</v>
      </c>
      <c r="N90" s="380">
        <f t="shared" si="5"/>
        <v>0</v>
      </c>
      <c r="O90" s="381" t="str">
        <f>VLOOKUP(E90,'3A-Prestatie'!A:M,13,FALSE)</f>
        <v>V</v>
      </c>
      <c r="P90" s="382">
        <v>12</v>
      </c>
      <c r="Q90" s="383">
        <f t="shared" si="4"/>
        <v>0</v>
      </c>
      <c r="R90" s="384" t="str">
        <f>IF(K90=0,"Niet van toepassing",IF(G90='3B-Prestaties vloeren'!$B$2,"Schrobben",IF(G90='3B-Prestaties vloeren'!$C$2,"Sprayen/conserveren",IF(G90='3B-Prestaties vloeren'!$D$2,"Sproei-extractie",0))))</f>
        <v>Sprayen/conserveren</v>
      </c>
      <c r="S90" s="385">
        <f>IF('2-Tarieven'!$B$28=0,0,IF(M90=0,0,'2-Tarieven'!$B$28*M90))</f>
        <v>0</v>
      </c>
      <c r="T90" s="386">
        <f>IF(AND(COUNTBLANK('3B-Prestaties vloeren'!$F$3:$H$24)=0,COUNTBLANK('3B-Prestaties vloeren'!$L$3:$M$24)=0),IF(R90="Sprayen/conserveren",I90/VLOOKUP(E90,'3B-Prestaties vloeren'!$A$3:$M$24,12,FALSE),0)*(P90-1),0)</f>
        <v>0</v>
      </c>
      <c r="U90" s="386">
        <f>IF(AND(COUNTBLANK('3B-Prestaties vloeren'!$F$3:$H$24)=0,COUNTBLANK('3B-Prestaties vloeren'!$L$3:$M$24)=0),IF(R90="Sprayen/conserveren",I90/VLOOKUP(E90,'3B-Prestaties vloeren'!$A$3:$M$24,13,FALSE),0),0)</f>
        <v>0</v>
      </c>
      <c r="V90" s="386">
        <f>IF(AND(COUNTBLANK('3B-Prestaties vloeren'!$F$3:$H$24)=0,COUNTBLANK('3B-Prestaties vloeren'!$L$3:$M$24)=0),IF(R90="schrobben",I90/VLOOKUP(E90,'3B-Prestaties vloeren'!$A$3:$H$24,6,FALSE),0)*P90,0)</f>
        <v>0</v>
      </c>
      <c r="W90" s="386">
        <f>IF(AND(COUNTBLANK('3B-Prestaties vloeren'!$F$3:$H$24)=0,COUNTBLANK('3B-Prestaties vloeren'!$L$3:$M$24)=0),IF(R90="sproei-extractie",I90/VLOOKUP(E90,'3B-Prestaties vloeren'!$A$3:$H$24,8,FALSE),0)*P90,0)</f>
        <v>0</v>
      </c>
    </row>
    <row r="91" spans="1:23" ht="15" hidden="1">
      <c r="A91" s="378" t="s">
        <v>654</v>
      </c>
      <c r="B91" s="378" t="s">
        <v>655</v>
      </c>
      <c r="C91" s="378">
        <v>1</v>
      </c>
      <c r="D91" s="378" t="s">
        <v>661</v>
      </c>
      <c r="E91" s="378" t="s">
        <v>728</v>
      </c>
      <c r="F91" s="378" t="s">
        <v>266</v>
      </c>
      <c r="G91" s="378" t="str">
        <f>VLOOKUP(F91,'3B-Prestaties vloeren'!$A$28:$B$118,2,0)</f>
        <v>Hard behandeld</v>
      </c>
      <c r="H91" s="378" t="s">
        <v>656</v>
      </c>
      <c r="I91" s="378" t="s">
        <v>657</v>
      </c>
      <c r="J91" s="422"/>
      <c r="K91" s="426">
        <v>0</v>
      </c>
      <c r="L91" s="378">
        <f t="shared" si="3"/>
        <v>0</v>
      </c>
      <c r="M91" s="380">
        <f>IF(K91=0,0,IF(COUNTBLANK('3A-Prestatie'!$B$2:$I$22)=0,L91/VLOOKUP(E91,'3A-Prestatie'!$A$1:$M$22,VLOOKUP(K91,'3A-Prestatie'!$A$28:$B$34,2,FALSE),FALSE),"3A prestatie invullen"))</f>
        <v>0</v>
      </c>
      <c r="N91" s="380">
        <f t="shared" si="5"/>
        <v>0</v>
      </c>
      <c r="O91" s="381" t="str">
        <f>VLOOKUP(E91,'3A-Prestatie'!A:M,13,FALSE)</f>
        <v>N.v.t.</v>
      </c>
      <c r="P91" s="382">
        <f>IF(R91="Niet van toepassing",0,VLOOKUP(E91,'3B-Prestaties vloeren'!$A$3:$D$24,IF(G91="Hard onbehandeld",2,IF(G91="Hard behandeld",3,4)),FALSE))</f>
        <v>0</v>
      </c>
      <c r="Q91" s="383">
        <f t="shared" si="4"/>
        <v>0</v>
      </c>
      <c r="R91" s="384" t="str">
        <f>IF(K91=0,"Niet van toepassing",IF(G91='3B-Prestaties vloeren'!$B$2,"Schrobben",IF(G91='3B-Prestaties vloeren'!$C$2,"Sprayen/conserveren",IF(G91='3B-Prestaties vloeren'!$D$2,"Sproei-extractie",0))))</f>
        <v>Niet van toepassing</v>
      </c>
      <c r="S91" s="385">
        <f>IF('2-Tarieven'!$B$28=0,0,IF(M91=0,0,'2-Tarieven'!$B$28*M91))</f>
        <v>0</v>
      </c>
      <c r="T91" s="386">
        <f>IF(AND(COUNTBLANK('3B-Prestaties vloeren'!$F$3:$H$24)=0,COUNTBLANK('3B-Prestaties vloeren'!$L$3:$M$24)=0),IF(R91="Sprayen/conserveren",I91/VLOOKUP(E91,'3B-Prestaties vloeren'!$A$3:$M$24,12,FALSE),0)*(P91-1),0)</f>
        <v>0</v>
      </c>
      <c r="U91" s="386">
        <f>IF(AND(COUNTBLANK('3B-Prestaties vloeren'!$F$3:$H$24)=0,COUNTBLANK('3B-Prestaties vloeren'!$L$3:$M$24)=0),IF(R91="Sprayen/conserveren",I91/VLOOKUP(E91,'3B-Prestaties vloeren'!$A$3:$M$24,13,FALSE),0),0)</f>
        <v>0</v>
      </c>
      <c r="V91" s="386">
        <f>IF(AND(COUNTBLANK('3B-Prestaties vloeren'!$F$3:$H$24)=0,COUNTBLANK('3B-Prestaties vloeren'!$L$3:$M$24)=0),IF(R91="schrobben",I91/VLOOKUP(E91,'3B-Prestaties vloeren'!$A$3:$H$24,6,FALSE),0)*P91,0)</f>
        <v>0</v>
      </c>
      <c r="W91" s="386">
        <f>IF(AND(COUNTBLANK('3B-Prestaties vloeren'!$F$3:$H$24)=0,COUNTBLANK('3B-Prestaties vloeren'!$L$3:$M$24)=0),IF(R91="sproei-extractie",I91/VLOOKUP(E91,'3B-Prestaties vloeren'!$A$3:$H$24,8,FALSE),0)*P91,0)</f>
        <v>0</v>
      </c>
    </row>
    <row r="92" spans="1:23" ht="15" hidden="1">
      <c r="A92" s="378" t="s">
        <v>654</v>
      </c>
      <c r="B92" s="378" t="s">
        <v>655</v>
      </c>
      <c r="C92" s="378">
        <v>1</v>
      </c>
      <c r="D92" s="378" t="s">
        <v>343</v>
      </c>
      <c r="E92" s="378" t="s">
        <v>5</v>
      </c>
      <c r="F92" s="378" t="s">
        <v>64</v>
      </c>
      <c r="G92" s="378" t="str">
        <f>VLOOKUP(F92,'3B-Prestaties vloeren'!$A$28:$B$118,2,0)</f>
        <v>Hard behandeld</v>
      </c>
      <c r="H92" s="378"/>
      <c r="I92" s="378">
        <v>22.7</v>
      </c>
      <c r="J92" s="419"/>
      <c r="K92" s="426">
        <v>0</v>
      </c>
      <c r="L92" s="378">
        <f t="shared" si="3"/>
        <v>0</v>
      </c>
      <c r="M92" s="380">
        <f>IF(K92=0,0,IF(COUNTBLANK('3A-Prestatie'!$B$2:$I$22)=0,L92/VLOOKUP(E92,'3A-Prestatie'!$A$1:$M$22,VLOOKUP(K92,'3A-Prestatie'!$A$28:$B$34,2,FALSE),FALSE),"3A prestatie invullen"))</f>
        <v>0</v>
      </c>
      <c r="N92" s="380">
        <f t="shared" si="5"/>
        <v>0</v>
      </c>
      <c r="O92" s="381" t="str">
        <f>VLOOKUP(E92,'3A-Prestatie'!A:M,13,FALSE)</f>
        <v>B</v>
      </c>
      <c r="P92" s="382">
        <f>IF(R92="Niet van toepassing",0,VLOOKUP(E92,'3B-Prestaties vloeren'!$A$3:$D$24,IF(G92="Hard onbehandeld",2,IF(G92="Hard behandeld",3,4)),FALSE))</f>
        <v>0</v>
      </c>
      <c r="Q92" s="383">
        <f t="shared" si="4"/>
        <v>0</v>
      </c>
      <c r="R92" s="384" t="str">
        <f>IF(K92=0,"Niet van toepassing",IF(G92='3B-Prestaties vloeren'!$B$2,"Schrobben",IF(G92='3B-Prestaties vloeren'!$C$2,"Sprayen/conserveren",IF(G92='3B-Prestaties vloeren'!$D$2,"Sproei-extractie",0))))</f>
        <v>Niet van toepassing</v>
      </c>
      <c r="S92" s="385">
        <f>IF('2-Tarieven'!$B$28=0,0,IF(M92=0,0,'2-Tarieven'!$B$28*M92))</f>
        <v>0</v>
      </c>
      <c r="T92" s="386">
        <f>IF(AND(COUNTBLANK('3B-Prestaties vloeren'!$F$3:$H$24)=0,COUNTBLANK('3B-Prestaties vloeren'!$L$3:$M$24)=0),IF(R92="Sprayen/conserveren",I92/VLOOKUP(E92,'3B-Prestaties vloeren'!$A$3:$M$24,12,FALSE),0)*(P92-1),0)</f>
        <v>0</v>
      </c>
      <c r="U92" s="386">
        <f>IF(AND(COUNTBLANK('3B-Prestaties vloeren'!$F$3:$H$24)=0,COUNTBLANK('3B-Prestaties vloeren'!$L$3:$M$24)=0),IF(R92="Sprayen/conserveren",I92/VLOOKUP(E92,'3B-Prestaties vloeren'!$A$3:$M$24,13,FALSE),0),0)</f>
        <v>0</v>
      </c>
      <c r="V92" s="386">
        <f>IF(AND(COUNTBLANK('3B-Prestaties vloeren'!$F$3:$H$24)=0,COUNTBLANK('3B-Prestaties vloeren'!$L$3:$M$24)=0),IF(R92="schrobben",I92/VLOOKUP(E92,'3B-Prestaties vloeren'!$A$3:$H$24,6,FALSE),0)*P92,0)</f>
        <v>0</v>
      </c>
      <c r="W92" s="386">
        <f>IF(AND(COUNTBLANK('3B-Prestaties vloeren'!$F$3:$H$24)=0,COUNTBLANK('3B-Prestaties vloeren'!$L$3:$M$24)=0),IF(R92="sproei-extractie",I92/VLOOKUP(E92,'3B-Prestaties vloeren'!$A$3:$H$24,8,FALSE),0)*P92,0)</f>
        <v>0</v>
      </c>
    </row>
    <row r="93" spans="1:23" ht="15" hidden="1">
      <c r="A93" s="378" t="s">
        <v>654</v>
      </c>
      <c r="B93" s="378" t="s">
        <v>655</v>
      </c>
      <c r="C93" s="378">
        <v>1</v>
      </c>
      <c r="D93" s="378" t="s">
        <v>7</v>
      </c>
      <c r="E93" s="378" t="s">
        <v>5</v>
      </c>
      <c r="F93" s="378" t="s">
        <v>64</v>
      </c>
      <c r="G93" s="378" t="str">
        <f>VLOOKUP(F93,'3B-Prestaties vloeren'!$A$28:$B$118,2,0)</f>
        <v>Hard behandeld</v>
      </c>
      <c r="H93" s="378"/>
      <c r="I93" s="378">
        <v>46.55</v>
      </c>
      <c r="J93" s="419"/>
      <c r="K93" s="426">
        <v>0</v>
      </c>
      <c r="L93" s="378">
        <f t="shared" si="3"/>
        <v>0</v>
      </c>
      <c r="M93" s="380">
        <f>IF(K93=0,0,IF(COUNTBLANK('3A-Prestatie'!$B$2:$I$22)=0,L93/VLOOKUP(E93,'3A-Prestatie'!$A$1:$M$22,VLOOKUP(K93,'3A-Prestatie'!$A$28:$B$34,2,FALSE),FALSE),"3A prestatie invullen"))</f>
        <v>0</v>
      </c>
      <c r="N93" s="380">
        <f t="shared" si="5"/>
        <v>0</v>
      </c>
      <c r="O93" s="381" t="str">
        <f>VLOOKUP(E93,'3A-Prestatie'!A:M,13,FALSE)</f>
        <v>B</v>
      </c>
      <c r="P93" s="382">
        <f>IF(R93="Niet van toepassing",0,VLOOKUP(E93,'3B-Prestaties vloeren'!$A$3:$D$24,IF(G93="Hard onbehandeld",2,IF(G93="Hard behandeld",3,4)),FALSE))</f>
        <v>0</v>
      </c>
      <c r="Q93" s="383">
        <f t="shared" si="4"/>
        <v>0</v>
      </c>
      <c r="R93" s="384" t="str">
        <f>IF(K93=0,"Niet van toepassing",IF(G93='3B-Prestaties vloeren'!$B$2,"Schrobben",IF(G93='3B-Prestaties vloeren'!$C$2,"Sprayen/conserveren",IF(G93='3B-Prestaties vloeren'!$D$2,"Sproei-extractie",0))))</f>
        <v>Niet van toepassing</v>
      </c>
      <c r="S93" s="385">
        <f>IF('2-Tarieven'!$B$28=0,0,IF(M93=0,0,'2-Tarieven'!$B$28*M93))</f>
        <v>0</v>
      </c>
      <c r="T93" s="386">
        <f>IF(AND(COUNTBLANK('3B-Prestaties vloeren'!$F$3:$H$24)=0,COUNTBLANK('3B-Prestaties vloeren'!$L$3:$M$24)=0),IF(R93="Sprayen/conserveren",I93/VLOOKUP(E93,'3B-Prestaties vloeren'!$A$3:$M$24,12,FALSE),0)*(P93-1),0)</f>
        <v>0</v>
      </c>
      <c r="U93" s="386">
        <f>IF(AND(COUNTBLANK('3B-Prestaties vloeren'!$F$3:$H$24)=0,COUNTBLANK('3B-Prestaties vloeren'!$L$3:$M$24)=0),IF(R93="Sprayen/conserveren",I93/VLOOKUP(E93,'3B-Prestaties vloeren'!$A$3:$M$24,13,FALSE),0),0)</f>
        <v>0</v>
      </c>
      <c r="V93" s="386">
        <f>IF(AND(COUNTBLANK('3B-Prestaties vloeren'!$F$3:$H$24)=0,COUNTBLANK('3B-Prestaties vloeren'!$L$3:$M$24)=0),IF(R93="schrobben",I93/VLOOKUP(E93,'3B-Prestaties vloeren'!$A$3:$H$24,6,FALSE),0)*P93,0)</f>
        <v>0</v>
      </c>
      <c r="W93" s="386">
        <f>IF(AND(COUNTBLANK('3B-Prestaties vloeren'!$F$3:$H$24)=0,COUNTBLANK('3B-Prestaties vloeren'!$L$3:$M$24)=0),IF(R93="sproei-extractie",I93/VLOOKUP(E93,'3B-Prestaties vloeren'!$A$3:$H$24,8,FALSE),0)*P93,0)</f>
        <v>0</v>
      </c>
    </row>
    <row r="94" spans="1:23" ht="15" hidden="1">
      <c r="A94" s="378" t="s">
        <v>654</v>
      </c>
      <c r="B94" s="378" t="s">
        <v>655</v>
      </c>
      <c r="C94" s="378">
        <v>1</v>
      </c>
      <c r="D94" s="378" t="s">
        <v>344</v>
      </c>
      <c r="E94" s="378" t="s">
        <v>5</v>
      </c>
      <c r="F94" s="378" t="s">
        <v>64</v>
      </c>
      <c r="G94" s="378" t="str">
        <f>VLOOKUP(F94,'3B-Prestaties vloeren'!$A$28:$B$118,2,0)</f>
        <v>Hard behandeld</v>
      </c>
      <c r="H94" s="378"/>
      <c r="I94" s="378">
        <v>72.349999999999994</v>
      </c>
      <c r="J94" s="419"/>
      <c r="K94" s="426">
        <v>0</v>
      </c>
      <c r="L94" s="378">
        <f t="shared" si="3"/>
        <v>0</v>
      </c>
      <c r="M94" s="380">
        <f>IF(K94=0,0,IF(COUNTBLANK('3A-Prestatie'!$B$2:$I$22)=0,L94/VLOOKUP(E94,'3A-Prestatie'!$A$1:$M$22,VLOOKUP(K94,'3A-Prestatie'!$A$28:$B$34,2,FALSE),FALSE),"3A prestatie invullen"))</f>
        <v>0</v>
      </c>
      <c r="N94" s="380">
        <f t="shared" si="5"/>
        <v>0</v>
      </c>
      <c r="O94" s="381" t="str">
        <f>VLOOKUP(E94,'3A-Prestatie'!A:M,13,FALSE)</f>
        <v>B</v>
      </c>
      <c r="P94" s="382">
        <f>IF(R94="Niet van toepassing",0,VLOOKUP(E94,'3B-Prestaties vloeren'!$A$3:$D$24,IF(G94="Hard onbehandeld",2,IF(G94="Hard behandeld",3,4)),FALSE))</f>
        <v>0</v>
      </c>
      <c r="Q94" s="383">
        <f t="shared" si="4"/>
        <v>0</v>
      </c>
      <c r="R94" s="384" t="str">
        <f>IF(K94=0,"Niet van toepassing",IF(G94='3B-Prestaties vloeren'!$B$2,"Schrobben",IF(G94='3B-Prestaties vloeren'!$C$2,"Sprayen/conserveren",IF(G94='3B-Prestaties vloeren'!$D$2,"Sproei-extractie",0))))</f>
        <v>Niet van toepassing</v>
      </c>
      <c r="S94" s="385">
        <f>IF('2-Tarieven'!$B$28=0,0,IF(M94=0,0,'2-Tarieven'!$B$28*M94))</f>
        <v>0</v>
      </c>
      <c r="T94" s="386">
        <f>IF(AND(COUNTBLANK('3B-Prestaties vloeren'!$F$3:$H$24)=0,COUNTBLANK('3B-Prestaties vloeren'!$L$3:$M$24)=0),IF(R94="Sprayen/conserveren",I94/VLOOKUP(E94,'3B-Prestaties vloeren'!$A$3:$M$24,12,FALSE),0)*(P94-1),0)</f>
        <v>0</v>
      </c>
      <c r="U94" s="386">
        <f>IF(AND(COUNTBLANK('3B-Prestaties vloeren'!$F$3:$H$24)=0,COUNTBLANK('3B-Prestaties vloeren'!$L$3:$M$24)=0),IF(R94="Sprayen/conserveren",I94/VLOOKUP(E94,'3B-Prestaties vloeren'!$A$3:$M$24,13,FALSE),0),0)</f>
        <v>0</v>
      </c>
      <c r="V94" s="386">
        <f>IF(AND(COUNTBLANK('3B-Prestaties vloeren'!$F$3:$H$24)=0,COUNTBLANK('3B-Prestaties vloeren'!$L$3:$M$24)=0),IF(R94="schrobben",I94/VLOOKUP(E94,'3B-Prestaties vloeren'!$A$3:$H$24,6,FALSE),0)*P94,0)</f>
        <v>0</v>
      </c>
      <c r="W94" s="386">
        <f>IF(AND(COUNTBLANK('3B-Prestaties vloeren'!$F$3:$H$24)=0,COUNTBLANK('3B-Prestaties vloeren'!$L$3:$M$24)=0),IF(R94="sproei-extractie",I94/VLOOKUP(E94,'3B-Prestaties vloeren'!$A$3:$H$24,8,FALSE),0)*P94,0)</f>
        <v>0</v>
      </c>
    </row>
    <row r="95" spans="1:23" ht="15" hidden="1">
      <c r="A95" s="378" t="s">
        <v>654</v>
      </c>
      <c r="B95" s="378" t="s">
        <v>655</v>
      </c>
      <c r="C95" s="378">
        <v>1</v>
      </c>
      <c r="D95" s="378" t="s">
        <v>345</v>
      </c>
      <c r="E95" s="378" t="s">
        <v>286</v>
      </c>
      <c r="F95" s="378" t="s">
        <v>64</v>
      </c>
      <c r="G95" s="378" t="str">
        <f>VLOOKUP(F95,'3B-Prestaties vloeren'!$A$28:$B$118,2,0)</f>
        <v>Hard behandeld</v>
      </c>
      <c r="H95" s="378"/>
      <c r="I95" s="378">
        <v>2.2999999999999998</v>
      </c>
      <c r="J95" s="420" t="s">
        <v>749</v>
      </c>
      <c r="K95" s="426">
        <v>52</v>
      </c>
      <c r="L95" s="378">
        <f t="shared" si="3"/>
        <v>119.6</v>
      </c>
      <c r="M95" s="380" t="str">
        <f>IF(K95=0,0,IF(COUNTBLANK('3A-Prestatie'!$B$2:$I$22)=0,L95/VLOOKUP(E95,'3A-Prestatie'!$A$1:$M$22,VLOOKUP(K95,'3A-Prestatie'!$A$28:$B$34,2,FALSE),FALSE),"3A prestatie invullen"))</f>
        <v>3A prestatie invullen</v>
      </c>
      <c r="N95" s="380">
        <f t="shared" si="5"/>
        <v>0</v>
      </c>
      <c r="O95" s="381" t="str">
        <f>VLOOKUP(E95,'3A-Prestatie'!A:M,13,FALSE)</f>
        <v>V</v>
      </c>
      <c r="P95" s="382">
        <f>IF(R95="Niet van toepassing",0,VLOOKUP(E95,'3B-Prestaties vloeren'!$A$3:$D$24,IF(G95="Hard onbehandeld",2,IF(G95="Hard behandeld",3,4)),FALSE))</f>
        <v>4</v>
      </c>
      <c r="Q95" s="383">
        <f t="shared" si="4"/>
        <v>0</v>
      </c>
      <c r="R95" s="384" t="str">
        <f>IF(K95=0,"Niet van toepassing",IF(G95='3B-Prestaties vloeren'!$B$2,"Schrobben",IF(G95='3B-Prestaties vloeren'!$C$2,"Sprayen/conserveren",IF(G95='3B-Prestaties vloeren'!$D$2,"Sproei-extractie",0))))</f>
        <v>Sprayen/conserveren</v>
      </c>
      <c r="S95" s="385">
        <f>IF('2-Tarieven'!$B$28=0,0,IF(M95=0,0,'2-Tarieven'!$B$28*M95))</f>
        <v>0</v>
      </c>
      <c r="T95" s="386">
        <f>IF(AND(COUNTBLANK('3B-Prestaties vloeren'!$F$3:$H$24)=0,COUNTBLANK('3B-Prestaties vloeren'!$L$3:$M$24)=0),IF(R95="Sprayen/conserveren",I95/VLOOKUP(E95,'3B-Prestaties vloeren'!$A$3:$M$24,12,FALSE),0)*(P95-1),0)</f>
        <v>0</v>
      </c>
      <c r="U95" s="386">
        <f>IF(AND(COUNTBLANK('3B-Prestaties vloeren'!$F$3:$H$24)=0,COUNTBLANK('3B-Prestaties vloeren'!$L$3:$M$24)=0),IF(R95="Sprayen/conserveren",I95/VLOOKUP(E95,'3B-Prestaties vloeren'!$A$3:$M$24,13,FALSE),0),0)</f>
        <v>0</v>
      </c>
      <c r="V95" s="386">
        <f>IF(AND(COUNTBLANK('3B-Prestaties vloeren'!$F$3:$H$24)=0,COUNTBLANK('3B-Prestaties vloeren'!$L$3:$M$24)=0),IF(R95="schrobben",I95/VLOOKUP(E95,'3B-Prestaties vloeren'!$A$3:$H$24,6,FALSE),0)*P95,0)</f>
        <v>0</v>
      </c>
      <c r="W95" s="386">
        <f>IF(AND(COUNTBLANK('3B-Prestaties vloeren'!$F$3:$H$24)=0,COUNTBLANK('3B-Prestaties vloeren'!$L$3:$M$24)=0),IF(R95="sproei-extractie",I95/VLOOKUP(E95,'3B-Prestaties vloeren'!$A$3:$H$24,8,FALSE),0)*P95,0)</f>
        <v>0</v>
      </c>
    </row>
    <row r="96" spans="1:23" ht="15" hidden="1">
      <c r="A96" s="378" t="s">
        <v>654</v>
      </c>
      <c r="B96" s="378" t="s">
        <v>655</v>
      </c>
      <c r="C96" s="378">
        <v>1</v>
      </c>
      <c r="D96" s="378" t="s">
        <v>346</v>
      </c>
      <c r="E96" s="378" t="s">
        <v>653</v>
      </c>
      <c r="F96" s="378" t="s">
        <v>647</v>
      </c>
      <c r="G96" s="378" t="str">
        <f>VLOOKUP(F96,'3B-Prestaties vloeren'!$A$28:$B$118,2,0)</f>
        <v>Hard onbehandeld</v>
      </c>
      <c r="H96" s="378" t="s">
        <v>330</v>
      </c>
      <c r="I96" s="378">
        <v>2.4</v>
      </c>
      <c r="J96" s="419"/>
      <c r="K96" s="426">
        <v>0</v>
      </c>
      <c r="L96" s="378">
        <f t="shared" si="3"/>
        <v>0</v>
      </c>
      <c r="M96" s="380">
        <f>IF(K96=0,0,IF(COUNTBLANK('3A-Prestatie'!$B$2:$I$22)=0,L96/VLOOKUP(E96,'3A-Prestatie'!$A$1:$M$22,VLOOKUP(K96,'3A-Prestatie'!$A$28:$B$34,2,FALSE),FALSE),"3A prestatie invullen"))</f>
        <v>0</v>
      </c>
      <c r="N96" s="380">
        <f t="shared" si="5"/>
        <v>0</v>
      </c>
      <c r="O96" s="381" t="str">
        <f>VLOOKUP(E96,'3A-Prestatie'!A:M,13,FALSE)</f>
        <v>S</v>
      </c>
      <c r="P96" s="382">
        <f>IF(R96="Niet van toepassing",0,VLOOKUP(E96,'3B-Prestaties vloeren'!$A$3:$D$24,IF(G96="Hard onbehandeld",2,IF(G96="Hard behandeld",3,4)),FALSE))</f>
        <v>0</v>
      </c>
      <c r="Q96" s="383">
        <f t="shared" si="4"/>
        <v>0</v>
      </c>
      <c r="R96" s="384" t="str">
        <f>IF(K96=0,"Niet van toepassing",IF(G96='3B-Prestaties vloeren'!$B$2,"Schrobben",IF(G96='3B-Prestaties vloeren'!$C$2,"Sprayen/conserveren",IF(G96='3B-Prestaties vloeren'!$D$2,"Sproei-extractie",0))))</f>
        <v>Niet van toepassing</v>
      </c>
      <c r="S96" s="385">
        <f>IF('2-Tarieven'!$B$28=0,0,IF(M96=0,0,'2-Tarieven'!$B$28*M96))</f>
        <v>0</v>
      </c>
      <c r="T96" s="386">
        <f>IF(AND(COUNTBLANK('3B-Prestaties vloeren'!$F$3:$H$24)=0,COUNTBLANK('3B-Prestaties vloeren'!$L$3:$M$24)=0),IF(R96="Sprayen/conserveren",I96/VLOOKUP(E96,'3B-Prestaties vloeren'!$A$3:$M$24,12,FALSE),0)*(P96-1),0)</f>
        <v>0</v>
      </c>
      <c r="U96" s="386">
        <f>IF(AND(COUNTBLANK('3B-Prestaties vloeren'!$F$3:$H$24)=0,COUNTBLANK('3B-Prestaties vloeren'!$L$3:$M$24)=0),IF(R96="Sprayen/conserveren",I96/VLOOKUP(E96,'3B-Prestaties vloeren'!$A$3:$M$24,13,FALSE),0),0)</f>
        <v>0</v>
      </c>
      <c r="V96" s="386">
        <f>IF(AND(COUNTBLANK('3B-Prestaties vloeren'!$F$3:$H$24)=0,COUNTBLANK('3B-Prestaties vloeren'!$L$3:$M$24)=0),IF(R96="schrobben",I96/VLOOKUP(E96,'3B-Prestaties vloeren'!$A$3:$H$24,6,FALSE),0)*P96,0)</f>
        <v>0</v>
      </c>
      <c r="W96" s="386">
        <f>IF(AND(COUNTBLANK('3B-Prestaties vloeren'!$F$3:$H$24)=0,COUNTBLANK('3B-Prestaties vloeren'!$L$3:$M$24)=0),IF(R96="sproei-extractie",I96/VLOOKUP(E96,'3B-Prestaties vloeren'!$A$3:$H$24,8,FALSE),0)*P96,0)</f>
        <v>0</v>
      </c>
    </row>
    <row r="97" spans="1:23" ht="15" hidden="1">
      <c r="A97" s="378" t="s">
        <v>654</v>
      </c>
      <c r="B97" s="378" t="s">
        <v>655</v>
      </c>
      <c r="C97" s="378">
        <v>1</v>
      </c>
      <c r="D97" s="378" t="s">
        <v>347</v>
      </c>
      <c r="E97" s="378" t="s">
        <v>653</v>
      </c>
      <c r="F97" s="378" t="s">
        <v>647</v>
      </c>
      <c r="G97" s="378" t="str">
        <f>VLOOKUP(F97,'3B-Prestaties vloeren'!$A$28:$B$118,2,0)</f>
        <v>Hard onbehandeld</v>
      </c>
      <c r="H97" s="378" t="s">
        <v>330</v>
      </c>
      <c r="I97" s="378">
        <v>2.5</v>
      </c>
      <c r="J97" s="419"/>
      <c r="K97" s="426">
        <v>0</v>
      </c>
      <c r="L97" s="378">
        <f t="shared" si="3"/>
        <v>0</v>
      </c>
      <c r="M97" s="380">
        <f>IF(K97=0,0,IF(COUNTBLANK('3A-Prestatie'!$B$2:$I$22)=0,L97/VLOOKUP(E97,'3A-Prestatie'!$A$1:$M$22,VLOOKUP(K97,'3A-Prestatie'!$A$28:$B$34,2,FALSE),FALSE),"3A prestatie invullen"))</f>
        <v>0</v>
      </c>
      <c r="N97" s="380">
        <f t="shared" si="5"/>
        <v>0</v>
      </c>
      <c r="O97" s="381" t="str">
        <f>VLOOKUP(E97,'3A-Prestatie'!A:M,13,FALSE)</f>
        <v>S</v>
      </c>
      <c r="P97" s="382">
        <f>IF(R97="Niet van toepassing",0,VLOOKUP(E97,'3B-Prestaties vloeren'!$A$3:$D$24,IF(G97="Hard onbehandeld",2,IF(G97="Hard behandeld",3,4)),FALSE))</f>
        <v>0</v>
      </c>
      <c r="Q97" s="383">
        <f t="shared" si="4"/>
        <v>0</v>
      </c>
      <c r="R97" s="384" t="str">
        <f>IF(K97=0,"Niet van toepassing",IF(G97='3B-Prestaties vloeren'!$B$2,"Schrobben",IF(G97='3B-Prestaties vloeren'!$C$2,"Sprayen/conserveren",IF(G97='3B-Prestaties vloeren'!$D$2,"Sproei-extractie",0))))</f>
        <v>Niet van toepassing</v>
      </c>
      <c r="S97" s="385">
        <f>IF('2-Tarieven'!$B$28=0,0,IF(M97=0,0,'2-Tarieven'!$B$28*M97))</f>
        <v>0</v>
      </c>
      <c r="T97" s="386">
        <f>IF(AND(COUNTBLANK('3B-Prestaties vloeren'!$F$3:$H$24)=0,COUNTBLANK('3B-Prestaties vloeren'!$L$3:$M$24)=0),IF(R97="Sprayen/conserveren",I97/VLOOKUP(E97,'3B-Prestaties vloeren'!$A$3:$M$24,12,FALSE),0)*(P97-1),0)</f>
        <v>0</v>
      </c>
      <c r="U97" s="386">
        <f>IF(AND(COUNTBLANK('3B-Prestaties vloeren'!$F$3:$H$24)=0,COUNTBLANK('3B-Prestaties vloeren'!$L$3:$M$24)=0),IF(R97="Sprayen/conserveren",I97/VLOOKUP(E97,'3B-Prestaties vloeren'!$A$3:$M$24,13,FALSE),0),0)</f>
        <v>0</v>
      </c>
      <c r="V97" s="386">
        <f>IF(AND(COUNTBLANK('3B-Prestaties vloeren'!$F$3:$H$24)=0,COUNTBLANK('3B-Prestaties vloeren'!$L$3:$M$24)=0),IF(R97="schrobben",I97/VLOOKUP(E97,'3B-Prestaties vloeren'!$A$3:$H$24,6,FALSE),0)*P97,0)</f>
        <v>0</v>
      </c>
      <c r="W97" s="386">
        <f>IF(AND(COUNTBLANK('3B-Prestaties vloeren'!$F$3:$H$24)=0,COUNTBLANK('3B-Prestaties vloeren'!$L$3:$M$24)=0),IF(R97="sproei-extractie",I97/VLOOKUP(E97,'3B-Prestaties vloeren'!$A$3:$H$24,8,FALSE),0)*P97,0)</f>
        <v>0</v>
      </c>
    </row>
    <row r="98" spans="1:23" ht="15" hidden="1">
      <c r="A98" s="378" t="s">
        <v>654</v>
      </c>
      <c r="B98" s="378" t="s">
        <v>655</v>
      </c>
      <c r="C98" s="378">
        <v>1</v>
      </c>
      <c r="D98" s="378" t="s">
        <v>348</v>
      </c>
      <c r="E98" s="378" t="s">
        <v>653</v>
      </c>
      <c r="F98" s="378" t="s">
        <v>647</v>
      </c>
      <c r="G98" s="378" t="str">
        <f>VLOOKUP(F98,'3B-Prestaties vloeren'!$A$28:$B$118,2,0)</f>
        <v>Hard onbehandeld</v>
      </c>
      <c r="H98" s="378"/>
      <c r="I98" s="378">
        <v>2.6</v>
      </c>
      <c r="J98" s="419"/>
      <c r="K98" s="426">
        <v>0</v>
      </c>
      <c r="L98" s="378">
        <f t="shared" si="3"/>
        <v>0</v>
      </c>
      <c r="M98" s="380">
        <f>IF(K98=0,0,IF(COUNTBLANK('3A-Prestatie'!$B$2:$I$22)=0,L98/VLOOKUP(E98,'3A-Prestatie'!$A$1:$M$22,VLOOKUP(K98,'3A-Prestatie'!$A$28:$B$34,2,FALSE),FALSE),"3A prestatie invullen"))</f>
        <v>0</v>
      </c>
      <c r="N98" s="380">
        <f t="shared" si="5"/>
        <v>0</v>
      </c>
      <c r="O98" s="381" t="str">
        <f>VLOOKUP(E98,'3A-Prestatie'!A:M,13,FALSE)</f>
        <v>S</v>
      </c>
      <c r="P98" s="382">
        <f>IF(R98="Niet van toepassing",0,VLOOKUP(E98,'3B-Prestaties vloeren'!$A$3:$D$24,IF(G98="Hard onbehandeld",2,IF(G98="Hard behandeld",3,4)),FALSE))</f>
        <v>0</v>
      </c>
      <c r="Q98" s="383">
        <f t="shared" si="4"/>
        <v>0</v>
      </c>
      <c r="R98" s="384" t="str">
        <f>IF(K98=0,"Niet van toepassing",IF(G98='3B-Prestaties vloeren'!$B$2,"Schrobben",IF(G98='3B-Prestaties vloeren'!$C$2,"Sprayen/conserveren",IF(G98='3B-Prestaties vloeren'!$D$2,"Sproei-extractie",0))))</f>
        <v>Niet van toepassing</v>
      </c>
      <c r="S98" s="385">
        <f>IF('2-Tarieven'!$B$28=0,0,IF(M98=0,0,'2-Tarieven'!$B$28*M98))</f>
        <v>0</v>
      </c>
      <c r="T98" s="386">
        <f>IF(AND(COUNTBLANK('3B-Prestaties vloeren'!$F$3:$H$24)=0,COUNTBLANK('3B-Prestaties vloeren'!$L$3:$M$24)=0),IF(R98="Sprayen/conserveren",I98/VLOOKUP(E98,'3B-Prestaties vloeren'!$A$3:$M$24,12,FALSE),0)*(P98-1),0)</f>
        <v>0</v>
      </c>
      <c r="U98" s="386">
        <f>IF(AND(COUNTBLANK('3B-Prestaties vloeren'!$F$3:$H$24)=0,COUNTBLANK('3B-Prestaties vloeren'!$L$3:$M$24)=0),IF(R98="Sprayen/conserveren",I98/VLOOKUP(E98,'3B-Prestaties vloeren'!$A$3:$M$24,13,FALSE),0),0)</f>
        <v>0</v>
      </c>
      <c r="V98" s="386">
        <f>IF(AND(COUNTBLANK('3B-Prestaties vloeren'!$F$3:$H$24)=0,COUNTBLANK('3B-Prestaties vloeren'!$L$3:$M$24)=0),IF(R98="schrobben",I98/VLOOKUP(E98,'3B-Prestaties vloeren'!$A$3:$H$24,6,FALSE),0)*P98,0)</f>
        <v>0</v>
      </c>
      <c r="W98" s="386">
        <f>IF(AND(COUNTBLANK('3B-Prestaties vloeren'!$F$3:$H$24)=0,COUNTBLANK('3B-Prestaties vloeren'!$L$3:$M$24)=0),IF(R98="sproei-extractie",I98/VLOOKUP(E98,'3B-Prestaties vloeren'!$A$3:$H$24,8,FALSE),0)*P98,0)</f>
        <v>0</v>
      </c>
    </row>
    <row r="99" spans="1:23" ht="15" hidden="1">
      <c r="A99" s="378" t="s">
        <v>654</v>
      </c>
      <c r="B99" s="378" t="s">
        <v>655</v>
      </c>
      <c r="C99" s="378">
        <v>1</v>
      </c>
      <c r="D99" s="378" t="s">
        <v>349</v>
      </c>
      <c r="E99" s="378" t="s">
        <v>728</v>
      </c>
      <c r="F99" s="378" t="s">
        <v>65</v>
      </c>
      <c r="G99" s="378" t="str">
        <f>VLOOKUP(F99,'3B-Prestaties vloeren'!$A$28:$B$118,2,0)</f>
        <v>Zacht onbehandeld</v>
      </c>
      <c r="H99" s="378" t="s">
        <v>283</v>
      </c>
      <c r="I99" s="378">
        <v>62.1</v>
      </c>
      <c r="J99" s="419"/>
      <c r="K99" s="426">
        <v>0</v>
      </c>
      <c r="L99" s="378">
        <f t="shared" si="3"/>
        <v>0</v>
      </c>
      <c r="M99" s="380">
        <f>IF(K99=0,0,IF(COUNTBLANK('3A-Prestatie'!$B$2:$I$22)=0,L99/VLOOKUP(E99,'3A-Prestatie'!$A$1:$M$22,VLOOKUP(K99,'3A-Prestatie'!$A$28:$B$34,2,FALSE),FALSE),"3A prestatie invullen"))</f>
        <v>0</v>
      </c>
      <c r="N99" s="380">
        <f t="shared" si="5"/>
        <v>0</v>
      </c>
      <c r="O99" s="381" t="str">
        <f>VLOOKUP(E99,'3A-Prestatie'!A:M,13,FALSE)</f>
        <v>N.v.t.</v>
      </c>
      <c r="P99" s="382">
        <f>IF(R99="Niet van toepassing",0,VLOOKUP(E99,'3B-Prestaties vloeren'!$A$3:$D$24,IF(G99="Hard onbehandeld",2,IF(G99="Hard behandeld",3,4)),FALSE))</f>
        <v>0</v>
      </c>
      <c r="Q99" s="383">
        <f t="shared" si="4"/>
        <v>0</v>
      </c>
      <c r="R99" s="384" t="str">
        <f>IF(K99=0,"Niet van toepassing",IF(G99='3B-Prestaties vloeren'!$B$2,"Schrobben",IF(G99='3B-Prestaties vloeren'!$C$2,"Sprayen/conserveren",IF(G99='3B-Prestaties vloeren'!$D$2,"Sproei-extractie",0))))</f>
        <v>Niet van toepassing</v>
      </c>
      <c r="S99" s="385">
        <f>IF('2-Tarieven'!$B$28=0,0,IF(M99=0,0,'2-Tarieven'!$B$28*M99))</f>
        <v>0</v>
      </c>
      <c r="T99" s="386">
        <f>IF(AND(COUNTBLANK('3B-Prestaties vloeren'!$F$3:$H$24)=0,COUNTBLANK('3B-Prestaties vloeren'!$L$3:$M$24)=0),IF(R99="Sprayen/conserveren",I99/VLOOKUP(E99,'3B-Prestaties vloeren'!$A$3:$M$24,12,FALSE),0)*(P99-1),0)</f>
        <v>0</v>
      </c>
      <c r="U99" s="386">
        <f>IF(AND(COUNTBLANK('3B-Prestaties vloeren'!$F$3:$H$24)=0,COUNTBLANK('3B-Prestaties vloeren'!$L$3:$M$24)=0),IF(R99="Sprayen/conserveren",I99/VLOOKUP(E99,'3B-Prestaties vloeren'!$A$3:$M$24,13,FALSE),0),0)</f>
        <v>0</v>
      </c>
      <c r="V99" s="386">
        <f>IF(AND(COUNTBLANK('3B-Prestaties vloeren'!$F$3:$H$24)=0,COUNTBLANK('3B-Prestaties vloeren'!$L$3:$M$24)=0),IF(R99="schrobben",I99/VLOOKUP(E99,'3B-Prestaties vloeren'!$A$3:$H$24,6,FALSE),0)*P99,0)</f>
        <v>0</v>
      </c>
      <c r="W99" s="386">
        <f>IF(AND(COUNTBLANK('3B-Prestaties vloeren'!$F$3:$H$24)=0,COUNTBLANK('3B-Prestaties vloeren'!$L$3:$M$24)=0),IF(R99="sproei-extractie",I99/VLOOKUP(E99,'3B-Prestaties vloeren'!$A$3:$H$24,8,FALSE),0)*P99,0)</f>
        <v>0</v>
      </c>
    </row>
    <row r="100" spans="1:23" ht="15" hidden="1">
      <c r="A100" s="378" t="s">
        <v>654</v>
      </c>
      <c r="B100" s="378" t="s">
        <v>655</v>
      </c>
      <c r="C100" s="378">
        <v>1</v>
      </c>
      <c r="D100" s="378" t="s">
        <v>350</v>
      </c>
      <c r="E100" s="378" t="s">
        <v>728</v>
      </c>
      <c r="F100" s="378" t="s">
        <v>65</v>
      </c>
      <c r="G100" s="378" t="str">
        <f>VLOOKUP(F100,'3B-Prestaties vloeren'!$A$28:$B$118,2,0)</f>
        <v>Zacht onbehandeld</v>
      </c>
      <c r="H100" s="378" t="s">
        <v>283</v>
      </c>
      <c r="I100" s="378">
        <v>23.9</v>
      </c>
      <c r="J100" s="419"/>
      <c r="K100" s="426">
        <v>0</v>
      </c>
      <c r="L100" s="378">
        <f t="shared" si="3"/>
        <v>0</v>
      </c>
      <c r="M100" s="380">
        <f>IF(K100=0,0,IF(COUNTBLANK('3A-Prestatie'!$B$2:$I$22)=0,L100/VLOOKUP(E100,'3A-Prestatie'!$A$1:$M$22,VLOOKUP(K100,'3A-Prestatie'!$A$28:$B$34,2,FALSE),FALSE),"3A prestatie invullen"))</f>
        <v>0</v>
      </c>
      <c r="N100" s="380">
        <f t="shared" si="5"/>
        <v>0</v>
      </c>
      <c r="O100" s="381" t="str">
        <f>VLOOKUP(E100,'3A-Prestatie'!A:M,13,FALSE)</f>
        <v>N.v.t.</v>
      </c>
      <c r="P100" s="382">
        <f>IF(R100="Niet van toepassing",0,VLOOKUP(E100,'3B-Prestaties vloeren'!$A$3:$D$24,IF(G100="Hard onbehandeld",2,IF(G100="Hard behandeld",3,4)),FALSE))</f>
        <v>0</v>
      </c>
      <c r="Q100" s="383">
        <f t="shared" si="4"/>
        <v>0</v>
      </c>
      <c r="R100" s="384" t="str">
        <f>IF(K100=0,"Niet van toepassing",IF(G100='3B-Prestaties vloeren'!$B$2,"Schrobben",IF(G100='3B-Prestaties vloeren'!$C$2,"Sprayen/conserveren",IF(G100='3B-Prestaties vloeren'!$D$2,"Sproei-extractie",0))))</f>
        <v>Niet van toepassing</v>
      </c>
      <c r="S100" s="385">
        <f>IF('2-Tarieven'!$B$28=0,0,IF(M100=0,0,'2-Tarieven'!$B$28*M100))</f>
        <v>0</v>
      </c>
      <c r="T100" s="386">
        <f>IF(AND(COUNTBLANK('3B-Prestaties vloeren'!$F$3:$H$24)=0,COUNTBLANK('3B-Prestaties vloeren'!$L$3:$M$24)=0),IF(R100="Sprayen/conserveren",I100/VLOOKUP(E100,'3B-Prestaties vloeren'!$A$3:$M$24,12,FALSE),0)*(P100-1),0)</f>
        <v>0</v>
      </c>
      <c r="U100" s="386">
        <f>IF(AND(COUNTBLANK('3B-Prestaties vloeren'!$F$3:$H$24)=0,COUNTBLANK('3B-Prestaties vloeren'!$L$3:$M$24)=0),IF(R100="Sprayen/conserveren",I100/VLOOKUP(E100,'3B-Prestaties vloeren'!$A$3:$M$24,13,FALSE),0),0)</f>
        <v>0</v>
      </c>
      <c r="V100" s="386">
        <f>IF(AND(COUNTBLANK('3B-Prestaties vloeren'!$F$3:$H$24)=0,COUNTBLANK('3B-Prestaties vloeren'!$L$3:$M$24)=0),IF(R100="schrobben",I100/VLOOKUP(E100,'3B-Prestaties vloeren'!$A$3:$H$24,6,FALSE),0)*P100,0)</f>
        <v>0</v>
      </c>
      <c r="W100" s="386">
        <f>IF(AND(COUNTBLANK('3B-Prestaties vloeren'!$F$3:$H$24)=0,COUNTBLANK('3B-Prestaties vloeren'!$L$3:$M$24)=0),IF(R100="sproei-extractie",I100/VLOOKUP(E100,'3B-Prestaties vloeren'!$A$3:$H$24,8,FALSE),0)*P100,0)</f>
        <v>0</v>
      </c>
    </row>
    <row r="101" spans="1:23" ht="15" hidden="1">
      <c r="A101" s="378" t="s">
        <v>654</v>
      </c>
      <c r="B101" s="378" t="s">
        <v>655</v>
      </c>
      <c r="C101" s="378">
        <v>2</v>
      </c>
      <c r="D101" s="378" t="s">
        <v>373</v>
      </c>
      <c r="E101" s="378" t="s">
        <v>6</v>
      </c>
      <c r="F101" s="378" t="s">
        <v>65</v>
      </c>
      <c r="G101" s="378" t="str">
        <f>VLOOKUP(F101,'3B-Prestaties vloeren'!$A$28:$B$118,2,0)</f>
        <v>Zacht onbehandeld</v>
      </c>
      <c r="H101" s="378"/>
      <c r="I101" s="378">
        <v>11.1</v>
      </c>
      <c r="J101" s="420" t="s">
        <v>749</v>
      </c>
      <c r="K101" s="426">
        <v>52</v>
      </c>
      <c r="L101" s="378">
        <f t="shared" si="3"/>
        <v>577.19999999999993</v>
      </c>
      <c r="M101" s="380" t="str">
        <f>IF(K101=0,0,IF(COUNTBLANK('3A-Prestatie'!$B$2:$I$22)=0,L101/VLOOKUP(E101,'3A-Prestatie'!$A$1:$M$22,VLOOKUP(K101,'3A-Prestatie'!$A$28:$B$34,2,FALSE),FALSE),"3A prestatie invullen"))</f>
        <v>3A prestatie invullen</v>
      </c>
      <c r="N101" s="380">
        <f t="shared" si="5"/>
        <v>0</v>
      </c>
      <c r="O101" s="381" t="str">
        <f>VLOOKUP(E101,'3A-Prestatie'!A:M,13,FALSE)</f>
        <v>V</v>
      </c>
      <c r="P101" s="382">
        <f>IF(R101="Niet van toepassing",0,VLOOKUP(E101,'3B-Prestaties vloeren'!$A$3:$D$24,IF(G101="Hard onbehandeld",2,IF(G101="Hard behandeld",3,4)),FALSE))</f>
        <v>1</v>
      </c>
      <c r="Q101" s="383">
        <f t="shared" si="4"/>
        <v>0</v>
      </c>
      <c r="R101" s="384" t="str">
        <f>IF(K101=0,"Niet van toepassing",IF(G101='3B-Prestaties vloeren'!$B$2,"Schrobben",IF(G101='3B-Prestaties vloeren'!$C$2,"Sprayen/conserveren",IF(G101='3B-Prestaties vloeren'!$D$2,"Sproei-extractie",0))))</f>
        <v>Sproei-extractie</v>
      </c>
      <c r="S101" s="385">
        <f>IF('2-Tarieven'!$B$28=0,0,IF(M101=0,0,'2-Tarieven'!$B$28*M101))</f>
        <v>0</v>
      </c>
      <c r="T101" s="386">
        <f>IF(AND(COUNTBLANK('3B-Prestaties vloeren'!$F$3:$H$24)=0,COUNTBLANK('3B-Prestaties vloeren'!$L$3:$M$24)=0),IF(R101="Sprayen/conserveren",I101/VLOOKUP(E101,'3B-Prestaties vloeren'!$A$3:$M$24,12,FALSE),0)*(P101-1),0)</f>
        <v>0</v>
      </c>
      <c r="U101" s="386">
        <f>IF(AND(COUNTBLANK('3B-Prestaties vloeren'!$F$3:$H$24)=0,COUNTBLANK('3B-Prestaties vloeren'!$L$3:$M$24)=0),IF(R101="Sprayen/conserveren",I101/VLOOKUP(E101,'3B-Prestaties vloeren'!$A$3:$M$24,13,FALSE),0),0)</f>
        <v>0</v>
      </c>
      <c r="V101" s="386">
        <f>IF(AND(COUNTBLANK('3B-Prestaties vloeren'!$F$3:$H$24)=0,COUNTBLANK('3B-Prestaties vloeren'!$L$3:$M$24)=0),IF(R101="schrobben",I101/VLOOKUP(E101,'3B-Prestaties vloeren'!$A$3:$H$24,6,FALSE),0)*P101,0)</f>
        <v>0</v>
      </c>
      <c r="W101" s="386">
        <f>IF(AND(COUNTBLANK('3B-Prestaties vloeren'!$F$3:$H$24)=0,COUNTBLANK('3B-Prestaties vloeren'!$L$3:$M$24)=0),IF(R101="sproei-extractie",I101/VLOOKUP(E101,'3B-Prestaties vloeren'!$A$3:$H$24,8,FALSE),0)*P101,0)</f>
        <v>0</v>
      </c>
    </row>
    <row r="102" spans="1:23" ht="15" hidden="1">
      <c r="A102" s="378" t="s">
        <v>654</v>
      </c>
      <c r="B102" s="378" t="s">
        <v>655</v>
      </c>
      <c r="C102" s="378">
        <v>2</v>
      </c>
      <c r="D102" s="378" t="s">
        <v>374</v>
      </c>
      <c r="E102" s="378" t="s">
        <v>285</v>
      </c>
      <c r="F102" s="378" t="s">
        <v>65</v>
      </c>
      <c r="G102" s="378" t="str">
        <f>VLOOKUP(F102,'3B-Prestaties vloeren'!$A$28:$B$118,2,0)</f>
        <v>Zacht onbehandeld</v>
      </c>
      <c r="H102" s="378"/>
      <c r="I102" s="378">
        <v>24.3</v>
      </c>
      <c r="J102" s="420" t="s">
        <v>749</v>
      </c>
      <c r="K102" s="426">
        <v>52</v>
      </c>
      <c r="L102" s="378">
        <f t="shared" si="3"/>
        <v>1263.6000000000001</v>
      </c>
      <c r="M102" s="380" t="str">
        <f>IF(K102=0,0,IF(COUNTBLANK('3A-Prestatie'!$B$2:$I$22)=0,L102/VLOOKUP(E102,'3A-Prestatie'!$A$1:$M$22,VLOOKUP(K102,'3A-Prestatie'!$A$28:$B$34,2,FALSE),FALSE),"3A prestatie invullen"))</f>
        <v>3A prestatie invullen</v>
      </c>
      <c r="N102" s="380">
        <f t="shared" si="5"/>
        <v>0</v>
      </c>
      <c r="O102" s="381" t="str">
        <f>VLOOKUP(E102,'3A-Prestatie'!A:M,13,FALSE)</f>
        <v>V</v>
      </c>
      <c r="P102" s="382">
        <f>IF(R102="Niet van toepassing",0,VLOOKUP(E102,'3B-Prestaties vloeren'!$A$3:$D$24,IF(G102="Hard onbehandeld",2,IF(G102="Hard behandeld",3,4)),FALSE))</f>
        <v>1</v>
      </c>
      <c r="Q102" s="383">
        <f t="shared" si="4"/>
        <v>0</v>
      </c>
      <c r="R102" s="384" t="str">
        <f>IF(K102=0,"Niet van toepassing",IF(G102='3B-Prestaties vloeren'!$B$2,"Schrobben",IF(G102='3B-Prestaties vloeren'!$C$2,"Sprayen/conserveren",IF(G102='3B-Prestaties vloeren'!$D$2,"Sproei-extractie",0))))</f>
        <v>Sproei-extractie</v>
      </c>
      <c r="S102" s="385">
        <f>IF('2-Tarieven'!$B$28=0,0,IF(M102=0,0,'2-Tarieven'!$B$28*M102))</f>
        <v>0</v>
      </c>
      <c r="T102" s="386">
        <f>IF(AND(COUNTBLANK('3B-Prestaties vloeren'!$F$3:$H$24)=0,COUNTBLANK('3B-Prestaties vloeren'!$L$3:$M$24)=0),IF(R102="Sprayen/conserveren",I102/VLOOKUP(E102,'3B-Prestaties vloeren'!$A$3:$M$24,12,FALSE),0)*(P102-1),0)</f>
        <v>0</v>
      </c>
      <c r="U102" s="386">
        <f>IF(AND(COUNTBLANK('3B-Prestaties vloeren'!$F$3:$H$24)=0,COUNTBLANK('3B-Prestaties vloeren'!$L$3:$M$24)=0),IF(R102="Sprayen/conserveren",I102/VLOOKUP(E102,'3B-Prestaties vloeren'!$A$3:$M$24,13,FALSE),0),0)</f>
        <v>0</v>
      </c>
      <c r="V102" s="386">
        <f>IF(AND(COUNTBLANK('3B-Prestaties vloeren'!$F$3:$H$24)=0,COUNTBLANK('3B-Prestaties vloeren'!$L$3:$M$24)=0),IF(R102="schrobben",I102/VLOOKUP(E102,'3B-Prestaties vloeren'!$A$3:$H$24,6,FALSE),0)*P102,0)</f>
        <v>0</v>
      </c>
      <c r="W102" s="386">
        <f>IF(AND(COUNTBLANK('3B-Prestaties vloeren'!$F$3:$H$24)=0,COUNTBLANK('3B-Prestaties vloeren'!$L$3:$M$24)=0),IF(R102="sproei-extractie",I102/VLOOKUP(E102,'3B-Prestaties vloeren'!$A$3:$H$24,8,FALSE),0)*P102,0)</f>
        <v>0</v>
      </c>
    </row>
    <row r="103" spans="1:23" ht="15" hidden="1">
      <c r="A103" s="378" t="s">
        <v>654</v>
      </c>
      <c r="B103" s="378" t="s">
        <v>655</v>
      </c>
      <c r="C103" s="378">
        <v>2</v>
      </c>
      <c r="D103" s="378" t="s">
        <v>662</v>
      </c>
      <c r="E103" s="378" t="s">
        <v>728</v>
      </c>
      <c r="F103" s="378" t="s">
        <v>266</v>
      </c>
      <c r="G103" s="378" t="str">
        <f>VLOOKUP(F103,'3B-Prestaties vloeren'!$A$28:$B$118,2,0)</f>
        <v>Hard behandeld</v>
      </c>
      <c r="H103" s="378" t="s">
        <v>656</v>
      </c>
      <c r="I103" s="378" t="s">
        <v>657</v>
      </c>
      <c r="J103" s="422"/>
      <c r="K103" s="426">
        <v>0</v>
      </c>
      <c r="L103" s="378">
        <f t="shared" si="3"/>
        <v>0</v>
      </c>
      <c r="M103" s="380">
        <f>IF(K103=0,0,IF(COUNTBLANK('3A-Prestatie'!$B$2:$I$22)=0,L103/VLOOKUP(E103,'3A-Prestatie'!$A$1:$M$22,VLOOKUP(K103,'3A-Prestatie'!$A$28:$B$34,2,FALSE),FALSE),"3A prestatie invullen"))</f>
        <v>0</v>
      </c>
      <c r="N103" s="380">
        <f t="shared" si="5"/>
        <v>0</v>
      </c>
      <c r="O103" s="381" t="str">
        <f>VLOOKUP(E103,'3A-Prestatie'!A:M,13,FALSE)</f>
        <v>N.v.t.</v>
      </c>
      <c r="P103" s="382">
        <f>IF(R103="Niet van toepassing",0,VLOOKUP(E103,'3B-Prestaties vloeren'!$A$3:$D$24,IF(G103="Hard onbehandeld",2,IF(G103="Hard behandeld",3,4)),FALSE))</f>
        <v>0</v>
      </c>
      <c r="Q103" s="383">
        <f t="shared" si="4"/>
        <v>0</v>
      </c>
      <c r="R103" s="384" t="str">
        <f>IF(K103=0,"Niet van toepassing",IF(G103='3B-Prestaties vloeren'!$B$2,"Schrobben",IF(G103='3B-Prestaties vloeren'!$C$2,"Sprayen/conserveren",IF(G103='3B-Prestaties vloeren'!$D$2,"Sproei-extractie",0))))</f>
        <v>Niet van toepassing</v>
      </c>
      <c r="S103" s="385">
        <f>IF('2-Tarieven'!$B$28=0,0,IF(M103=0,0,'2-Tarieven'!$B$28*M103))</f>
        <v>0</v>
      </c>
      <c r="T103" s="386">
        <f>IF(AND(COUNTBLANK('3B-Prestaties vloeren'!$F$3:$H$24)=0,COUNTBLANK('3B-Prestaties vloeren'!$L$3:$M$24)=0),IF(R103="Sprayen/conserveren",I103/VLOOKUP(E103,'3B-Prestaties vloeren'!$A$3:$M$24,12,FALSE),0)*(P103-1),0)</f>
        <v>0</v>
      </c>
      <c r="U103" s="386">
        <f>IF(AND(COUNTBLANK('3B-Prestaties vloeren'!$F$3:$H$24)=0,COUNTBLANK('3B-Prestaties vloeren'!$L$3:$M$24)=0),IF(R103="Sprayen/conserveren",I103/VLOOKUP(E103,'3B-Prestaties vloeren'!$A$3:$M$24,13,FALSE),0),0)</f>
        <v>0</v>
      </c>
      <c r="V103" s="386">
        <f>IF(AND(COUNTBLANK('3B-Prestaties vloeren'!$F$3:$H$24)=0,COUNTBLANK('3B-Prestaties vloeren'!$L$3:$M$24)=0),IF(R103="schrobben",I103/VLOOKUP(E103,'3B-Prestaties vloeren'!$A$3:$H$24,6,FALSE),0)*P103,0)</f>
        <v>0</v>
      </c>
      <c r="W103" s="386">
        <f>IF(AND(COUNTBLANK('3B-Prestaties vloeren'!$F$3:$H$24)=0,COUNTBLANK('3B-Prestaties vloeren'!$L$3:$M$24)=0),IF(R103="sproei-extractie",I103/VLOOKUP(E103,'3B-Prestaties vloeren'!$A$3:$H$24,8,FALSE),0)*P103,0)</f>
        <v>0</v>
      </c>
    </row>
    <row r="104" spans="1:23" ht="15" hidden="1">
      <c r="A104" s="378" t="s">
        <v>654</v>
      </c>
      <c r="B104" s="378" t="s">
        <v>655</v>
      </c>
      <c r="C104" s="378">
        <v>2</v>
      </c>
      <c r="D104" s="378" t="s">
        <v>375</v>
      </c>
      <c r="E104" s="378" t="s">
        <v>5</v>
      </c>
      <c r="F104" s="378" t="s">
        <v>65</v>
      </c>
      <c r="G104" s="378" t="str">
        <f>VLOOKUP(F104,'3B-Prestaties vloeren'!$A$28:$B$118,2,0)</f>
        <v>Zacht onbehandeld</v>
      </c>
      <c r="H104" s="378"/>
      <c r="I104" s="378">
        <v>45.84</v>
      </c>
      <c r="J104" s="422"/>
      <c r="K104" s="426">
        <v>0</v>
      </c>
      <c r="L104" s="378">
        <f t="shared" si="3"/>
        <v>0</v>
      </c>
      <c r="M104" s="380">
        <f>IF(K104=0,0,IF(COUNTBLANK('3A-Prestatie'!$B$2:$I$22)=0,L104/VLOOKUP(E104,'3A-Prestatie'!$A$1:$M$22,VLOOKUP(K104,'3A-Prestatie'!$A$28:$B$34,2,FALSE),FALSE),"3A prestatie invullen"))</f>
        <v>0</v>
      </c>
      <c r="N104" s="380">
        <f t="shared" si="5"/>
        <v>0</v>
      </c>
      <c r="O104" s="381" t="str">
        <f>VLOOKUP(E104,'3A-Prestatie'!A:M,13,FALSE)</f>
        <v>B</v>
      </c>
      <c r="P104" s="382">
        <f>IF(R104="Niet van toepassing",0,VLOOKUP(E104,'3B-Prestaties vloeren'!$A$3:$D$24,IF(G104="Hard onbehandeld",2,IF(G104="Hard behandeld",3,4)),FALSE))</f>
        <v>0</v>
      </c>
      <c r="Q104" s="383">
        <f t="shared" si="4"/>
        <v>0</v>
      </c>
      <c r="R104" s="384" t="str">
        <f>IF(K104=0,"Niet van toepassing",IF(G104='3B-Prestaties vloeren'!$B$2,"Schrobben",IF(G104='3B-Prestaties vloeren'!$C$2,"Sprayen/conserveren",IF(G104='3B-Prestaties vloeren'!$D$2,"Sproei-extractie",0))))</f>
        <v>Niet van toepassing</v>
      </c>
      <c r="S104" s="385">
        <f>IF('2-Tarieven'!$B$28=0,0,IF(M104=0,0,'2-Tarieven'!$B$28*M104))</f>
        <v>0</v>
      </c>
      <c r="T104" s="386">
        <f>IF(AND(COUNTBLANK('3B-Prestaties vloeren'!$F$3:$H$24)=0,COUNTBLANK('3B-Prestaties vloeren'!$L$3:$M$24)=0),IF(R104="Sprayen/conserveren",I104/VLOOKUP(E104,'3B-Prestaties vloeren'!$A$3:$M$24,12,FALSE),0)*(P104-1),0)</f>
        <v>0</v>
      </c>
      <c r="U104" s="386">
        <f>IF(AND(COUNTBLANK('3B-Prestaties vloeren'!$F$3:$H$24)=0,COUNTBLANK('3B-Prestaties vloeren'!$L$3:$M$24)=0),IF(R104="Sprayen/conserveren",I104/VLOOKUP(E104,'3B-Prestaties vloeren'!$A$3:$M$24,13,FALSE),0),0)</f>
        <v>0</v>
      </c>
      <c r="V104" s="386">
        <f>IF(AND(COUNTBLANK('3B-Prestaties vloeren'!$F$3:$H$24)=0,COUNTBLANK('3B-Prestaties vloeren'!$L$3:$M$24)=0),IF(R104="schrobben",I104/VLOOKUP(E104,'3B-Prestaties vloeren'!$A$3:$H$24,6,FALSE),0)*P104,0)</f>
        <v>0</v>
      </c>
      <c r="W104" s="386">
        <f>IF(AND(COUNTBLANK('3B-Prestaties vloeren'!$F$3:$H$24)=0,COUNTBLANK('3B-Prestaties vloeren'!$L$3:$M$24)=0),IF(R104="sproei-extractie",I104/VLOOKUP(E104,'3B-Prestaties vloeren'!$A$3:$H$24,8,FALSE),0)*P104,0)</f>
        <v>0</v>
      </c>
    </row>
    <row r="105" spans="1:23" ht="15" hidden="1">
      <c r="A105" s="378" t="s">
        <v>654</v>
      </c>
      <c r="B105" s="378" t="s">
        <v>655</v>
      </c>
      <c r="C105" s="378">
        <v>2</v>
      </c>
      <c r="D105" s="378" t="s">
        <v>376</v>
      </c>
      <c r="E105" s="378" t="s">
        <v>728</v>
      </c>
      <c r="F105" s="378" t="s">
        <v>648</v>
      </c>
      <c r="G105" s="378" t="str">
        <f>VLOOKUP(F105,'3B-Prestaties vloeren'!$A$28:$B$118,2,0)</f>
        <v>Hard onbehandeld</v>
      </c>
      <c r="H105" s="378" t="s">
        <v>287</v>
      </c>
      <c r="I105" s="378">
        <v>3.08</v>
      </c>
      <c r="J105" s="422"/>
      <c r="K105" s="426">
        <v>0</v>
      </c>
      <c r="L105" s="378">
        <f t="shared" si="3"/>
        <v>0</v>
      </c>
      <c r="M105" s="380">
        <f>IF(K105=0,0,IF(COUNTBLANK('3A-Prestatie'!$B$2:$I$22)=0,L105/VLOOKUP(E105,'3A-Prestatie'!$A$1:$M$22,VLOOKUP(K105,'3A-Prestatie'!$A$28:$B$34,2,FALSE),FALSE),"3A prestatie invullen"))</f>
        <v>0</v>
      </c>
      <c r="N105" s="380">
        <f t="shared" si="5"/>
        <v>0</v>
      </c>
      <c r="O105" s="381" t="str">
        <f>VLOOKUP(E105,'3A-Prestatie'!A:M,13,FALSE)</f>
        <v>N.v.t.</v>
      </c>
      <c r="P105" s="382">
        <f>IF(R105="Niet van toepassing",0,VLOOKUP(E105,'3B-Prestaties vloeren'!$A$3:$D$24,IF(G105="Hard onbehandeld",2,IF(G105="Hard behandeld",3,4)),FALSE))</f>
        <v>0</v>
      </c>
      <c r="Q105" s="383">
        <f t="shared" si="4"/>
        <v>0</v>
      </c>
      <c r="R105" s="384" t="str">
        <f>IF(K105=0,"Niet van toepassing",IF(G105='3B-Prestaties vloeren'!$B$2,"Schrobben",IF(G105='3B-Prestaties vloeren'!$C$2,"Sprayen/conserveren",IF(G105='3B-Prestaties vloeren'!$D$2,"Sproei-extractie",0))))</f>
        <v>Niet van toepassing</v>
      </c>
      <c r="S105" s="385">
        <f>IF('2-Tarieven'!$B$28=0,0,IF(M105=0,0,'2-Tarieven'!$B$28*M105))</f>
        <v>0</v>
      </c>
      <c r="T105" s="386">
        <f>IF(AND(COUNTBLANK('3B-Prestaties vloeren'!$F$3:$H$24)=0,COUNTBLANK('3B-Prestaties vloeren'!$L$3:$M$24)=0),IF(R105="Sprayen/conserveren",I105/VLOOKUP(E105,'3B-Prestaties vloeren'!$A$3:$M$24,12,FALSE),0)*(P105-1),0)</f>
        <v>0</v>
      </c>
      <c r="U105" s="386">
        <f>IF(AND(COUNTBLANK('3B-Prestaties vloeren'!$F$3:$H$24)=0,COUNTBLANK('3B-Prestaties vloeren'!$L$3:$M$24)=0),IF(R105="Sprayen/conserveren",I105/VLOOKUP(E105,'3B-Prestaties vloeren'!$A$3:$M$24,13,FALSE),0),0)</f>
        <v>0</v>
      </c>
      <c r="V105" s="386">
        <f>IF(AND(COUNTBLANK('3B-Prestaties vloeren'!$F$3:$H$24)=0,COUNTBLANK('3B-Prestaties vloeren'!$L$3:$M$24)=0),IF(R105="schrobben",I105/VLOOKUP(E105,'3B-Prestaties vloeren'!$A$3:$H$24,6,FALSE),0)*P105,0)</f>
        <v>0</v>
      </c>
      <c r="W105" s="386">
        <f>IF(AND(COUNTBLANK('3B-Prestaties vloeren'!$F$3:$H$24)=0,COUNTBLANK('3B-Prestaties vloeren'!$L$3:$M$24)=0),IF(R105="sproei-extractie",I105/VLOOKUP(E105,'3B-Prestaties vloeren'!$A$3:$H$24,8,FALSE),0)*P105,0)</f>
        <v>0</v>
      </c>
    </row>
    <row r="106" spans="1:23" ht="15" hidden="1">
      <c r="A106" s="378" t="s">
        <v>654</v>
      </c>
      <c r="B106" s="378" t="s">
        <v>655</v>
      </c>
      <c r="C106" s="378">
        <v>2</v>
      </c>
      <c r="D106" s="378" t="s">
        <v>377</v>
      </c>
      <c r="E106" s="378" t="s">
        <v>728</v>
      </c>
      <c r="F106" s="378" t="s">
        <v>648</v>
      </c>
      <c r="G106" s="378" t="str">
        <f>VLOOKUP(F106,'3B-Prestaties vloeren'!$A$28:$B$118,2,0)</f>
        <v>Hard onbehandeld</v>
      </c>
      <c r="H106" s="378" t="s">
        <v>287</v>
      </c>
      <c r="I106" s="378">
        <v>3.08</v>
      </c>
      <c r="J106" s="422"/>
      <c r="K106" s="426">
        <v>0</v>
      </c>
      <c r="L106" s="378">
        <f t="shared" si="3"/>
        <v>0</v>
      </c>
      <c r="M106" s="380">
        <f>IF(K106=0,0,IF(COUNTBLANK('3A-Prestatie'!$B$2:$I$22)=0,L106/VLOOKUP(E106,'3A-Prestatie'!$A$1:$M$22,VLOOKUP(K106,'3A-Prestatie'!$A$28:$B$34,2,FALSE),FALSE),"3A prestatie invullen"))</f>
        <v>0</v>
      </c>
      <c r="N106" s="380">
        <f t="shared" si="5"/>
        <v>0</v>
      </c>
      <c r="O106" s="381" t="str">
        <f>VLOOKUP(E106,'3A-Prestatie'!A:M,13,FALSE)</f>
        <v>N.v.t.</v>
      </c>
      <c r="P106" s="382">
        <f>IF(R106="Niet van toepassing",0,VLOOKUP(E106,'3B-Prestaties vloeren'!$A$3:$D$24,IF(G106="Hard onbehandeld",2,IF(G106="Hard behandeld",3,4)),FALSE))</f>
        <v>0</v>
      </c>
      <c r="Q106" s="383">
        <f t="shared" si="4"/>
        <v>0</v>
      </c>
      <c r="R106" s="384" t="str">
        <f>IF(K106=0,"Niet van toepassing",IF(G106='3B-Prestaties vloeren'!$B$2,"Schrobben",IF(G106='3B-Prestaties vloeren'!$C$2,"Sprayen/conserveren",IF(G106='3B-Prestaties vloeren'!$D$2,"Sproei-extractie",0))))</f>
        <v>Niet van toepassing</v>
      </c>
      <c r="S106" s="385">
        <f>IF('2-Tarieven'!$B$28=0,0,IF(M106=0,0,'2-Tarieven'!$B$28*M106))</f>
        <v>0</v>
      </c>
      <c r="T106" s="386">
        <f>IF(AND(COUNTBLANK('3B-Prestaties vloeren'!$F$3:$H$24)=0,COUNTBLANK('3B-Prestaties vloeren'!$L$3:$M$24)=0),IF(R106="Sprayen/conserveren",I106/VLOOKUP(E106,'3B-Prestaties vloeren'!$A$3:$M$24,12,FALSE),0)*(P106-1),0)</f>
        <v>0</v>
      </c>
      <c r="U106" s="386">
        <f>IF(AND(COUNTBLANK('3B-Prestaties vloeren'!$F$3:$H$24)=0,COUNTBLANK('3B-Prestaties vloeren'!$L$3:$M$24)=0),IF(R106="Sprayen/conserveren",I106/VLOOKUP(E106,'3B-Prestaties vloeren'!$A$3:$M$24,13,FALSE),0),0)</f>
        <v>0</v>
      </c>
      <c r="V106" s="386">
        <f>IF(AND(COUNTBLANK('3B-Prestaties vloeren'!$F$3:$H$24)=0,COUNTBLANK('3B-Prestaties vloeren'!$L$3:$M$24)=0),IF(R106="schrobben",I106/VLOOKUP(E106,'3B-Prestaties vloeren'!$A$3:$H$24,6,FALSE),0)*P106,0)</f>
        <v>0</v>
      </c>
      <c r="W106" s="386">
        <f>IF(AND(COUNTBLANK('3B-Prestaties vloeren'!$F$3:$H$24)=0,COUNTBLANK('3B-Prestaties vloeren'!$L$3:$M$24)=0),IF(R106="sproei-extractie",I106/VLOOKUP(E106,'3B-Prestaties vloeren'!$A$3:$H$24,8,FALSE),0)*P106,0)</f>
        <v>0</v>
      </c>
    </row>
    <row r="107" spans="1:23" ht="15" hidden="1">
      <c r="A107" s="378" t="s">
        <v>654</v>
      </c>
      <c r="B107" s="378" t="s">
        <v>655</v>
      </c>
      <c r="C107" s="378">
        <v>2</v>
      </c>
      <c r="D107" s="378" t="s">
        <v>378</v>
      </c>
      <c r="E107" s="378" t="s">
        <v>285</v>
      </c>
      <c r="F107" s="378" t="s">
        <v>65</v>
      </c>
      <c r="G107" s="378" t="str">
        <f>VLOOKUP(F107,'3B-Prestaties vloeren'!$A$28:$B$118,2,0)</f>
        <v>Zacht onbehandeld</v>
      </c>
      <c r="H107" s="378"/>
      <c r="I107" s="378">
        <v>29.46</v>
      </c>
      <c r="J107" s="420" t="s">
        <v>749</v>
      </c>
      <c r="K107" s="426">
        <v>52</v>
      </c>
      <c r="L107" s="378">
        <f t="shared" si="3"/>
        <v>1531.92</v>
      </c>
      <c r="M107" s="380" t="str">
        <f>IF(K107=0,0,IF(COUNTBLANK('3A-Prestatie'!$B$2:$I$22)=0,L107/VLOOKUP(E107,'3A-Prestatie'!$A$1:$M$22,VLOOKUP(K107,'3A-Prestatie'!$A$28:$B$34,2,FALSE),FALSE),"3A prestatie invullen"))</f>
        <v>3A prestatie invullen</v>
      </c>
      <c r="N107" s="380">
        <f t="shared" si="5"/>
        <v>0</v>
      </c>
      <c r="O107" s="381" t="str">
        <f>VLOOKUP(E107,'3A-Prestatie'!A:M,13,FALSE)</f>
        <v>V</v>
      </c>
      <c r="P107" s="382">
        <f>IF(R107="Niet van toepassing",0,VLOOKUP(E107,'3B-Prestaties vloeren'!$A$3:$D$24,IF(G107="Hard onbehandeld",2,IF(G107="Hard behandeld",3,4)),FALSE))</f>
        <v>1</v>
      </c>
      <c r="Q107" s="383">
        <f t="shared" si="4"/>
        <v>0</v>
      </c>
      <c r="R107" s="384" t="str">
        <f>IF(K107=0,"Niet van toepassing",IF(G107='3B-Prestaties vloeren'!$B$2,"Schrobben",IF(G107='3B-Prestaties vloeren'!$C$2,"Sprayen/conserveren",IF(G107='3B-Prestaties vloeren'!$D$2,"Sproei-extractie",0))))</f>
        <v>Sproei-extractie</v>
      </c>
      <c r="S107" s="385">
        <f>IF('2-Tarieven'!$B$28=0,0,IF(M107=0,0,'2-Tarieven'!$B$28*M107))</f>
        <v>0</v>
      </c>
      <c r="T107" s="386">
        <f>IF(AND(COUNTBLANK('3B-Prestaties vloeren'!$F$3:$H$24)=0,COUNTBLANK('3B-Prestaties vloeren'!$L$3:$M$24)=0),IF(R107="Sprayen/conserveren",I107/VLOOKUP(E107,'3B-Prestaties vloeren'!$A$3:$M$24,12,FALSE),0)*(P107-1),0)</f>
        <v>0</v>
      </c>
      <c r="U107" s="386">
        <f>IF(AND(COUNTBLANK('3B-Prestaties vloeren'!$F$3:$H$24)=0,COUNTBLANK('3B-Prestaties vloeren'!$L$3:$M$24)=0),IF(R107="Sprayen/conserveren",I107/VLOOKUP(E107,'3B-Prestaties vloeren'!$A$3:$M$24,13,FALSE),0),0)</f>
        <v>0</v>
      </c>
      <c r="V107" s="386">
        <f>IF(AND(COUNTBLANK('3B-Prestaties vloeren'!$F$3:$H$24)=0,COUNTBLANK('3B-Prestaties vloeren'!$L$3:$M$24)=0),IF(R107="schrobben",I107/VLOOKUP(E107,'3B-Prestaties vloeren'!$A$3:$H$24,6,FALSE),0)*P107,0)</f>
        <v>0</v>
      </c>
      <c r="W107" s="386">
        <f>IF(AND(COUNTBLANK('3B-Prestaties vloeren'!$F$3:$H$24)=0,COUNTBLANK('3B-Prestaties vloeren'!$L$3:$M$24)=0),IF(R107="sproei-extractie",I107/VLOOKUP(E107,'3B-Prestaties vloeren'!$A$3:$H$24,8,FALSE),0)*P107,0)</f>
        <v>0</v>
      </c>
    </row>
    <row r="108" spans="1:23" ht="15" hidden="1">
      <c r="A108" s="378" t="s">
        <v>654</v>
      </c>
      <c r="B108" s="378" t="s">
        <v>655</v>
      </c>
      <c r="C108" s="378">
        <v>2</v>
      </c>
      <c r="D108" s="378" t="s">
        <v>663</v>
      </c>
      <c r="E108" s="378" t="s">
        <v>728</v>
      </c>
      <c r="F108" s="378" t="s">
        <v>266</v>
      </c>
      <c r="G108" s="378" t="str">
        <f>VLOOKUP(F108,'3B-Prestaties vloeren'!$A$28:$B$118,2,0)</f>
        <v>Hard behandeld</v>
      </c>
      <c r="H108" s="378" t="s">
        <v>656</v>
      </c>
      <c r="I108" s="378" t="s">
        <v>657</v>
      </c>
      <c r="J108" s="422"/>
      <c r="K108" s="426">
        <v>0</v>
      </c>
      <c r="L108" s="378">
        <f t="shared" si="3"/>
        <v>0</v>
      </c>
      <c r="M108" s="380">
        <f>IF(K108=0,0,IF(COUNTBLANK('3A-Prestatie'!$B$2:$I$22)=0,L108/VLOOKUP(E108,'3A-Prestatie'!$A$1:$M$22,VLOOKUP(K108,'3A-Prestatie'!$A$28:$B$34,2,FALSE),FALSE),"3A prestatie invullen"))</f>
        <v>0</v>
      </c>
      <c r="N108" s="380">
        <f t="shared" si="5"/>
        <v>0</v>
      </c>
      <c r="O108" s="381" t="str">
        <f>VLOOKUP(E108,'3A-Prestatie'!A:M,13,FALSE)</f>
        <v>N.v.t.</v>
      </c>
      <c r="P108" s="382">
        <f>IF(R108="Niet van toepassing",0,VLOOKUP(E108,'3B-Prestaties vloeren'!$A$3:$D$24,IF(G108="Hard onbehandeld",2,IF(G108="Hard behandeld",3,4)),FALSE))</f>
        <v>0</v>
      </c>
      <c r="Q108" s="383">
        <f t="shared" si="4"/>
        <v>0</v>
      </c>
      <c r="R108" s="384" t="str">
        <f>IF(K108=0,"Niet van toepassing",IF(G108='3B-Prestaties vloeren'!$B$2,"Schrobben",IF(G108='3B-Prestaties vloeren'!$C$2,"Sprayen/conserveren",IF(G108='3B-Prestaties vloeren'!$D$2,"Sproei-extractie",0))))</f>
        <v>Niet van toepassing</v>
      </c>
      <c r="S108" s="385">
        <f>IF('2-Tarieven'!$B$28=0,0,IF(M108=0,0,'2-Tarieven'!$B$28*M108))</f>
        <v>0</v>
      </c>
      <c r="T108" s="386">
        <f>IF(AND(COUNTBLANK('3B-Prestaties vloeren'!$F$3:$H$24)=0,COUNTBLANK('3B-Prestaties vloeren'!$L$3:$M$24)=0),IF(R108="Sprayen/conserveren",I108/VLOOKUP(E108,'3B-Prestaties vloeren'!$A$3:$M$24,12,FALSE),0)*(P108-1),0)</f>
        <v>0</v>
      </c>
      <c r="U108" s="386">
        <f>IF(AND(COUNTBLANK('3B-Prestaties vloeren'!$F$3:$H$24)=0,COUNTBLANK('3B-Prestaties vloeren'!$L$3:$M$24)=0),IF(R108="Sprayen/conserveren",I108/VLOOKUP(E108,'3B-Prestaties vloeren'!$A$3:$M$24,13,FALSE),0),0)</f>
        <v>0</v>
      </c>
      <c r="V108" s="386">
        <f>IF(AND(COUNTBLANK('3B-Prestaties vloeren'!$F$3:$H$24)=0,COUNTBLANK('3B-Prestaties vloeren'!$L$3:$M$24)=0),IF(R108="schrobben",I108/VLOOKUP(E108,'3B-Prestaties vloeren'!$A$3:$H$24,6,FALSE),0)*P108,0)</f>
        <v>0</v>
      </c>
      <c r="W108" s="386">
        <f>IF(AND(COUNTBLANK('3B-Prestaties vloeren'!$F$3:$H$24)=0,COUNTBLANK('3B-Prestaties vloeren'!$L$3:$M$24)=0),IF(R108="sproei-extractie",I108/VLOOKUP(E108,'3B-Prestaties vloeren'!$A$3:$H$24,8,FALSE),0)*P108,0)</f>
        <v>0</v>
      </c>
    </row>
    <row r="109" spans="1:23" ht="15" hidden="1">
      <c r="A109" s="378" t="s">
        <v>654</v>
      </c>
      <c r="B109" s="378" t="s">
        <v>655</v>
      </c>
      <c r="C109" s="378">
        <v>2</v>
      </c>
      <c r="D109" s="378" t="s">
        <v>379</v>
      </c>
      <c r="E109" s="378" t="s">
        <v>6</v>
      </c>
      <c r="F109" s="378" t="s">
        <v>64</v>
      </c>
      <c r="G109" s="378" t="str">
        <f>VLOOKUP(F109,'3B-Prestaties vloeren'!$A$28:$B$118,2,0)</f>
        <v>Hard behandeld</v>
      </c>
      <c r="H109" s="378"/>
      <c r="I109" s="378">
        <v>11.87</v>
      </c>
      <c r="J109" s="420" t="s">
        <v>749</v>
      </c>
      <c r="K109" s="426">
        <v>52</v>
      </c>
      <c r="L109" s="378">
        <f t="shared" si="3"/>
        <v>617.24</v>
      </c>
      <c r="M109" s="380" t="str">
        <f>IF(K109=0,0,IF(COUNTBLANK('3A-Prestatie'!$B$2:$I$22)=0,L109/VLOOKUP(E109,'3A-Prestatie'!$A$1:$M$22,VLOOKUP(K109,'3A-Prestatie'!$A$28:$B$34,2,FALSE),FALSE),"3A prestatie invullen"))</f>
        <v>3A prestatie invullen</v>
      </c>
      <c r="N109" s="380">
        <f t="shared" si="5"/>
        <v>0</v>
      </c>
      <c r="O109" s="381" t="str">
        <f>VLOOKUP(E109,'3A-Prestatie'!A:M,13,FALSE)</f>
        <v>V</v>
      </c>
      <c r="P109" s="382">
        <f>IF(R109="Niet van toepassing",0,VLOOKUP(E109,'3B-Prestaties vloeren'!$A$3:$D$24,IF(G109="Hard onbehandeld",2,IF(G109="Hard behandeld",3,4)),FALSE))</f>
        <v>4</v>
      </c>
      <c r="Q109" s="383">
        <f t="shared" si="4"/>
        <v>0</v>
      </c>
      <c r="R109" s="384" t="str">
        <f>IF(K109=0,"Niet van toepassing",IF(G109='3B-Prestaties vloeren'!$B$2,"Schrobben",IF(G109='3B-Prestaties vloeren'!$C$2,"Sprayen/conserveren",IF(G109='3B-Prestaties vloeren'!$D$2,"Sproei-extractie",0))))</f>
        <v>Sprayen/conserveren</v>
      </c>
      <c r="S109" s="385">
        <f>IF('2-Tarieven'!$B$28=0,0,IF(M109=0,0,'2-Tarieven'!$B$28*M109))</f>
        <v>0</v>
      </c>
      <c r="T109" s="386">
        <f>IF(AND(COUNTBLANK('3B-Prestaties vloeren'!$F$3:$H$24)=0,COUNTBLANK('3B-Prestaties vloeren'!$L$3:$M$24)=0),IF(R109="Sprayen/conserveren",I109/VLOOKUP(E109,'3B-Prestaties vloeren'!$A$3:$M$24,12,FALSE),0)*(P109-1),0)</f>
        <v>0</v>
      </c>
      <c r="U109" s="386">
        <f>IF(AND(COUNTBLANK('3B-Prestaties vloeren'!$F$3:$H$24)=0,COUNTBLANK('3B-Prestaties vloeren'!$L$3:$M$24)=0),IF(R109="Sprayen/conserveren",I109/VLOOKUP(E109,'3B-Prestaties vloeren'!$A$3:$M$24,13,FALSE),0),0)</f>
        <v>0</v>
      </c>
      <c r="V109" s="386">
        <f>IF(AND(COUNTBLANK('3B-Prestaties vloeren'!$F$3:$H$24)=0,COUNTBLANK('3B-Prestaties vloeren'!$L$3:$M$24)=0),IF(R109="schrobben",I109/VLOOKUP(E109,'3B-Prestaties vloeren'!$A$3:$H$24,6,FALSE),0)*P109,0)</f>
        <v>0</v>
      </c>
      <c r="W109" s="386">
        <f>IF(AND(COUNTBLANK('3B-Prestaties vloeren'!$F$3:$H$24)=0,COUNTBLANK('3B-Prestaties vloeren'!$L$3:$M$24)=0),IF(R109="sproei-extractie",I109/VLOOKUP(E109,'3B-Prestaties vloeren'!$A$3:$H$24,8,FALSE),0)*P109,0)</f>
        <v>0</v>
      </c>
    </row>
    <row r="110" spans="1:23" ht="15" hidden="1">
      <c r="A110" s="378" t="s">
        <v>654</v>
      </c>
      <c r="B110" s="378" t="s">
        <v>655</v>
      </c>
      <c r="C110" s="378">
        <v>2</v>
      </c>
      <c r="D110" s="378" t="s">
        <v>8</v>
      </c>
      <c r="E110" s="378" t="s">
        <v>5</v>
      </c>
      <c r="F110" s="378" t="s">
        <v>65</v>
      </c>
      <c r="G110" s="378" t="str">
        <f>VLOOKUP(F110,'3B-Prestaties vloeren'!$A$28:$B$118,2,0)</f>
        <v>Zacht onbehandeld</v>
      </c>
      <c r="H110" s="378"/>
      <c r="I110" s="378">
        <v>7.62</v>
      </c>
      <c r="J110" s="422"/>
      <c r="K110" s="426">
        <v>0</v>
      </c>
      <c r="L110" s="378">
        <f t="shared" si="3"/>
        <v>0</v>
      </c>
      <c r="M110" s="380">
        <f>IF(K110=0,0,IF(COUNTBLANK('3A-Prestatie'!$B$2:$I$22)=0,L110/VLOOKUP(E110,'3A-Prestatie'!$A$1:$M$22,VLOOKUP(K110,'3A-Prestatie'!$A$28:$B$34,2,FALSE),FALSE),"3A prestatie invullen"))</f>
        <v>0</v>
      </c>
      <c r="N110" s="380">
        <f t="shared" si="5"/>
        <v>0</v>
      </c>
      <c r="O110" s="381" t="str">
        <f>VLOOKUP(E110,'3A-Prestatie'!A:M,13,FALSE)</f>
        <v>B</v>
      </c>
      <c r="P110" s="382">
        <f>IF(R110="Niet van toepassing",0,VLOOKUP(E110,'3B-Prestaties vloeren'!$A$3:$D$24,IF(G110="Hard onbehandeld",2,IF(G110="Hard behandeld",3,4)),FALSE))</f>
        <v>0</v>
      </c>
      <c r="Q110" s="383">
        <f t="shared" si="4"/>
        <v>0</v>
      </c>
      <c r="R110" s="384" t="str">
        <f>IF(K110=0,"Niet van toepassing",IF(G110='3B-Prestaties vloeren'!$B$2,"Schrobben",IF(G110='3B-Prestaties vloeren'!$C$2,"Sprayen/conserveren",IF(G110='3B-Prestaties vloeren'!$D$2,"Sproei-extractie",0))))</f>
        <v>Niet van toepassing</v>
      </c>
      <c r="S110" s="385">
        <f>IF('2-Tarieven'!$B$28=0,0,IF(M110=0,0,'2-Tarieven'!$B$28*M110))</f>
        <v>0</v>
      </c>
      <c r="T110" s="386">
        <f>IF(AND(COUNTBLANK('3B-Prestaties vloeren'!$F$3:$H$24)=0,COUNTBLANK('3B-Prestaties vloeren'!$L$3:$M$24)=0),IF(R110="Sprayen/conserveren",I110/VLOOKUP(E110,'3B-Prestaties vloeren'!$A$3:$M$24,12,FALSE),0)*(P110-1),0)</f>
        <v>0</v>
      </c>
      <c r="U110" s="386">
        <f>IF(AND(COUNTBLANK('3B-Prestaties vloeren'!$F$3:$H$24)=0,COUNTBLANK('3B-Prestaties vloeren'!$L$3:$M$24)=0),IF(R110="Sprayen/conserveren",I110/VLOOKUP(E110,'3B-Prestaties vloeren'!$A$3:$M$24,13,FALSE),0),0)</f>
        <v>0</v>
      </c>
      <c r="V110" s="386">
        <f>IF(AND(COUNTBLANK('3B-Prestaties vloeren'!$F$3:$H$24)=0,COUNTBLANK('3B-Prestaties vloeren'!$L$3:$M$24)=0),IF(R110="schrobben",I110/VLOOKUP(E110,'3B-Prestaties vloeren'!$A$3:$H$24,6,FALSE),0)*P110,0)</f>
        <v>0</v>
      </c>
      <c r="W110" s="386">
        <f>IF(AND(COUNTBLANK('3B-Prestaties vloeren'!$F$3:$H$24)=0,COUNTBLANK('3B-Prestaties vloeren'!$L$3:$M$24)=0),IF(R110="sproei-extractie",I110/VLOOKUP(E110,'3B-Prestaties vloeren'!$A$3:$H$24,8,FALSE),0)*P110,0)</f>
        <v>0</v>
      </c>
    </row>
    <row r="111" spans="1:23" ht="15" hidden="1">
      <c r="A111" s="378" t="s">
        <v>654</v>
      </c>
      <c r="B111" s="378" t="s">
        <v>655</v>
      </c>
      <c r="C111" s="378">
        <v>2</v>
      </c>
      <c r="D111" s="378" t="s">
        <v>9</v>
      </c>
      <c r="E111" s="378" t="s">
        <v>5</v>
      </c>
      <c r="F111" s="378" t="s">
        <v>65</v>
      </c>
      <c r="G111" s="378" t="str">
        <f>VLOOKUP(F111,'3B-Prestaties vloeren'!$A$28:$B$118,2,0)</f>
        <v>Zacht onbehandeld</v>
      </c>
      <c r="H111" s="378"/>
      <c r="I111" s="378">
        <v>7.68</v>
      </c>
      <c r="J111" s="422"/>
      <c r="K111" s="426">
        <v>0</v>
      </c>
      <c r="L111" s="378">
        <f t="shared" si="3"/>
        <v>0</v>
      </c>
      <c r="M111" s="380">
        <f>IF(K111=0,0,IF(COUNTBLANK('3A-Prestatie'!$B$2:$I$22)=0,L111/VLOOKUP(E111,'3A-Prestatie'!$A$1:$M$22,VLOOKUP(K111,'3A-Prestatie'!$A$28:$B$34,2,FALSE),FALSE),"3A prestatie invullen"))</f>
        <v>0</v>
      </c>
      <c r="N111" s="380">
        <f t="shared" si="5"/>
        <v>0</v>
      </c>
      <c r="O111" s="381" t="str">
        <f>VLOOKUP(E111,'3A-Prestatie'!A:M,13,FALSE)</f>
        <v>B</v>
      </c>
      <c r="P111" s="382">
        <f>IF(R111="Niet van toepassing",0,VLOOKUP(E111,'3B-Prestaties vloeren'!$A$3:$D$24,IF(G111="Hard onbehandeld",2,IF(G111="Hard behandeld",3,4)),FALSE))</f>
        <v>0</v>
      </c>
      <c r="Q111" s="383">
        <f t="shared" si="4"/>
        <v>0</v>
      </c>
      <c r="R111" s="384" t="str">
        <f>IF(K111=0,"Niet van toepassing",IF(G111='3B-Prestaties vloeren'!$B$2,"Schrobben",IF(G111='3B-Prestaties vloeren'!$C$2,"Sprayen/conserveren",IF(G111='3B-Prestaties vloeren'!$D$2,"Sproei-extractie",0))))</f>
        <v>Niet van toepassing</v>
      </c>
      <c r="S111" s="385">
        <f>IF('2-Tarieven'!$B$28=0,0,IF(M111=0,0,'2-Tarieven'!$B$28*M111))</f>
        <v>0</v>
      </c>
      <c r="T111" s="386">
        <f>IF(AND(COUNTBLANK('3B-Prestaties vloeren'!$F$3:$H$24)=0,COUNTBLANK('3B-Prestaties vloeren'!$L$3:$M$24)=0),IF(R111="Sprayen/conserveren",I111/VLOOKUP(E111,'3B-Prestaties vloeren'!$A$3:$M$24,12,FALSE),0)*(P111-1),0)</f>
        <v>0</v>
      </c>
      <c r="U111" s="386">
        <f>IF(AND(COUNTBLANK('3B-Prestaties vloeren'!$F$3:$H$24)=0,COUNTBLANK('3B-Prestaties vloeren'!$L$3:$M$24)=0),IF(R111="Sprayen/conserveren",I111/VLOOKUP(E111,'3B-Prestaties vloeren'!$A$3:$M$24,13,FALSE),0),0)</f>
        <v>0</v>
      </c>
      <c r="V111" s="386">
        <f>IF(AND(COUNTBLANK('3B-Prestaties vloeren'!$F$3:$H$24)=0,COUNTBLANK('3B-Prestaties vloeren'!$L$3:$M$24)=0),IF(R111="schrobben",I111/VLOOKUP(E111,'3B-Prestaties vloeren'!$A$3:$H$24,6,FALSE),0)*P111,0)</f>
        <v>0</v>
      </c>
      <c r="W111" s="386">
        <f>IF(AND(COUNTBLANK('3B-Prestaties vloeren'!$F$3:$H$24)=0,COUNTBLANK('3B-Prestaties vloeren'!$L$3:$M$24)=0),IF(R111="sproei-extractie",I111/VLOOKUP(E111,'3B-Prestaties vloeren'!$A$3:$H$24,8,FALSE),0)*P111,0)</f>
        <v>0</v>
      </c>
    </row>
    <row r="112" spans="1:23" ht="15" hidden="1">
      <c r="A112" s="378" t="s">
        <v>654</v>
      </c>
      <c r="B112" s="378" t="s">
        <v>655</v>
      </c>
      <c r="C112" s="378">
        <v>2</v>
      </c>
      <c r="D112" s="378" t="s">
        <v>10</v>
      </c>
      <c r="E112" s="378" t="s">
        <v>5</v>
      </c>
      <c r="F112" s="378" t="s">
        <v>65</v>
      </c>
      <c r="G112" s="378" t="str">
        <f>VLOOKUP(F112,'3B-Prestaties vloeren'!$A$28:$B$118,2,0)</f>
        <v>Zacht onbehandeld</v>
      </c>
      <c r="H112" s="378"/>
      <c r="I112" s="378">
        <v>34.51</v>
      </c>
      <c r="J112" s="422"/>
      <c r="K112" s="426">
        <v>0</v>
      </c>
      <c r="L112" s="378">
        <f t="shared" si="3"/>
        <v>0</v>
      </c>
      <c r="M112" s="380">
        <f>IF(K112=0,0,IF(COUNTBLANK('3A-Prestatie'!$B$2:$I$22)=0,L112/VLOOKUP(E112,'3A-Prestatie'!$A$1:$M$22,VLOOKUP(K112,'3A-Prestatie'!$A$28:$B$34,2,FALSE),FALSE),"3A prestatie invullen"))</f>
        <v>0</v>
      </c>
      <c r="N112" s="380">
        <f t="shared" si="5"/>
        <v>0</v>
      </c>
      <c r="O112" s="381" t="str">
        <f>VLOOKUP(E112,'3A-Prestatie'!A:M,13,FALSE)</f>
        <v>B</v>
      </c>
      <c r="P112" s="382">
        <f>IF(R112="Niet van toepassing",0,VLOOKUP(E112,'3B-Prestaties vloeren'!$A$3:$D$24,IF(G112="Hard onbehandeld",2,IF(G112="Hard behandeld",3,4)),FALSE))</f>
        <v>0</v>
      </c>
      <c r="Q112" s="383">
        <f t="shared" si="4"/>
        <v>0</v>
      </c>
      <c r="R112" s="384" t="str">
        <f>IF(K112=0,"Niet van toepassing",IF(G112='3B-Prestaties vloeren'!$B$2,"Schrobben",IF(G112='3B-Prestaties vloeren'!$C$2,"Sprayen/conserveren",IF(G112='3B-Prestaties vloeren'!$D$2,"Sproei-extractie",0))))</f>
        <v>Niet van toepassing</v>
      </c>
      <c r="S112" s="385">
        <f>IF('2-Tarieven'!$B$28=0,0,IF(M112=0,0,'2-Tarieven'!$B$28*M112))</f>
        <v>0</v>
      </c>
      <c r="T112" s="386">
        <f>IF(AND(COUNTBLANK('3B-Prestaties vloeren'!$F$3:$H$24)=0,COUNTBLANK('3B-Prestaties vloeren'!$L$3:$M$24)=0),IF(R112="Sprayen/conserveren",I112/VLOOKUP(E112,'3B-Prestaties vloeren'!$A$3:$M$24,12,FALSE),0)*(P112-1),0)</f>
        <v>0</v>
      </c>
      <c r="U112" s="386">
        <f>IF(AND(COUNTBLANK('3B-Prestaties vloeren'!$F$3:$H$24)=0,COUNTBLANK('3B-Prestaties vloeren'!$L$3:$M$24)=0),IF(R112="Sprayen/conserveren",I112/VLOOKUP(E112,'3B-Prestaties vloeren'!$A$3:$M$24,13,FALSE),0),0)</f>
        <v>0</v>
      </c>
      <c r="V112" s="386">
        <f>IF(AND(COUNTBLANK('3B-Prestaties vloeren'!$F$3:$H$24)=0,COUNTBLANK('3B-Prestaties vloeren'!$L$3:$M$24)=0),IF(R112="schrobben",I112/VLOOKUP(E112,'3B-Prestaties vloeren'!$A$3:$H$24,6,FALSE),0)*P112,0)</f>
        <v>0</v>
      </c>
      <c r="W112" s="386">
        <f>IF(AND(COUNTBLANK('3B-Prestaties vloeren'!$F$3:$H$24)=0,COUNTBLANK('3B-Prestaties vloeren'!$L$3:$M$24)=0),IF(R112="sproei-extractie",I112/VLOOKUP(E112,'3B-Prestaties vloeren'!$A$3:$H$24,8,FALSE),0)*P112,0)</f>
        <v>0</v>
      </c>
    </row>
    <row r="113" spans="1:23" ht="15" hidden="1">
      <c r="A113" s="378" t="s">
        <v>654</v>
      </c>
      <c r="B113" s="378" t="s">
        <v>655</v>
      </c>
      <c r="C113" s="378">
        <v>2</v>
      </c>
      <c r="D113" s="378" t="s">
        <v>11</v>
      </c>
      <c r="E113" s="378" t="s">
        <v>5</v>
      </c>
      <c r="F113" s="378" t="s">
        <v>65</v>
      </c>
      <c r="G113" s="378" t="str">
        <f>VLOOKUP(F113,'3B-Prestaties vloeren'!$A$28:$B$118,2,0)</f>
        <v>Zacht onbehandeld</v>
      </c>
      <c r="H113" s="378"/>
      <c r="I113" s="378">
        <v>15.1</v>
      </c>
      <c r="J113" s="422"/>
      <c r="K113" s="426">
        <v>0</v>
      </c>
      <c r="L113" s="378">
        <f t="shared" si="3"/>
        <v>0</v>
      </c>
      <c r="M113" s="380">
        <f>IF(K113=0,0,IF(COUNTBLANK('3A-Prestatie'!$B$2:$I$22)=0,L113/VLOOKUP(E113,'3A-Prestatie'!$A$1:$M$22,VLOOKUP(K113,'3A-Prestatie'!$A$28:$B$34,2,FALSE),FALSE),"3A prestatie invullen"))</f>
        <v>0</v>
      </c>
      <c r="N113" s="380">
        <f t="shared" si="5"/>
        <v>0</v>
      </c>
      <c r="O113" s="381" t="str">
        <f>VLOOKUP(E113,'3A-Prestatie'!A:M,13,FALSE)</f>
        <v>B</v>
      </c>
      <c r="P113" s="382">
        <f>IF(R113="Niet van toepassing",0,VLOOKUP(E113,'3B-Prestaties vloeren'!$A$3:$D$24,IF(G113="Hard onbehandeld",2,IF(G113="Hard behandeld",3,4)),FALSE))</f>
        <v>0</v>
      </c>
      <c r="Q113" s="383">
        <f t="shared" si="4"/>
        <v>0</v>
      </c>
      <c r="R113" s="384" t="str">
        <f>IF(K113=0,"Niet van toepassing",IF(G113='3B-Prestaties vloeren'!$B$2,"Schrobben",IF(G113='3B-Prestaties vloeren'!$C$2,"Sprayen/conserveren",IF(G113='3B-Prestaties vloeren'!$D$2,"Sproei-extractie",0))))</f>
        <v>Niet van toepassing</v>
      </c>
      <c r="S113" s="385">
        <f>IF('2-Tarieven'!$B$28=0,0,IF(M113=0,0,'2-Tarieven'!$B$28*M113))</f>
        <v>0</v>
      </c>
      <c r="T113" s="386">
        <f>IF(AND(COUNTBLANK('3B-Prestaties vloeren'!$F$3:$H$24)=0,COUNTBLANK('3B-Prestaties vloeren'!$L$3:$M$24)=0),IF(R113="Sprayen/conserveren",I113/VLOOKUP(E113,'3B-Prestaties vloeren'!$A$3:$M$24,12,FALSE),0)*(P113-1),0)</f>
        <v>0</v>
      </c>
      <c r="U113" s="386">
        <f>IF(AND(COUNTBLANK('3B-Prestaties vloeren'!$F$3:$H$24)=0,COUNTBLANK('3B-Prestaties vloeren'!$L$3:$M$24)=0),IF(R113="Sprayen/conserveren",I113/VLOOKUP(E113,'3B-Prestaties vloeren'!$A$3:$M$24,13,FALSE),0),0)</f>
        <v>0</v>
      </c>
      <c r="V113" s="386">
        <f>IF(AND(COUNTBLANK('3B-Prestaties vloeren'!$F$3:$H$24)=0,COUNTBLANK('3B-Prestaties vloeren'!$L$3:$M$24)=0),IF(R113="schrobben",I113/VLOOKUP(E113,'3B-Prestaties vloeren'!$A$3:$H$24,6,FALSE),0)*P113,0)</f>
        <v>0</v>
      </c>
      <c r="W113" s="386">
        <f>IF(AND(COUNTBLANK('3B-Prestaties vloeren'!$F$3:$H$24)=0,COUNTBLANK('3B-Prestaties vloeren'!$L$3:$M$24)=0),IF(R113="sproei-extractie",I113/VLOOKUP(E113,'3B-Prestaties vloeren'!$A$3:$H$24,8,FALSE),0)*P113,0)</f>
        <v>0</v>
      </c>
    </row>
    <row r="114" spans="1:23" ht="15" hidden="1">
      <c r="A114" s="378" t="s">
        <v>654</v>
      </c>
      <c r="B114" s="378" t="s">
        <v>655</v>
      </c>
      <c r="C114" s="378">
        <v>2</v>
      </c>
      <c r="D114" s="378" t="s">
        <v>12</v>
      </c>
      <c r="E114" s="378" t="s">
        <v>5</v>
      </c>
      <c r="F114" s="378" t="s">
        <v>65</v>
      </c>
      <c r="G114" s="378" t="str">
        <f>VLOOKUP(F114,'3B-Prestaties vloeren'!$A$28:$B$118,2,0)</f>
        <v>Zacht onbehandeld</v>
      </c>
      <c r="H114" s="378"/>
      <c r="I114" s="378">
        <v>15.1</v>
      </c>
      <c r="J114" s="422"/>
      <c r="K114" s="426">
        <v>0</v>
      </c>
      <c r="L114" s="378">
        <f t="shared" si="3"/>
        <v>0</v>
      </c>
      <c r="M114" s="380">
        <f>IF(K114=0,0,IF(COUNTBLANK('3A-Prestatie'!$B$2:$I$22)=0,L114/VLOOKUP(E114,'3A-Prestatie'!$A$1:$M$22,VLOOKUP(K114,'3A-Prestatie'!$A$28:$B$34,2,FALSE),FALSE),"3A prestatie invullen"))</f>
        <v>0</v>
      </c>
      <c r="N114" s="380">
        <f t="shared" si="5"/>
        <v>0</v>
      </c>
      <c r="O114" s="381" t="str">
        <f>VLOOKUP(E114,'3A-Prestatie'!A:M,13,FALSE)</f>
        <v>B</v>
      </c>
      <c r="P114" s="382">
        <f>IF(R114="Niet van toepassing",0,VLOOKUP(E114,'3B-Prestaties vloeren'!$A$3:$D$24,IF(G114="Hard onbehandeld",2,IF(G114="Hard behandeld",3,4)),FALSE))</f>
        <v>0</v>
      </c>
      <c r="Q114" s="383">
        <f t="shared" si="4"/>
        <v>0</v>
      </c>
      <c r="R114" s="384" t="str">
        <f>IF(K114=0,"Niet van toepassing",IF(G114='3B-Prestaties vloeren'!$B$2,"Schrobben",IF(G114='3B-Prestaties vloeren'!$C$2,"Sprayen/conserveren",IF(G114='3B-Prestaties vloeren'!$D$2,"Sproei-extractie",0))))</f>
        <v>Niet van toepassing</v>
      </c>
      <c r="S114" s="385">
        <f>IF('2-Tarieven'!$B$28=0,0,IF(M114=0,0,'2-Tarieven'!$B$28*M114))</f>
        <v>0</v>
      </c>
      <c r="T114" s="386">
        <f>IF(AND(COUNTBLANK('3B-Prestaties vloeren'!$F$3:$H$24)=0,COUNTBLANK('3B-Prestaties vloeren'!$L$3:$M$24)=0),IF(R114="Sprayen/conserveren",I114/VLOOKUP(E114,'3B-Prestaties vloeren'!$A$3:$M$24,12,FALSE),0)*(P114-1),0)</f>
        <v>0</v>
      </c>
      <c r="U114" s="386">
        <f>IF(AND(COUNTBLANK('3B-Prestaties vloeren'!$F$3:$H$24)=0,COUNTBLANK('3B-Prestaties vloeren'!$L$3:$M$24)=0),IF(R114="Sprayen/conserveren",I114/VLOOKUP(E114,'3B-Prestaties vloeren'!$A$3:$M$24,13,FALSE),0),0)</f>
        <v>0</v>
      </c>
      <c r="V114" s="386">
        <f>IF(AND(COUNTBLANK('3B-Prestaties vloeren'!$F$3:$H$24)=0,COUNTBLANK('3B-Prestaties vloeren'!$L$3:$M$24)=0),IF(R114="schrobben",I114/VLOOKUP(E114,'3B-Prestaties vloeren'!$A$3:$H$24,6,FALSE),0)*P114,0)</f>
        <v>0</v>
      </c>
      <c r="W114" s="386">
        <f>IF(AND(COUNTBLANK('3B-Prestaties vloeren'!$F$3:$H$24)=0,COUNTBLANK('3B-Prestaties vloeren'!$L$3:$M$24)=0),IF(R114="sproei-extractie",I114/VLOOKUP(E114,'3B-Prestaties vloeren'!$A$3:$H$24,8,FALSE),0)*P114,0)</f>
        <v>0</v>
      </c>
    </row>
    <row r="115" spans="1:23" ht="15" hidden="1">
      <c r="A115" s="378" t="s">
        <v>654</v>
      </c>
      <c r="B115" s="378" t="s">
        <v>655</v>
      </c>
      <c r="C115" s="378">
        <v>2</v>
      </c>
      <c r="D115" s="378" t="s">
        <v>380</v>
      </c>
      <c r="E115" s="378" t="s">
        <v>5</v>
      </c>
      <c r="F115" s="378" t="s">
        <v>65</v>
      </c>
      <c r="G115" s="378" t="str">
        <f>VLOOKUP(F115,'3B-Prestaties vloeren'!$A$28:$B$118,2,0)</f>
        <v>Zacht onbehandeld</v>
      </c>
      <c r="H115" s="378"/>
      <c r="I115" s="378">
        <v>55.5</v>
      </c>
      <c r="J115" s="422"/>
      <c r="K115" s="426">
        <v>0</v>
      </c>
      <c r="L115" s="378">
        <f t="shared" si="3"/>
        <v>0</v>
      </c>
      <c r="M115" s="380">
        <f>IF(K115=0,0,IF(COUNTBLANK('3A-Prestatie'!$B$2:$I$22)=0,L115/VLOOKUP(E115,'3A-Prestatie'!$A$1:$M$22,VLOOKUP(K115,'3A-Prestatie'!$A$28:$B$34,2,FALSE),FALSE),"3A prestatie invullen"))</f>
        <v>0</v>
      </c>
      <c r="N115" s="380">
        <f t="shared" si="5"/>
        <v>0</v>
      </c>
      <c r="O115" s="381" t="str">
        <f>VLOOKUP(E115,'3A-Prestatie'!A:M,13,FALSE)</f>
        <v>B</v>
      </c>
      <c r="P115" s="382">
        <f>IF(R115="Niet van toepassing",0,VLOOKUP(E115,'3B-Prestaties vloeren'!$A$3:$D$24,IF(G115="Hard onbehandeld",2,IF(G115="Hard behandeld",3,4)),FALSE))</f>
        <v>0</v>
      </c>
      <c r="Q115" s="383">
        <f t="shared" si="4"/>
        <v>0</v>
      </c>
      <c r="R115" s="384" t="str">
        <f>IF(K115=0,"Niet van toepassing",IF(G115='3B-Prestaties vloeren'!$B$2,"Schrobben",IF(G115='3B-Prestaties vloeren'!$C$2,"Sprayen/conserveren",IF(G115='3B-Prestaties vloeren'!$D$2,"Sproei-extractie",0))))</f>
        <v>Niet van toepassing</v>
      </c>
      <c r="S115" s="385">
        <f>IF('2-Tarieven'!$B$28=0,0,IF(M115=0,0,'2-Tarieven'!$B$28*M115))</f>
        <v>0</v>
      </c>
      <c r="T115" s="386">
        <f>IF(AND(COUNTBLANK('3B-Prestaties vloeren'!$F$3:$H$24)=0,COUNTBLANK('3B-Prestaties vloeren'!$L$3:$M$24)=0),IF(R115="Sprayen/conserveren",I115/VLOOKUP(E115,'3B-Prestaties vloeren'!$A$3:$M$24,12,FALSE),0)*(P115-1),0)</f>
        <v>0</v>
      </c>
      <c r="U115" s="386">
        <f>IF(AND(COUNTBLANK('3B-Prestaties vloeren'!$F$3:$H$24)=0,COUNTBLANK('3B-Prestaties vloeren'!$L$3:$M$24)=0),IF(R115="Sprayen/conserveren",I115/VLOOKUP(E115,'3B-Prestaties vloeren'!$A$3:$M$24,13,FALSE),0),0)</f>
        <v>0</v>
      </c>
      <c r="V115" s="386">
        <f>IF(AND(COUNTBLANK('3B-Prestaties vloeren'!$F$3:$H$24)=0,COUNTBLANK('3B-Prestaties vloeren'!$L$3:$M$24)=0),IF(R115="schrobben",I115/VLOOKUP(E115,'3B-Prestaties vloeren'!$A$3:$H$24,6,FALSE),0)*P115,0)</f>
        <v>0</v>
      </c>
      <c r="W115" s="386">
        <f>IF(AND(COUNTBLANK('3B-Prestaties vloeren'!$F$3:$H$24)=0,COUNTBLANK('3B-Prestaties vloeren'!$L$3:$M$24)=0),IF(R115="sproei-extractie",I115/VLOOKUP(E115,'3B-Prestaties vloeren'!$A$3:$H$24,8,FALSE),0)*P115,0)</f>
        <v>0</v>
      </c>
    </row>
    <row r="116" spans="1:23" ht="15" hidden="1">
      <c r="A116" s="378" t="s">
        <v>654</v>
      </c>
      <c r="B116" s="378" t="s">
        <v>655</v>
      </c>
      <c r="C116" s="378">
        <v>2</v>
      </c>
      <c r="D116" s="378" t="s">
        <v>381</v>
      </c>
      <c r="E116" s="378" t="s">
        <v>5</v>
      </c>
      <c r="F116" s="378" t="s">
        <v>65</v>
      </c>
      <c r="G116" s="378" t="str">
        <f>VLOOKUP(F116,'3B-Prestaties vloeren'!$A$28:$B$118,2,0)</f>
        <v>Zacht onbehandeld</v>
      </c>
      <c r="H116" s="378"/>
      <c r="I116" s="378">
        <v>45</v>
      </c>
      <c r="J116" s="422"/>
      <c r="K116" s="426">
        <v>0</v>
      </c>
      <c r="L116" s="378">
        <f t="shared" si="3"/>
        <v>0</v>
      </c>
      <c r="M116" s="380">
        <f>IF(K116=0,0,IF(COUNTBLANK('3A-Prestatie'!$B$2:$I$22)=0,L116/VLOOKUP(E116,'3A-Prestatie'!$A$1:$M$22,VLOOKUP(K116,'3A-Prestatie'!$A$28:$B$34,2,FALSE),FALSE),"3A prestatie invullen"))</f>
        <v>0</v>
      </c>
      <c r="N116" s="380">
        <f t="shared" si="5"/>
        <v>0</v>
      </c>
      <c r="O116" s="381" t="str">
        <f>VLOOKUP(E116,'3A-Prestatie'!A:M,13,FALSE)</f>
        <v>B</v>
      </c>
      <c r="P116" s="382">
        <f>IF(R116="Niet van toepassing",0,VLOOKUP(E116,'3B-Prestaties vloeren'!$A$3:$D$24,IF(G116="Hard onbehandeld",2,IF(G116="Hard behandeld",3,4)),FALSE))</f>
        <v>0</v>
      </c>
      <c r="Q116" s="383">
        <f t="shared" si="4"/>
        <v>0</v>
      </c>
      <c r="R116" s="384" t="str">
        <f>IF(K116=0,"Niet van toepassing",IF(G116='3B-Prestaties vloeren'!$B$2,"Schrobben",IF(G116='3B-Prestaties vloeren'!$C$2,"Sprayen/conserveren",IF(G116='3B-Prestaties vloeren'!$D$2,"Sproei-extractie",0))))</f>
        <v>Niet van toepassing</v>
      </c>
      <c r="S116" s="385">
        <f>IF('2-Tarieven'!$B$28=0,0,IF(M116=0,0,'2-Tarieven'!$B$28*M116))</f>
        <v>0</v>
      </c>
      <c r="T116" s="386">
        <f>IF(AND(COUNTBLANK('3B-Prestaties vloeren'!$F$3:$H$24)=0,COUNTBLANK('3B-Prestaties vloeren'!$L$3:$M$24)=0),IF(R116="Sprayen/conserveren",I116/VLOOKUP(E116,'3B-Prestaties vloeren'!$A$3:$M$24,12,FALSE),0)*(P116-1),0)</f>
        <v>0</v>
      </c>
      <c r="U116" s="386">
        <f>IF(AND(COUNTBLANK('3B-Prestaties vloeren'!$F$3:$H$24)=0,COUNTBLANK('3B-Prestaties vloeren'!$L$3:$M$24)=0),IF(R116="Sprayen/conserveren",I116/VLOOKUP(E116,'3B-Prestaties vloeren'!$A$3:$M$24,13,FALSE),0),0)</f>
        <v>0</v>
      </c>
      <c r="V116" s="386">
        <f>IF(AND(COUNTBLANK('3B-Prestaties vloeren'!$F$3:$H$24)=0,COUNTBLANK('3B-Prestaties vloeren'!$L$3:$M$24)=0),IF(R116="schrobben",I116/VLOOKUP(E116,'3B-Prestaties vloeren'!$A$3:$H$24,6,FALSE),0)*P116,0)</f>
        <v>0</v>
      </c>
      <c r="W116" s="386">
        <f>IF(AND(COUNTBLANK('3B-Prestaties vloeren'!$F$3:$H$24)=0,COUNTBLANK('3B-Prestaties vloeren'!$L$3:$M$24)=0),IF(R116="sproei-extractie",I116/VLOOKUP(E116,'3B-Prestaties vloeren'!$A$3:$H$24,8,FALSE),0)*P116,0)</f>
        <v>0</v>
      </c>
    </row>
    <row r="117" spans="1:23" ht="15" hidden="1">
      <c r="A117" s="378" t="s">
        <v>654</v>
      </c>
      <c r="B117" s="378" t="s">
        <v>655</v>
      </c>
      <c r="C117" s="378">
        <v>2</v>
      </c>
      <c r="D117" s="378" t="s">
        <v>382</v>
      </c>
      <c r="E117" s="378" t="s">
        <v>372</v>
      </c>
      <c r="F117" s="378" t="s">
        <v>65</v>
      </c>
      <c r="G117" s="378" t="str">
        <f>VLOOKUP(F117,'3B-Prestaties vloeren'!$A$28:$B$118,2,0)</f>
        <v>Zacht onbehandeld</v>
      </c>
      <c r="H117" s="378"/>
      <c r="I117" s="378">
        <v>20.6</v>
      </c>
      <c r="J117" s="422"/>
      <c r="K117" s="426">
        <v>0</v>
      </c>
      <c r="L117" s="378">
        <f t="shared" si="3"/>
        <v>0</v>
      </c>
      <c r="M117" s="380">
        <f>IF(K117=0,0,IF(COUNTBLANK('3A-Prestatie'!$B$2:$I$22)=0,L117/VLOOKUP(E117,'3A-Prestatie'!$A$1:$M$22,VLOOKUP(K117,'3A-Prestatie'!$A$28:$B$34,2,FALSE),FALSE),"3A prestatie invullen"))</f>
        <v>0</v>
      </c>
      <c r="N117" s="380">
        <f t="shared" si="5"/>
        <v>0</v>
      </c>
      <c r="O117" s="381" t="str">
        <f>VLOOKUP(E117,'3A-Prestatie'!A:M,13,FALSE)</f>
        <v>V</v>
      </c>
      <c r="P117" s="382">
        <f>IF(R117="Niet van toepassing",0,VLOOKUP(E117,'3B-Prestaties vloeren'!$A$3:$D$24,IF(G117="Hard onbehandeld",2,IF(G117="Hard behandeld",3,4)),FALSE))</f>
        <v>0</v>
      </c>
      <c r="Q117" s="383">
        <f t="shared" si="4"/>
        <v>0</v>
      </c>
      <c r="R117" s="384" t="str">
        <f>IF(K117=0,"Niet van toepassing",IF(G117='3B-Prestaties vloeren'!$B$2,"Schrobben",IF(G117='3B-Prestaties vloeren'!$C$2,"Sprayen/conserveren",IF(G117='3B-Prestaties vloeren'!$D$2,"Sproei-extractie",0))))</f>
        <v>Niet van toepassing</v>
      </c>
      <c r="S117" s="385">
        <f>IF('2-Tarieven'!$B$28=0,0,IF(M117=0,0,'2-Tarieven'!$B$28*M117))</f>
        <v>0</v>
      </c>
      <c r="T117" s="386">
        <f>IF(AND(COUNTBLANK('3B-Prestaties vloeren'!$F$3:$H$24)=0,COUNTBLANK('3B-Prestaties vloeren'!$L$3:$M$24)=0),IF(R117="Sprayen/conserveren",I117/VLOOKUP(E117,'3B-Prestaties vloeren'!$A$3:$M$24,12,FALSE),0)*(P117-1),0)</f>
        <v>0</v>
      </c>
      <c r="U117" s="386">
        <f>IF(AND(COUNTBLANK('3B-Prestaties vloeren'!$F$3:$H$24)=0,COUNTBLANK('3B-Prestaties vloeren'!$L$3:$M$24)=0),IF(R117="Sprayen/conserveren",I117/VLOOKUP(E117,'3B-Prestaties vloeren'!$A$3:$M$24,13,FALSE),0),0)</f>
        <v>0</v>
      </c>
      <c r="V117" s="386">
        <f>IF(AND(COUNTBLANK('3B-Prestaties vloeren'!$F$3:$H$24)=0,COUNTBLANK('3B-Prestaties vloeren'!$L$3:$M$24)=0),IF(R117="schrobben",I117/VLOOKUP(E117,'3B-Prestaties vloeren'!$A$3:$H$24,6,FALSE),0)*P117,0)</f>
        <v>0</v>
      </c>
      <c r="W117" s="386">
        <f>IF(AND(COUNTBLANK('3B-Prestaties vloeren'!$F$3:$H$24)=0,COUNTBLANK('3B-Prestaties vloeren'!$L$3:$M$24)=0),IF(R117="sproei-extractie",I117/VLOOKUP(E117,'3B-Prestaties vloeren'!$A$3:$H$24,8,FALSE),0)*P117,0)</f>
        <v>0</v>
      </c>
    </row>
    <row r="118" spans="1:23" ht="15" hidden="1">
      <c r="A118" s="378" t="s">
        <v>654</v>
      </c>
      <c r="B118" s="378" t="s">
        <v>655</v>
      </c>
      <c r="C118" s="378">
        <v>2</v>
      </c>
      <c r="D118" s="378" t="s">
        <v>383</v>
      </c>
      <c r="E118" s="378" t="s">
        <v>286</v>
      </c>
      <c r="F118" s="378" t="s">
        <v>64</v>
      </c>
      <c r="G118" s="378" t="str">
        <f>VLOOKUP(F118,'3B-Prestaties vloeren'!$A$28:$B$118,2,0)</f>
        <v>Hard behandeld</v>
      </c>
      <c r="H118" s="378"/>
      <c r="I118" s="378">
        <v>2.15</v>
      </c>
      <c r="J118" s="420" t="s">
        <v>749</v>
      </c>
      <c r="K118" s="426">
        <v>52</v>
      </c>
      <c r="L118" s="378">
        <f t="shared" si="3"/>
        <v>111.8</v>
      </c>
      <c r="M118" s="380" t="str">
        <f>IF(K118=0,0,IF(COUNTBLANK('3A-Prestatie'!$B$2:$I$22)=0,L118/VLOOKUP(E118,'3A-Prestatie'!$A$1:$M$22,VLOOKUP(K118,'3A-Prestatie'!$A$28:$B$34,2,FALSE),FALSE),"3A prestatie invullen"))</f>
        <v>3A prestatie invullen</v>
      </c>
      <c r="N118" s="380">
        <f t="shared" si="5"/>
        <v>0</v>
      </c>
      <c r="O118" s="381" t="str">
        <f>VLOOKUP(E118,'3A-Prestatie'!A:M,13,FALSE)</f>
        <v>V</v>
      </c>
      <c r="P118" s="382">
        <f>IF(R118="Niet van toepassing",0,VLOOKUP(E118,'3B-Prestaties vloeren'!$A$3:$D$24,IF(G118="Hard onbehandeld",2,IF(G118="Hard behandeld",3,4)),FALSE))</f>
        <v>4</v>
      </c>
      <c r="Q118" s="383">
        <f t="shared" si="4"/>
        <v>0</v>
      </c>
      <c r="R118" s="384" t="str">
        <f>IF(K118=0,"Niet van toepassing",IF(G118='3B-Prestaties vloeren'!$B$2,"Schrobben",IF(G118='3B-Prestaties vloeren'!$C$2,"Sprayen/conserveren",IF(G118='3B-Prestaties vloeren'!$D$2,"Sproei-extractie",0))))</f>
        <v>Sprayen/conserveren</v>
      </c>
      <c r="S118" s="385">
        <f>IF('2-Tarieven'!$B$28=0,0,IF(M118=0,0,'2-Tarieven'!$B$28*M118))</f>
        <v>0</v>
      </c>
      <c r="T118" s="386">
        <f>IF(AND(COUNTBLANK('3B-Prestaties vloeren'!$F$3:$H$24)=0,COUNTBLANK('3B-Prestaties vloeren'!$L$3:$M$24)=0),IF(R118="Sprayen/conserveren",I118/VLOOKUP(E118,'3B-Prestaties vloeren'!$A$3:$M$24,12,FALSE),0)*(P118-1),0)</f>
        <v>0</v>
      </c>
      <c r="U118" s="386">
        <f>IF(AND(COUNTBLANK('3B-Prestaties vloeren'!$F$3:$H$24)=0,COUNTBLANK('3B-Prestaties vloeren'!$L$3:$M$24)=0),IF(R118="Sprayen/conserveren",I118/VLOOKUP(E118,'3B-Prestaties vloeren'!$A$3:$M$24,13,FALSE),0),0)</f>
        <v>0</v>
      </c>
      <c r="V118" s="386">
        <f>IF(AND(COUNTBLANK('3B-Prestaties vloeren'!$F$3:$H$24)=0,COUNTBLANK('3B-Prestaties vloeren'!$L$3:$M$24)=0),IF(R118="schrobben",I118/VLOOKUP(E118,'3B-Prestaties vloeren'!$A$3:$H$24,6,FALSE),0)*P118,0)</f>
        <v>0</v>
      </c>
      <c r="W118" s="386">
        <f>IF(AND(COUNTBLANK('3B-Prestaties vloeren'!$F$3:$H$24)=0,COUNTBLANK('3B-Prestaties vloeren'!$L$3:$M$24)=0),IF(R118="sproei-extractie",I118/VLOOKUP(E118,'3B-Prestaties vloeren'!$A$3:$H$24,8,FALSE),0)*P118,0)</f>
        <v>0</v>
      </c>
    </row>
    <row r="119" spans="1:23" ht="15" hidden="1">
      <c r="A119" s="378" t="s">
        <v>654</v>
      </c>
      <c r="B119" s="378" t="s">
        <v>655</v>
      </c>
      <c r="C119" s="378">
        <v>2</v>
      </c>
      <c r="D119" s="378" t="s">
        <v>384</v>
      </c>
      <c r="E119" s="378" t="s">
        <v>653</v>
      </c>
      <c r="F119" s="378" t="s">
        <v>647</v>
      </c>
      <c r="G119" s="378" t="str">
        <f>VLOOKUP(F119,'3B-Prestaties vloeren'!$A$28:$B$118,2,0)</f>
        <v>Hard onbehandeld</v>
      </c>
      <c r="H119" s="378"/>
      <c r="I119" s="378">
        <v>3.48</v>
      </c>
      <c r="J119" s="422"/>
      <c r="K119" s="426">
        <v>0</v>
      </c>
      <c r="L119" s="378">
        <f t="shared" si="3"/>
        <v>0</v>
      </c>
      <c r="M119" s="380">
        <f>IF(K119=0,0,IF(COUNTBLANK('3A-Prestatie'!$B$2:$I$22)=0,L119/VLOOKUP(E119,'3A-Prestatie'!$A$1:$M$22,VLOOKUP(K119,'3A-Prestatie'!$A$28:$B$34,2,FALSE),FALSE),"3A prestatie invullen"))</f>
        <v>0</v>
      </c>
      <c r="N119" s="380">
        <f t="shared" si="5"/>
        <v>0</v>
      </c>
      <c r="O119" s="381" t="str">
        <f>VLOOKUP(E119,'3A-Prestatie'!A:M,13,FALSE)</f>
        <v>S</v>
      </c>
      <c r="P119" s="382">
        <f>IF(R119="Niet van toepassing",0,VLOOKUP(E119,'3B-Prestaties vloeren'!$A$3:$D$24,IF(G119="Hard onbehandeld",2,IF(G119="Hard behandeld",3,4)),FALSE))</f>
        <v>0</v>
      </c>
      <c r="Q119" s="383">
        <f t="shared" si="4"/>
        <v>0</v>
      </c>
      <c r="R119" s="384" t="str">
        <f>IF(K119=0,"Niet van toepassing",IF(G119='3B-Prestaties vloeren'!$B$2,"Schrobben",IF(G119='3B-Prestaties vloeren'!$C$2,"Sprayen/conserveren",IF(G119='3B-Prestaties vloeren'!$D$2,"Sproei-extractie",0))))</f>
        <v>Niet van toepassing</v>
      </c>
      <c r="S119" s="385">
        <f>IF('2-Tarieven'!$B$28=0,0,IF(M119=0,0,'2-Tarieven'!$B$28*M119))</f>
        <v>0</v>
      </c>
      <c r="T119" s="386">
        <f>IF(AND(COUNTBLANK('3B-Prestaties vloeren'!$F$3:$H$24)=0,COUNTBLANK('3B-Prestaties vloeren'!$L$3:$M$24)=0),IF(R119="Sprayen/conserveren",I119/VLOOKUP(E119,'3B-Prestaties vloeren'!$A$3:$M$24,12,FALSE),0)*(P119-1),0)</f>
        <v>0</v>
      </c>
      <c r="U119" s="386">
        <f>IF(AND(COUNTBLANK('3B-Prestaties vloeren'!$F$3:$H$24)=0,COUNTBLANK('3B-Prestaties vloeren'!$L$3:$M$24)=0),IF(R119="Sprayen/conserveren",I119/VLOOKUP(E119,'3B-Prestaties vloeren'!$A$3:$M$24,13,FALSE),0),0)</f>
        <v>0</v>
      </c>
      <c r="V119" s="386">
        <f>IF(AND(COUNTBLANK('3B-Prestaties vloeren'!$F$3:$H$24)=0,COUNTBLANK('3B-Prestaties vloeren'!$L$3:$M$24)=0),IF(R119="schrobben",I119/VLOOKUP(E119,'3B-Prestaties vloeren'!$A$3:$H$24,6,FALSE),0)*P119,0)</f>
        <v>0</v>
      </c>
      <c r="W119" s="386">
        <f>IF(AND(COUNTBLANK('3B-Prestaties vloeren'!$F$3:$H$24)=0,COUNTBLANK('3B-Prestaties vloeren'!$L$3:$M$24)=0),IF(R119="sproei-extractie",I119/VLOOKUP(E119,'3B-Prestaties vloeren'!$A$3:$H$24,8,FALSE),0)*P119,0)</f>
        <v>0</v>
      </c>
    </row>
    <row r="120" spans="1:23" ht="15" hidden="1">
      <c r="A120" s="378" t="s">
        <v>654</v>
      </c>
      <c r="B120" s="378" t="s">
        <v>655</v>
      </c>
      <c r="C120" s="378">
        <v>2</v>
      </c>
      <c r="D120" s="378" t="s">
        <v>16</v>
      </c>
      <c r="E120" s="378" t="s">
        <v>653</v>
      </c>
      <c r="F120" s="378" t="s">
        <v>647</v>
      </c>
      <c r="G120" s="378" t="str">
        <f>VLOOKUP(F120,'3B-Prestaties vloeren'!$A$28:$B$118,2,0)</f>
        <v>Hard onbehandeld</v>
      </c>
      <c r="H120" s="378" t="s">
        <v>330</v>
      </c>
      <c r="I120" s="378">
        <v>1</v>
      </c>
      <c r="J120" s="422"/>
      <c r="K120" s="426">
        <v>0</v>
      </c>
      <c r="L120" s="378">
        <f t="shared" si="3"/>
        <v>0</v>
      </c>
      <c r="M120" s="380">
        <f>IF(K120=0,0,IF(COUNTBLANK('3A-Prestatie'!$B$2:$I$22)=0,L120/VLOOKUP(E120,'3A-Prestatie'!$A$1:$M$22,VLOOKUP(K120,'3A-Prestatie'!$A$28:$B$34,2,FALSE),FALSE),"3A prestatie invullen"))</f>
        <v>0</v>
      </c>
      <c r="N120" s="380">
        <f t="shared" si="5"/>
        <v>0</v>
      </c>
      <c r="O120" s="381" t="str">
        <f>VLOOKUP(E120,'3A-Prestatie'!A:M,13,FALSE)</f>
        <v>S</v>
      </c>
      <c r="P120" s="382">
        <f>IF(R120="Niet van toepassing",0,VLOOKUP(E120,'3B-Prestaties vloeren'!$A$3:$D$24,IF(G120="Hard onbehandeld",2,IF(G120="Hard behandeld",3,4)),FALSE))</f>
        <v>0</v>
      </c>
      <c r="Q120" s="383">
        <f t="shared" si="4"/>
        <v>0</v>
      </c>
      <c r="R120" s="384" t="str">
        <f>IF(K120=0,"Niet van toepassing",IF(G120='3B-Prestaties vloeren'!$B$2,"Schrobben",IF(G120='3B-Prestaties vloeren'!$C$2,"Sprayen/conserveren",IF(G120='3B-Prestaties vloeren'!$D$2,"Sproei-extractie",0))))</f>
        <v>Niet van toepassing</v>
      </c>
      <c r="S120" s="385">
        <f>IF('2-Tarieven'!$B$28=0,0,IF(M120=0,0,'2-Tarieven'!$B$28*M120))</f>
        <v>0</v>
      </c>
      <c r="T120" s="386">
        <f>IF(AND(COUNTBLANK('3B-Prestaties vloeren'!$F$3:$H$24)=0,COUNTBLANK('3B-Prestaties vloeren'!$L$3:$M$24)=0),IF(R120="Sprayen/conserveren",I120/VLOOKUP(E120,'3B-Prestaties vloeren'!$A$3:$M$24,12,FALSE),0)*(P120-1),0)</f>
        <v>0</v>
      </c>
      <c r="U120" s="386">
        <f>IF(AND(COUNTBLANK('3B-Prestaties vloeren'!$F$3:$H$24)=0,COUNTBLANK('3B-Prestaties vloeren'!$L$3:$M$24)=0),IF(R120="Sprayen/conserveren",I120/VLOOKUP(E120,'3B-Prestaties vloeren'!$A$3:$M$24,13,FALSE),0),0)</f>
        <v>0</v>
      </c>
      <c r="V120" s="386">
        <f>IF(AND(COUNTBLANK('3B-Prestaties vloeren'!$F$3:$H$24)=0,COUNTBLANK('3B-Prestaties vloeren'!$L$3:$M$24)=0),IF(R120="schrobben",I120/VLOOKUP(E120,'3B-Prestaties vloeren'!$A$3:$H$24,6,FALSE),0)*P120,0)</f>
        <v>0</v>
      </c>
      <c r="W120" s="386">
        <f>IF(AND(COUNTBLANK('3B-Prestaties vloeren'!$F$3:$H$24)=0,COUNTBLANK('3B-Prestaties vloeren'!$L$3:$M$24)=0),IF(R120="sproei-extractie",I120/VLOOKUP(E120,'3B-Prestaties vloeren'!$A$3:$H$24,8,FALSE),0)*P120,0)</f>
        <v>0</v>
      </c>
    </row>
    <row r="121" spans="1:23" ht="15" hidden="1">
      <c r="A121" s="378" t="s">
        <v>654</v>
      </c>
      <c r="B121" s="378" t="s">
        <v>655</v>
      </c>
      <c r="C121" s="378">
        <v>2</v>
      </c>
      <c r="D121" s="378" t="s">
        <v>14</v>
      </c>
      <c r="E121" s="378" t="s">
        <v>653</v>
      </c>
      <c r="F121" s="378" t="s">
        <v>647</v>
      </c>
      <c r="G121" s="378" t="str">
        <f>VLOOKUP(F121,'3B-Prestaties vloeren'!$A$28:$B$118,2,0)</f>
        <v>Hard onbehandeld</v>
      </c>
      <c r="H121" s="378" t="s">
        <v>330</v>
      </c>
      <c r="I121" s="378">
        <v>1</v>
      </c>
      <c r="J121" s="422"/>
      <c r="K121" s="426">
        <v>0</v>
      </c>
      <c r="L121" s="378">
        <f t="shared" si="3"/>
        <v>0</v>
      </c>
      <c r="M121" s="380">
        <f>IF(K121=0,0,IF(COUNTBLANK('3A-Prestatie'!$B$2:$I$22)=0,L121/VLOOKUP(E121,'3A-Prestatie'!$A$1:$M$22,VLOOKUP(K121,'3A-Prestatie'!$A$28:$B$34,2,FALSE),FALSE),"3A prestatie invullen"))</f>
        <v>0</v>
      </c>
      <c r="N121" s="380">
        <f t="shared" si="5"/>
        <v>0</v>
      </c>
      <c r="O121" s="381" t="str">
        <f>VLOOKUP(E121,'3A-Prestatie'!A:M,13,FALSE)</f>
        <v>S</v>
      </c>
      <c r="P121" s="382">
        <f>IF(R121="Niet van toepassing",0,VLOOKUP(E121,'3B-Prestaties vloeren'!$A$3:$D$24,IF(G121="Hard onbehandeld",2,IF(G121="Hard behandeld",3,4)),FALSE))</f>
        <v>0</v>
      </c>
      <c r="Q121" s="383">
        <f t="shared" si="4"/>
        <v>0</v>
      </c>
      <c r="R121" s="384" t="str">
        <f>IF(K121=0,"Niet van toepassing",IF(G121='3B-Prestaties vloeren'!$B$2,"Schrobben",IF(G121='3B-Prestaties vloeren'!$C$2,"Sprayen/conserveren",IF(G121='3B-Prestaties vloeren'!$D$2,"Sproei-extractie",0))))</f>
        <v>Niet van toepassing</v>
      </c>
      <c r="S121" s="385">
        <f>IF('2-Tarieven'!$B$28=0,0,IF(M121=0,0,'2-Tarieven'!$B$28*M121))</f>
        <v>0</v>
      </c>
      <c r="T121" s="386">
        <f>IF(AND(COUNTBLANK('3B-Prestaties vloeren'!$F$3:$H$24)=0,COUNTBLANK('3B-Prestaties vloeren'!$L$3:$M$24)=0),IF(R121="Sprayen/conserveren",I121/VLOOKUP(E121,'3B-Prestaties vloeren'!$A$3:$M$24,12,FALSE),0)*(P121-1),0)</f>
        <v>0</v>
      </c>
      <c r="U121" s="386">
        <f>IF(AND(COUNTBLANK('3B-Prestaties vloeren'!$F$3:$H$24)=0,COUNTBLANK('3B-Prestaties vloeren'!$L$3:$M$24)=0),IF(R121="Sprayen/conserveren",I121/VLOOKUP(E121,'3B-Prestaties vloeren'!$A$3:$M$24,13,FALSE),0),0)</f>
        <v>0</v>
      </c>
      <c r="V121" s="386">
        <f>IF(AND(COUNTBLANK('3B-Prestaties vloeren'!$F$3:$H$24)=0,COUNTBLANK('3B-Prestaties vloeren'!$L$3:$M$24)=0),IF(R121="schrobben",I121/VLOOKUP(E121,'3B-Prestaties vloeren'!$A$3:$H$24,6,FALSE),0)*P121,0)</f>
        <v>0</v>
      </c>
      <c r="W121" s="386">
        <f>IF(AND(COUNTBLANK('3B-Prestaties vloeren'!$F$3:$H$24)=0,COUNTBLANK('3B-Prestaties vloeren'!$L$3:$M$24)=0),IF(R121="sproei-extractie",I121/VLOOKUP(E121,'3B-Prestaties vloeren'!$A$3:$H$24,8,FALSE),0)*P121,0)</f>
        <v>0</v>
      </c>
    </row>
    <row r="122" spans="1:23" ht="15" hidden="1">
      <c r="A122" s="378" t="s">
        <v>664</v>
      </c>
      <c r="B122" s="378" t="s">
        <v>665</v>
      </c>
      <c r="C122" s="378">
        <v>0</v>
      </c>
      <c r="D122" s="378" t="s">
        <v>288</v>
      </c>
      <c r="E122" s="378" t="s">
        <v>334</v>
      </c>
      <c r="F122" s="378" t="s">
        <v>64</v>
      </c>
      <c r="G122" s="378" t="str">
        <f>VLOOKUP(F122,'3B-Prestaties vloeren'!$A$28:$B$118,2,0)</f>
        <v>Hard behandeld</v>
      </c>
      <c r="H122" s="378" t="s">
        <v>666</v>
      </c>
      <c r="I122" s="378">
        <v>6</v>
      </c>
      <c r="J122" s="420" t="s">
        <v>749</v>
      </c>
      <c r="K122" s="426">
        <v>52</v>
      </c>
      <c r="L122" s="378">
        <f t="shared" si="3"/>
        <v>312</v>
      </c>
      <c r="M122" s="380" t="str">
        <f>IF(K122=0,0,IF(COUNTBLANK('3A-Prestatie'!$B$2:$I$22)=0,L122/VLOOKUP(E122,'3A-Prestatie'!$A$1:$M$22,VLOOKUP(K122,'3A-Prestatie'!$A$28:$B$34,2,FALSE),FALSE),"3A prestatie invullen"))</f>
        <v>3A prestatie invullen</v>
      </c>
      <c r="N122" s="380">
        <f t="shared" si="5"/>
        <v>0</v>
      </c>
      <c r="O122" s="381" t="str">
        <f>VLOOKUP(E122,'3A-Prestatie'!A:M,13,FALSE)</f>
        <v>V</v>
      </c>
      <c r="P122" s="382">
        <f>IF(R122="Niet van toepassing",0,VLOOKUP(E122,'3B-Prestaties vloeren'!$A$3:$D$24,IF(G122="Hard onbehandeld",2,IF(G122="Hard behandeld",3,4)),FALSE))</f>
        <v>12</v>
      </c>
      <c r="Q122" s="383">
        <f t="shared" si="4"/>
        <v>0</v>
      </c>
      <c r="R122" s="384" t="str">
        <f>IF(K122=0,"Niet van toepassing",IF(G122='3B-Prestaties vloeren'!$B$2,"Schrobben",IF(G122='3B-Prestaties vloeren'!$C$2,"Sprayen/conserveren",IF(G122='3B-Prestaties vloeren'!$D$2,"Sproei-extractie",0))))</f>
        <v>Sprayen/conserveren</v>
      </c>
      <c r="S122" s="385">
        <f>IF('2-Tarieven'!$B$28=0,0,IF(M122=0,0,'2-Tarieven'!$B$28*M122))</f>
        <v>0</v>
      </c>
      <c r="T122" s="386">
        <f>IF(AND(COUNTBLANK('3B-Prestaties vloeren'!$F$3:$H$24)=0,COUNTBLANK('3B-Prestaties vloeren'!$L$3:$M$24)=0),IF(R122="Sprayen/conserveren",I122/VLOOKUP(E122,'3B-Prestaties vloeren'!$A$3:$M$24,12,FALSE),0)*(P122-1),0)</f>
        <v>0</v>
      </c>
      <c r="U122" s="386">
        <f>IF(AND(COUNTBLANK('3B-Prestaties vloeren'!$F$3:$H$24)=0,COUNTBLANK('3B-Prestaties vloeren'!$L$3:$M$24)=0),IF(R122="Sprayen/conserveren",I122/VLOOKUP(E122,'3B-Prestaties vloeren'!$A$3:$M$24,13,FALSE),0),0)</f>
        <v>0</v>
      </c>
      <c r="V122" s="386">
        <f>IF(AND(COUNTBLANK('3B-Prestaties vloeren'!$F$3:$H$24)=0,COUNTBLANK('3B-Prestaties vloeren'!$L$3:$M$24)=0),IF(R122="schrobben",I122/VLOOKUP(E122,'3B-Prestaties vloeren'!$A$3:$H$24,6,FALSE),0)*P122,0)</f>
        <v>0</v>
      </c>
      <c r="W122" s="386">
        <f>IF(AND(COUNTBLANK('3B-Prestaties vloeren'!$F$3:$H$24)=0,COUNTBLANK('3B-Prestaties vloeren'!$L$3:$M$24)=0),IF(R122="sproei-extractie",I122/VLOOKUP(E122,'3B-Prestaties vloeren'!$A$3:$H$24,8,FALSE),0)*P122,0)</f>
        <v>0</v>
      </c>
    </row>
    <row r="123" spans="1:23" ht="15" hidden="1">
      <c r="A123" s="378" t="s">
        <v>664</v>
      </c>
      <c r="B123" s="378" t="s">
        <v>665</v>
      </c>
      <c r="C123" s="378">
        <v>0</v>
      </c>
      <c r="D123" s="378" t="s">
        <v>289</v>
      </c>
      <c r="E123" s="378" t="s">
        <v>306</v>
      </c>
      <c r="F123" s="378" t="s">
        <v>64</v>
      </c>
      <c r="G123" s="378" t="str">
        <f>VLOOKUP(F123,'3B-Prestaties vloeren'!$A$28:$B$118,2,0)</f>
        <v>Hard behandeld</v>
      </c>
      <c r="H123" s="378"/>
      <c r="I123" s="378">
        <v>47.42</v>
      </c>
      <c r="J123" s="420" t="s">
        <v>749</v>
      </c>
      <c r="K123" s="426">
        <v>52</v>
      </c>
      <c r="L123" s="378">
        <f t="shared" si="3"/>
        <v>2465.84</v>
      </c>
      <c r="M123" s="380" t="str">
        <f>IF(K123=0,0,IF(COUNTBLANK('3A-Prestatie'!$B$2:$I$22)=0,L123/VLOOKUP(E123,'3A-Prestatie'!$A$1:$M$22,VLOOKUP(K123,'3A-Prestatie'!$A$28:$B$34,2,FALSE),FALSE),"3A prestatie invullen"))</f>
        <v>3A prestatie invullen</v>
      </c>
      <c r="N123" s="380">
        <f t="shared" si="5"/>
        <v>0</v>
      </c>
      <c r="O123" s="381" t="str">
        <f>VLOOKUP(E123,'3A-Prestatie'!A:M,13,FALSE)</f>
        <v>V</v>
      </c>
      <c r="P123" s="382">
        <f>IF(R123="Niet van toepassing",0,VLOOKUP(E123,'3B-Prestaties vloeren'!$A$3:$D$24,IF(G123="Hard onbehandeld",2,IF(G123="Hard behandeld",3,4)),FALSE))</f>
        <v>12</v>
      </c>
      <c r="Q123" s="383">
        <f t="shared" si="4"/>
        <v>0</v>
      </c>
      <c r="R123" s="384" t="str">
        <f>IF(K123=0,"Niet van toepassing",IF(G123='3B-Prestaties vloeren'!$B$2,"Schrobben",IF(G123='3B-Prestaties vloeren'!$C$2,"Sprayen/conserveren",IF(G123='3B-Prestaties vloeren'!$D$2,"Sproei-extractie",0))))</f>
        <v>Sprayen/conserveren</v>
      </c>
      <c r="S123" s="385">
        <f>IF('2-Tarieven'!$B$28=0,0,IF(M123=0,0,'2-Tarieven'!$B$28*M123))</f>
        <v>0</v>
      </c>
      <c r="T123" s="386">
        <f>IF(AND(COUNTBLANK('3B-Prestaties vloeren'!$F$3:$H$24)=0,COUNTBLANK('3B-Prestaties vloeren'!$L$3:$M$24)=0),IF(R123="Sprayen/conserveren",I123/VLOOKUP(E123,'3B-Prestaties vloeren'!$A$3:$M$24,12,FALSE),0)*(P123-1),0)</f>
        <v>0</v>
      </c>
      <c r="U123" s="386">
        <f>IF(AND(COUNTBLANK('3B-Prestaties vloeren'!$F$3:$H$24)=0,COUNTBLANK('3B-Prestaties vloeren'!$L$3:$M$24)=0),IF(R123="Sprayen/conserveren",I123/VLOOKUP(E123,'3B-Prestaties vloeren'!$A$3:$M$24,13,FALSE),0),0)</f>
        <v>0</v>
      </c>
      <c r="V123" s="386">
        <f>IF(AND(COUNTBLANK('3B-Prestaties vloeren'!$F$3:$H$24)=0,COUNTBLANK('3B-Prestaties vloeren'!$L$3:$M$24)=0),IF(R123="schrobben",I123/VLOOKUP(E123,'3B-Prestaties vloeren'!$A$3:$H$24,6,FALSE),0)*P123,0)</f>
        <v>0</v>
      </c>
      <c r="W123" s="386">
        <f>IF(AND(COUNTBLANK('3B-Prestaties vloeren'!$F$3:$H$24)=0,COUNTBLANK('3B-Prestaties vloeren'!$L$3:$M$24)=0),IF(R123="sproei-extractie",I123/VLOOKUP(E123,'3B-Prestaties vloeren'!$A$3:$H$24,8,FALSE),0)*P123,0)</f>
        <v>0</v>
      </c>
    </row>
    <row r="124" spans="1:23" ht="15" hidden="1">
      <c r="A124" s="378" t="s">
        <v>664</v>
      </c>
      <c r="B124" s="378" t="s">
        <v>665</v>
      </c>
      <c r="C124" s="378">
        <v>0</v>
      </c>
      <c r="D124" s="378" t="s">
        <v>290</v>
      </c>
      <c r="E124" s="378" t="s">
        <v>6</v>
      </c>
      <c r="F124" s="378" t="s">
        <v>64</v>
      </c>
      <c r="G124" s="378" t="str">
        <f>VLOOKUP(F124,'3B-Prestaties vloeren'!$A$28:$B$118,2,0)</f>
        <v>Hard behandeld</v>
      </c>
      <c r="H124" s="379"/>
      <c r="I124" s="378">
        <v>14.2</v>
      </c>
      <c r="J124" s="420" t="s">
        <v>749</v>
      </c>
      <c r="K124" s="426">
        <v>52</v>
      </c>
      <c r="L124" s="378">
        <f t="shared" si="3"/>
        <v>738.4</v>
      </c>
      <c r="M124" s="380" t="str">
        <f>IF(K124=0,0,IF(COUNTBLANK('3A-Prestatie'!$B$2:$I$22)=0,L124/VLOOKUP(E124,'3A-Prestatie'!$A$1:$M$22,VLOOKUP(K124,'3A-Prestatie'!$A$28:$B$34,2,FALSE),FALSE),"3A prestatie invullen"))</f>
        <v>3A prestatie invullen</v>
      </c>
      <c r="N124" s="380">
        <f t="shared" si="5"/>
        <v>0</v>
      </c>
      <c r="O124" s="381" t="str">
        <f>VLOOKUP(E124,'3A-Prestatie'!A:M,13,FALSE)</f>
        <v>V</v>
      </c>
      <c r="P124" s="382">
        <f>IF(R124="Niet van toepassing",0,VLOOKUP(E124,'3B-Prestaties vloeren'!$A$3:$D$24,IF(G124="Hard onbehandeld",2,IF(G124="Hard behandeld",3,4)),FALSE))</f>
        <v>4</v>
      </c>
      <c r="Q124" s="383">
        <f t="shared" si="4"/>
        <v>0</v>
      </c>
      <c r="R124" s="384" t="str">
        <f>IF(K124=0,"Niet van toepassing",IF(G124='3B-Prestaties vloeren'!$B$2,"Schrobben",IF(G124='3B-Prestaties vloeren'!$C$2,"Sprayen/conserveren",IF(G124='3B-Prestaties vloeren'!$D$2,"Sproei-extractie",0))))</f>
        <v>Sprayen/conserveren</v>
      </c>
      <c r="S124" s="385">
        <f>IF('2-Tarieven'!$B$28=0,0,IF(M124=0,0,'2-Tarieven'!$B$28*M124))</f>
        <v>0</v>
      </c>
      <c r="T124" s="386">
        <f>IF(AND(COUNTBLANK('3B-Prestaties vloeren'!$F$3:$H$24)=0,COUNTBLANK('3B-Prestaties vloeren'!$L$3:$M$24)=0),IF(R124="Sprayen/conserveren",I124/VLOOKUP(E124,'3B-Prestaties vloeren'!$A$3:$M$24,12,FALSE),0)*(P124-1),0)</f>
        <v>0</v>
      </c>
      <c r="U124" s="386">
        <f>IF(AND(COUNTBLANK('3B-Prestaties vloeren'!$F$3:$H$24)=0,COUNTBLANK('3B-Prestaties vloeren'!$L$3:$M$24)=0),IF(R124="Sprayen/conserveren",I124/VLOOKUP(E124,'3B-Prestaties vloeren'!$A$3:$M$24,13,FALSE),0),0)</f>
        <v>0</v>
      </c>
      <c r="V124" s="386">
        <f>IF(AND(COUNTBLANK('3B-Prestaties vloeren'!$F$3:$H$24)=0,COUNTBLANK('3B-Prestaties vloeren'!$L$3:$M$24)=0),IF(R124="schrobben",I124/VLOOKUP(E124,'3B-Prestaties vloeren'!$A$3:$H$24,6,FALSE),0)*P124,0)</f>
        <v>0</v>
      </c>
      <c r="W124" s="386">
        <f>IF(AND(COUNTBLANK('3B-Prestaties vloeren'!$F$3:$H$24)=0,COUNTBLANK('3B-Prestaties vloeren'!$L$3:$M$24)=0),IF(R124="sproei-extractie",I124/VLOOKUP(E124,'3B-Prestaties vloeren'!$A$3:$H$24,8,FALSE),0)*P124,0)</f>
        <v>0</v>
      </c>
    </row>
    <row r="125" spans="1:23" ht="15" hidden="1">
      <c r="A125" s="378" t="s">
        <v>664</v>
      </c>
      <c r="B125" s="378" t="s">
        <v>665</v>
      </c>
      <c r="C125" s="378">
        <v>0</v>
      </c>
      <c r="D125" s="378" t="s">
        <v>291</v>
      </c>
      <c r="E125" s="378" t="s">
        <v>653</v>
      </c>
      <c r="F125" s="378" t="s">
        <v>647</v>
      </c>
      <c r="G125" s="378" t="str">
        <f>VLOOKUP(F125,'3B-Prestaties vloeren'!$A$28:$B$118,2,0)</f>
        <v>Hard onbehandeld</v>
      </c>
      <c r="H125" s="378" t="s">
        <v>330</v>
      </c>
      <c r="I125" s="378">
        <v>1.2</v>
      </c>
      <c r="J125" s="421" t="s">
        <v>511</v>
      </c>
      <c r="K125" s="426">
        <v>255</v>
      </c>
      <c r="L125" s="378">
        <f t="shared" si="3"/>
        <v>306</v>
      </c>
      <c r="M125" s="380" t="str">
        <f>IF(K125=0,0,IF(COUNTBLANK('3A-Prestatie'!$B$2:$I$22)=0,L125/VLOOKUP(E125,'3A-Prestatie'!$A$1:$M$22,VLOOKUP(K125,'3A-Prestatie'!$A$28:$B$34,2,FALSE),FALSE),"3A prestatie invullen"))</f>
        <v>3A prestatie invullen</v>
      </c>
      <c r="N125" s="380">
        <f t="shared" si="5"/>
        <v>0</v>
      </c>
      <c r="O125" s="381" t="str">
        <f>VLOOKUP(E125,'3A-Prestatie'!A:M,13,FALSE)</f>
        <v>S</v>
      </c>
      <c r="P125" s="382">
        <f>IF(R125="Niet van toepassing",0,VLOOKUP(E125,'3B-Prestaties vloeren'!$A$3:$D$24,IF(G125="Hard onbehandeld",2,IF(G125="Hard behandeld",3,4)),FALSE))</f>
        <v>52</v>
      </c>
      <c r="Q125" s="383">
        <f t="shared" si="4"/>
        <v>0</v>
      </c>
      <c r="R125" s="384" t="str">
        <f>IF(K125=0,"Niet van toepassing",IF(G125='3B-Prestaties vloeren'!$B$2,"Schrobben",IF(G125='3B-Prestaties vloeren'!$C$2,"Sprayen/conserveren",IF(G125='3B-Prestaties vloeren'!$D$2,"Sproei-extractie",0))))</f>
        <v>Schrobben</v>
      </c>
      <c r="S125" s="385">
        <f>IF('2-Tarieven'!$B$28=0,0,IF(M125=0,0,'2-Tarieven'!$B$28*M125))</f>
        <v>0</v>
      </c>
      <c r="T125" s="386">
        <f>IF(AND(COUNTBLANK('3B-Prestaties vloeren'!$F$3:$H$24)=0,COUNTBLANK('3B-Prestaties vloeren'!$L$3:$M$24)=0),IF(R125="Sprayen/conserveren",I125/VLOOKUP(E125,'3B-Prestaties vloeren'!$A$3:$M$24,12,FALSE),0)*(P125-1),0)</f>
        <v>0</v>
      </c>
      <c r="U125" s="386">
        <f>IF(AND(COUNTBLANK('3B-Prestaties vloeren'!$F$3:$H$24)=0,COUNTBLANK('3B-Prestaties vloeren'!$L$3:$M$24)=0),IF(R125="Sprayen/conserveren",I125/VLOOKUP(E125,'3B-Prestaties vloeren'!$A$3:$M$24,13,FALSE),0),0)</f>
        <v>0</v>
      </c>
      <c r="V125" s="386">
        <f>IF(AND(COUNTBLANK('3B-Prestaties vloeren'!$F$3:$H$24)=0,COUNTBLANK('3B-Prestaties vloeren'!$L$3:$M$24)=0),IF(R125="schrobben",I125/VLOOKUP(E125,'3B-Prestaties vloeren'!$A$3:$H$24,6,FALSE),0)*P125,0)</f>
        <v>0</v>
      </c>
      <c r="W125" s="386">
        <f>IF(AND(COUNTBLANK('3B-Prestaties vloeren'!$F$3:$H$24)=0,COUNTBLANK('3B-Prestaties vloeren'!$L$3:$M$24)=0),IF(R125="sproei-extractie",I125/VLOOKUP(E125,'3B-Prestaties vloeren'!$A$3:$H$24,8,FALSE),0)*P125,0)</f>
        <v>0</v>
      </c>
    </row>
    <row r="126" spans="1:23" ht="15" hidden="1">
      <c r="A126" s="378" t="s">
        <v>664</v>
      </c>
      <c r="B126" s="378" t="s">
        <v>665</v>
      </c>
      <c r="C126" s="378">
        <v>0</v>
      </c>
      <c r="D126" s="378" t="s">
        <v>292</v>
      </c>
      <c r="E126" s="378" t="s">
        <v>728</v>
      </c>
      <c r="F126" s="378" t="s">
        <v>648</v>
      </c>
      <c r="G126" s="378" t="str">
        <f>VLOOKUP(F126,'3B-Prestaties vloeren'!$A$28:$B$118,2,0)</f>
        <v>Hard onbehandeld</v>
      </c>
      <c r="H126" s="378" t="s">
        <v>287</v>
      </c>
      <c r="I126" s="378">
        <v>10.18</v>
      </c>
      <c r="J126" s="419"/>
      <c r="K126" s="426">
        <v>0</v>
      </c>
      <c r="L126" s="378">
        <f t="shared" si="3"/>
        <v>0</v>
      </c>
      <c r="M126" s="380">
        <f>IF(K126=0,0,IF(COUNTBLANK('3A-Prestatie'!$B$2:$I$22)=0,L126/VLOOKUP(E126,'3A-Prestatie'!$A$1:$M$22,VLOOKUP(K126,'3A-Prestatie'!$A$28:$B$34,2,FALSE),FALSE),"3A prestatie invullen"))</f>
        <v>0</v>
      </c>
      <c r="N126" s="380">
        <f t="shared" si="5"/>
        <v>0</v>
      </c>
      <c r="O126" s="381" t="str">
        <f>VLOOKUP(E126,'3A-Prestatie'!A:M,13,FALSE)</f>
        <v>N.v.t.</v>
      </c>
      <c r="P126" s="382">
        <f>IF(R126="Niet van toepassing",0,VLOOKUP(E126,'3B-Prestaties vloeren'!$A$3:$D$24,IF(G126="Hard onbehandeld",2,IF(G126="Hard behandeld",3,4)),FALSE))</f>
        <v>0</v>
      </c>
      <c r="Q126" s="383">
        <f t="shared" si="4"/>
        <v>0</v>
      </c>
      <c r="R126" s="384" t="str">
        <f>IF(K126=0,"Niet van toepassing",IF(G126='3B-Prestaties vloeren'!$B$2,"Schrobben",IF(G126='3B-Prestaties vloeren'!$C$2,"Sprayen/conserveren",IF(G126='3B-Prestaties vloeren'!$D$2,"Sproei-extractie",0))))</f>
        <v>Niet van toepassing</v>
      </c>
      <c r="S126" s="385">
        <f>IF('2-Tarieven'!$B$28=0,0,IF(M126=0,0,'2-Tarieven'!$B$28*M126))</f>
        <v>0</v>
      </c>
      <c r="T126" s="386">
        <f>IF(AND(COUNTBLANK('3B-Prestaties vloeren'!$F$3:$H$24)=0,COUNTBLANK('3B-Prestaties vloeren'!$L$3:$M$24)=0),IF(R126="Sprayen/conserveren",I126/VLOOKUP(E126,'3B-Prestaties vloeren'!$A$3:$M$24,12,FALSE),0)*(P126-1),0)</f>
        <v>0</v>
      </c>
      <c r="U126" s="386">
        <f>IF(AND(COUNTBLANK('3B-Prestaties vloeren'!$F$3:$H$24)=0,COUNTBLANK('3B-Prestaties vloeren'!$L$3:$M$24)=0),IF(R126="Sprayen/conserveren",I126/VLOOKUP(E126,'3B-Prestaties vloeren'!$A$3:$M$24,13,FALSE),0),0)</f>
        <v>0</v>
      </c>
      <c r="V126" s="386">
        <f>IF(AND(COUNTBLANK('3B-Prestaties vloeren'!$F$3:$H$24)=0,COUNTBLANK('3B-Prestaties vloeren'!$L$3:$M$24)=0),IF(R126="schrobben",I126/VLOOKUP(E126,'3B-Prestaties vloeren'!$A$3:$H$24,6,FALSE),0)*P126,0)</f>
        <v>0</v>
      </c>
      <c r="W126" s="386">
        <f>IF(AND(COUNTBLANK('3B-Prestaties vloeren'!$F$3:$H$24)=0,COUNTBLANK('3B-Prestaties vloeren'!$L$3:$M$24)=0),IF(R126="sproei-extractie",I126/VLOOKUP(E126,'3B-Prestaties vloeren'!$A$3:$H$24,8,FALSE),0)*P126,0)</f>
        <v>0</v>
      </c>
    </row>
    <row r="127" spans="1:23" ht="15" hidden="1">
      <c r="A127" s="378" t="s">
        <v>664</v>
      </c>
      <c r="B127" s="378" t="s">
        <v>665</v>
      </c>
      <c r="C127" s="378">
        <v>0</v>
      </c>
      <c r="D127" s="378" t="s">
        <v>293</v>
      </c>
      <c r="E127" s="378" t="s">
        <v>5</v>
      </c>
      <c r="F127" s="378" t="s">
        <v>64</v>
      </c>
      <c r="G127" s="378" t="str">
        <f>VLOOKUP(F127,'3B-Prestaties vloeren'!$A$28:$B$118,2,0)</f>
        <v>Hard behandeld</v>
      </c>
      <c r="H127" s="378"/>
      <c r="I127" s="378">
        <v>19.91</v>
      </c>
      <c r="J127" s="419"/>
      <c r="K127" s="426">
        <v>0</v>
      </c>
      <c r="L127" s="378">
        <f t="shared" si="3"/>
        <v>0</v>
      </c>
      <c r="M127" s="380">
        <f>IF(K127=0,0,IF(COUNTBLANK('3A-Prestatie'!$B$2:$I$22)=0,L127/VLOOKUP(E127,'3A-Prestatie'!$A$1:$M$22,VLOOKUP(K127,'3A-Prestatie'!$A$28:$B$34,2,FALSE),FALSE),"3A prestatie invullen"))</f>
        <v>0</v>
      </c>
      <c r="N127" s="380">
        <f t="shared" si="5"/>
        <v>0</v>
      </c>
      <c r="O127" s="381" t="str">
        <f>VLOOKUP(E127,'3A-Prestatie'!A:M,13,FALSE)</f>
        <v>B</v>
      </c>
      <c r="P127" s="382">
        <f>IF(R127="Niet van toepassing",0,VLOOKUP(E127,'3B-Prestaties vloeren'!$A$3:$D$24,IF(G127="Hard onbehandeld",2,IF(G127="Hard behandeld",3,4)),FALSE))</f>
        <v>0</v>
      </c>
      <c r="Q127" s="383">
        <f t="shared" si="4"/>
        <v>0</v>
      </c>
      <c r="R127" s="384" t="str">
        <f>IF(K127=0,"Niet van toepassing",IF(G127='3B-Prestaties vloeren'!$B$2,"Schrobben",IF(G127='3B-Prestaties vloeren'!$C$2,"Sprayen/conserveren",IF(G127='3B-Prestaties vloeren'!$D$2,"Sproei-extractie",0))))</f>
        <v>Niet van toepassing</v>
      </c>
      <c r="S127" s="385">
        <f>IF('2-Tarieven'!$B$28=0,0,IF(M127=0,0,'2-Tarieven'!$B$28*M127))</f>
        <v>0</v>
      </c>
      <c r="T127" s="386">
        <f>IF(AND(COUNTBLANK('3B-Prestaties vloeren'!$F$3:$H$24)=0,COUNTBLANK('3B-Prestaties vloeren'!$L$3:$M$24)=0),IF(R127="Sprayen/conserveren",I127/VLOOKUP(E127,'3B-Prestaties vloeren'!$A$3:$M$24,12,FALSE),0)*(P127-1),0)</f>
        <v>0</v>
      </c>
      <c r="U127" s="386">
        <f>IF(AND(COUNTBLANK('3B-Prestaties vloeren'!$F$3:$H$24)=0,COUNTBLANK('3B-Prestaties vloeren'!$L$3:$M$24)=0),IF(R127="Sprayen/conserveren",I127/VLOOKUP(E127,'3B-Prestaties vloeren'!$A$3:$M$24,13,FALSE),0),0)</f>
        <v>0</v>
      </c>
      <c r="V127" s="386">
        <f>IF(AND(COUNTBLANK('3B-Prestaties vloeren'!$F$3:$H$24)=0,COUNTBLANK('3B-Prestaties vloeren'!$L$3:$M$24)=0),IF(R127="schrobben",I127/VLOOKUP(E127,'3B-Prestaties vloeren'!$A$3:$H$24,6,FALSE),0)*P127,0)</f>
        <v>0</v>
      </c>
      <c r="W127" s="386">
        <f>IF(AND(COUNTBLANK('3B-Prestaties vloeren'!$F$3:$H$24)=0,COUNTBLANK('3B-Prestaties vloeren'!$L$3:$M$24)=0),IF(R127="sproei-extractie",I127/VLOOKUP(E127,'3B-Prestaties vloeren'!$A$3:$H$24,8,FALSE),0)*P127,0)</f>
        <v>0</v>
      </c>
    </row>
    <row r="128" spans="1:23" ht="15" hidden="1">
      <c r="A128" s="378" t="s">
        <v>664</v>
      </c>
      <c r="B128" s="378" t="s">
        <v>665</v>
      </c>
      <c r="C128" s="378">
        <v>0</v>
      </c>
      <c r="D128" s="378" t="s">
        <v>294</v>
      </c>
      <c r="E128" s="378" t="s">
        <v>5</v>
      </c>
      <c r="F128" s="378" t="s">
        <v>64</v>
      </c>
      <c r="G128" s="378" t="str">
        <f>VLOOKUP(F128,'3B-Prestaties vloeren'!$A$28:$B$118,2,0)</f>
        <v>Hard behandeld</v>
      </c>
      <c r="H128" s="378"/>
      <c r="I128" s="378">
        <v>15.96</v>
      </c>
      <c r="J128" s="419"/>
      <c r="K128" s="426">
        <v>0</v>
      </c>
      <c r="L128" s="378">
        <f t="shared" si="3"/>
        <v>0</v>
      </c>
      <c r="M128" s="380">
        <f>IF(K128=0,0,IF(COUNTBLANK('3A-Prestatie'!$B$2:$I$22)=0,L128/VLOOKUP(E128,'3A-Prestatie'!$A$1:$M$22,VLOOKUP(K128,'3A-Prestatie'!$A$28:$B$34,2,FALSE),FALSE),"3A prestatie invullen"))</f>
        <v>0</v>
      </c>
      <c r="N128" s="380">
        <f t="shared" si="5"/>
        <v>0</v>
      </c>
      <c r="O128" s="381" t="str">
        <f>VLOOKUP(E128,'3A-Prestatie'!A:M,13,FALSE)</f>
        <v>B</v>
      </c>
      <c r="P128" s="382">
        <f>IF(R128="Niet van toepassing",0,VLOOKUP(E128,'3B-Prestaties vloeren'!$A$3:$D$24,IF(G128="Hard onbehandeld",2,IF(G128="Hard behandeld",3,4)),FALSE))</f>
        <v>0</v>
      </c>
      <c r="Q128" s="383">
        <f t="shared" si="4"/>
        <v>0</v>
      </c>
      <c r="R128" s="384" t="str">
        <f>IF(K128=0,"Niet van toepassing",IF(G128='3B-Prestaties vloeren'!$B$2,"Schrobben",IF(G128='3B-Prestaties vloeren'!$C$2,"Sprayen/conserveren",IF(G128='3B-Prestaties vloeren'!$D$2,"Sproei-extractie",0))))</f>
        <v>Niet van toepassing</v>
      </c>
      <c r="S128" s="385">
        <f>IF('2-Tarieven'!$B$28=0,0,IF(M128=0,0,'2-Tarieven'!$B$28*M128))</f>
        <v>0</v>
      </c>
      <c r="T128" s="386">
        <f>IF(AND(COUNTBLANK('3B-Prestaties vloeren'!$F$3:$H$24)=0,COUNTBLANK('3B-Prestaties vloeren'!$L$3:$M$24)=0),IF(R128="Sprayen/conserveren",I128/VLOOKUP(E128,'3B-Prestaties vloeren'!$A$3:$M$24,12,FALSE),0)*(P128-1),0)</f>
        <v>0</v>
      </c>
      <c r="U128" s="386">
        <f>IF(AND(COUNTBLANK('3B-Prestaties vloeren'!$F$3:$H$24)=0,COUNTBLANK('3B-Prestaties vloeren'!$L$3:$M$24)=0),IF(R128="Sprayen/conserveren",I128/VLOOKUP(E128,'3B-Prestaties vloeren'!$A$3:$M$24,13,FALSE),0),0)</f>
        <v>0</v>
      </c>
      <c r="V128" s="386">
        <f>IF(AND(COUNTBLANK('3B-Prestaties vloeren'!$F$3:$H$24)=0,COUNTBLANK('3B-Prestaties vloeren'!$L$3:$M$24)=0),IF(R128="schrobben",I128/VLOOKUP(E128,'3B-Prestaties vloeren'!$A$3:$H$24,6,FALSE),0)*P128,0)</f>
        <v>0</v>
      </c>
      <c r="W128" s="386">
        <f>IF(AND(COUNTBLANK('3B-Prestaties vloeren'!$F$3:$H$24)=0,COUNTBLANK('3B-Prestaties vloeren'!$L$3:$M$24)=0),IF(R128="sproei-extractie",I128/VLOOKUP(E128,'3B-Prestaties vloeren'!$A$3:$H$24,8,FALSE),0)*P128,0)</f>
        <v>0</v>
      </c>
    </row>
    <row r="129" spans="1:23" ht="15" hidden="1">
      <c r="A129" s="378" t="s">
        <v>664</v>
      </c>
      <c r="B129" s="378" t="s">
        <v>665</v>
      </c>
      <c r="C129" s="378">
        <v>0</v>
      </c>
      <c r="D129" s="378" t="s">
        <v>295</v>
      </c>
      <c r="E129" s="378" t="s">
        <v>5</v>
      </c>
      <c r="F129" s="378" t="s">
        <v>64</v>
      </c>
      <c r="G129" s="378" t="str">
        <f>VLOOKUP(F129,'3B-Prestaties vloeren'!$A$28:$B$118,2,0)</f>
        <v>Hard behandeld</v>
      </c>
      <c r="H129" s="378"/>
      <c r="I129" s="378">
        <v>22.62</v>
      </c>
      <c r="J129" s="419"/>
      <c r="K129" s="426">
        <v>0</v>
      </c>
      <c r="L129" s="378">
        <f t="shared" si="3"/>
        <v>0</v>
      </c>
      <c r="M129" s="380">
        <f>IF(K129=0,0,IF(COUNTBLANK('3A-Prestatie'!$B$2:$I$22)=0,L129/VLOOKUP(E129,'3A-Prestatie'!$A$1:$M$22,VLOOKUP(K129,'3A-Prestatie'!$A$28:$B$34,2,FALSE),FALSE),"3A prestatie invullen"))</f>
        <v>0</v>
      </c>
      <c r="N129" s="380">
        <f t="shared" si="5"/>
        <v>0</v>
      </c>
      <c r="O129" s="381" t="str">
        <f>VLOOKUP(E129,'3A-Prestatie'!A:M,13,FALSE)</f>
        <v>B</v>
      </c>
      <c r="P129" s="382">
        <f>IF(R129="Niet van toepassing",0,VLOOKUP(E129,'3B-Prestaties vloeren'!$A$3:$D$24,IF(G129="Hard onbehandeld",2,IF(G129="Hard behandeld",3,4)),FALSE))</f>
        <v>0</v>
      </c>
      <c r="Q129" s="383">
        <f t="shared" si="4"/>
        <v>0</v>
      </c>
      <c r="R129" s="384" t="str">
        <f>IF(K129=0,"Niet van toepassing",IF(G129='3B-Prestaties vloeren'!$B$2,"Schrobben",IF(G129='3B-Prestaties vloeren'!$C$2,"Sprayen/conserveren",IF(G129='3B-Prestaties vloeren'!$D$2,"Sproei-extractie",0))))</f>
        <v>Niet van toepassing</v>
      </c>
      <c r="S129" s="385">
        <f>IF('2-Tarieven'!$B$28=0,0,IF(M129=0,0,'2-Tarieven'!$B$28*M129))</f>
        <v>0</v>
      </c>
      <c r="T129" s="386">
        <f>IF(AND(COUNTBLANK('3B-Prestaties vloeren'!$F$3:$H$24)=0,COUNTBLANK('3B-Prestaties vloeren'!$L$3:$M$24)=0),IF(R129="Sprayen/conserveren",I129/VLOOKUP(E129,'3B-Prestaties vloeren'!$A$3:$M$24,12,FALSE),0)*(P129-1),0)</f>
        <v>0</v>
      </c>
      <c r="U129" s="386">
        <f>IF(AND(COUNTBLANK('3B-Prestaties vloeren'!$F$3:$H$24)=0,COUNTBLANK('3B-Prestaties vloeren'!$L$3:$M$24)=0),IF(R129="Sprayen/conserveren",I129/VLOOKUP(E129,'3B-Prestaties vloeren'!$A$3:$M$24,13,FALSE),0),0)</f>
        <v>0</v>
      </c>
      <c r="V129" s="386">
        <f>IF(AND(COUNTBLANK('3B-Prestaties vloeren'!$F$3:$H$24)=0,COUNTBLANK('3B-Prestaties vloeren'!$L$3:$M$24)=0),IF(R129="schrobben",I129/VLOOKUP(E129,'3B-Prestaties vloeren'!$A$3:$H$24,6,FALSE),0)*P129,0)</f>
        <v>0</v>
      </c>
      <c r="W129" s="386">
        <f>IF(AND(COUNTBLANK('3B-Prestaties vloeren'!$F$3:$H$24)=0,COUNTBLANK('3B-Prestaties vloeren'!$L$3:$M$24)=0),IF(R129="sproei-extractie",I129/VLOOKUP(E129,'3B-Prestaties vloeren'!$A$3:$H$24,8,FALSE),0)*P129,0)</f>
        <v>0</v>
      </c>
    </row>
    <row r="130" spans="1:23" ht="15" hidden="1">
      <c r="A130" s="378" t="s">
        <v>664</v>
      </c>
      <c r="B130" s="378" t="s">
        <v>665</v>
      </c>
      <c r="C130" s="378">
        <v>0</v>
      </c>
      <c r="D130" s="378" t="s">
        <v>296</v>
      </c>
      <c r="E130" s="378" t="s">
        <v>728</v>
      </c>
      <c r="F130" s="378" t="s">
        <v>648</v>
      </c>
      <c r="G130" s="378" t="str">
        <f>VLOOKUP(F130,'3B-Prestaties vloeren'!$A$28:$B$118,2,0)</f>
        <v>Hard onbehandeld</v>
      </c>
      <c r="H130" s="378" t="s">
        <v>652</v>
      </c>
      <c r="I130" s="378">
        <v>1199.55</v>
      </c>
      <c r="J130" s="419"/>
      <c r="K130" s="426">
        <v>0</v>
      </c>
      <c r="L130" s="378">
        <f t="shared" ref="L130:L193" si="6">IF(K130=0,0,K130*I130)</f>
        <v>0</v>
      </c>
      <c r="M130" s="380">
        <f>IF(K130=0,0,IF(COUNTBLANK('3A-Prestatie'!$B$2:$I$22)=0,L130/VLOOKUP(E130,'3A-Prestatie'!$A$1:$M$22,VLOOKUP(K130,'3A-Prestatie'!$A$28:$B$34,2,FALSE),FALSE),"3A prestatie invullen"))</f>
        <v>0</v>
      </c>
      <c r="N130" s="380">
        <f t="shared" si="5"/>
        <v>0</v>
      </c>
      <c r="O130" s="381" t="str">
        <f>VLOOKUP(E130,'3A-Prestatie'!A:M,13,FALSE)</f>
        <v>N.v.t.</v>
      </c>
      <c r="P130" s="382">
        <f>IF(R130="Niet van toepassing",0,VLOOKUP(E130,'3B-Prestaties vloeren'!$A$3:$D$24,IF(G130="Hard onbehandeld",2,IF(G130="Hard behandeld",3,4)),FALSE))</f>
        <v>0</v>
      </c>
      <c r="Q130" s="383">
        <f t="shared" ref="Q130:Q193" si="7">SUM(T130:W130)</f>
        <v>0</v>
      </c>
      <c r="R130" s="384" t="str">
        <f>IF(K130=0,"Niet van toepassing",IF(G130='3B-Prestaties vloeren'!$B$2,"Schrobben",IF(G130='3B-Prestaties vloeren'!$C$2,"Sprayen/conserveren",IF(G130='3B-Prestaties vloeren'!$D$2,"Sproei-extractie",0))))</f>
        <v>Niet van toepassing</v>
      </c>
      <c r="S130" s="385">
        <f>IF('2-Tarieven'!$B$28=0,0,IF(M130=0,0,'2-Tarieven'!$B$28*M130))</f>
        <v>0</v>
      </c>
      <c r="T130" s="386">
        <f>IF(AND(COUNTBLANK('3B-Prestaties vloeren'!$F$3:$H$24)=0,COUNTBLANK('3B-Prestaties vloeren'!$L$3:$M$24)=0),IF(R130="Sprayen/conserveren",I130/VLOOKUP(E130,'3B-Prestaties vloeren'!$A$3:$M$24,12,FALSE),0)*(P130-1),0)</f>
        <v>0</v>
      </c>
      <c r="U130" s="386">
        <f>IF(AND(COUNTBLANK('3B-Prestaties vloeren'!$F$3:$H$24)=0,COUNTBLANK('3B-Prestaties vloeren'!$L$3:$M$24)=0),IF(R130="Sprayen/conserveren",I130/VLOOKUP(E130,'3B-Prestaties vloeren'!$A$3:$M$24,13,FALSE),0),0)</f>
        <v>0</v>
      </c>
      <c r="V130" s="386">
        <f>IF(AND(COUNTBLANK('3B-Prestaties vloeren'!$F$3:$H$24)=0,COUNTBLANK('3B-Prestaties vloeren'!$L$3:$M$24)=0),IF(R130="schrobben",I130/VLOOKUP(E130,'3B-Prestaties vloeren'!$A$3:$H$24,6,FALSE),0)*P130,0)</f>
        <v>0</v>
      </c>
      <c r="W130" s="386">
        <f>IF(AND(COUNTBLANK('3B-Prestaties vloeren'!$F$3:$H$24)=0,COUNTBLANK('3B-Prestaties vloeren'!$L$3:$M$24)=0),IF(R130="sproei-extractie",I130/VLOOKUP(E130,'3B-Prestaties vloeren'!$A$3:$H$24,8,FALSE),0)*P130,0)</f>
        <v>0</v>
      </c>
    </row>
    <row r="131" spans="1:23" ht="15" hidden="1">
      <c r="A131" s="378" t="s">
        <v>664</v>
      </c>
      <c r="B131" s="378" t="s">
        <v>665</v>
      </c>
      <c r="C131" s="378">
        <v>0</v>
      </c>
      <c r="D131" s="378" t="s">
        <v>297</v>
      </c>
      <c r="E131" s="378" t="s">
        <v>653</v>
      </c>
      <c r="F131" s="378" t="s">
        <v>647</v>
      </c>
      <c r="G131" s="378" t="str">
        <f>VLOOKUP(F131,'3B-Prestaties vloeren'!$A$28:$B$118,2,0)</f>
        <v>Hard onbehandeld</v>
      </c>
      <c r="H131" s="379"/>
      <c r="I131" s="378">
        <v>10.199999999999999</v>
      </c>
      <c r="J131" s="421" t="s">
        <v>511</v>
      </c>
      <c r="K131" s="426">
        <v>52</v>
      </c>
      <c r="L131" s="378">
        <f t="shared" si="6"/>
        <v>530.4</v>
      </c>
      <c r="M131" s="380" t="str">
        <f>IF(K131=0,0,IF(COUNTBLANK('3A-Prestatie'!$B$2:$I$22)=0,L131/VLOOKUP(E131,'3A-Prestatie'!$A$1:$M$22,VLOOKUP(K131,'3A-Prestatie'!$A$28:$B$34,2,FALSE),FALSE),"3A prestatie invullen"))</f>
        <v>3A prestatie invullen</v>
      </c>
      <c r="N131" s="380">
        <f t="shared" ref="N131:N194" si="8">IF(M131="3A prestatie invullen",0,IF(K131&lt;&gt;0,L131/M131,0))</f>
        <v>0</v>
      </c>
      <c r="O131" s="381" t="str">
        <f>VLOOKUP(E131,'3A-Prestatie'!A:M,13,FALSE)</f>
        <v>S</v>
      </c>
      <c r="P131" s="382">
        <v>12</v>
      </c>
      <c r="Q131" s="383">
        <f t="shared" si="7"/>
        <v>0</v>
      </c>
      <c r="R131" s="384" t="str">
        <f>IF(K131=0,"Niet van toepassing",IF(G131='3B-Prestaties vloeren'!$B$2,"Schrobben",IF(G131='3B-Prestaties vloeren'!$C$2,"Sprayen/conserveren",IF(G131='3B-Prestaties vloeren'!$D$2,"Sproei-extractie",0))))</f>
        <v>Schrobben</v>
      </c>
      <c r="S131" s="385">
        <f>IF('2-Tarieven'!$B$28=0,0,IF(M131=0,0,'2-Tarieven'!$B$28*M131))</f>
        <v>0</v>
      </c>
      <c r="T131" s="386">
        <f>IF(AND(COUNTBLANK('3B-Prestaties vloeren'!$F$3:$H$24)=0,COUNTBLANK('3B-Prestaties vloeren'!$L$3:$M$24)=0),IF(R131="Sprayen/conserveren",I131/VLOOKUP(E131,'3B-Prestaties vloeren'!$A$3:$M$24,12,FALSE),0)*(P131-1),0)</f>
        <v>0</v>
      </c>
      <c r="U131" s="386">
        <f>IF(AND(COUNTBLANK('3B-Prestaties vloeren'!$F$3:$H$24)=0,COUNTBLANK('3B-Prestaties vloeren'!$L$3:$M$24)=0),IF(R131="Sprayen/conserveren",I131/VLOOKUP(E131,'3B-Prestaties vloeren'!$A$3:$M$24,13,FALSE),0),0)</f>
        <v>0</v>
      </c>
      <c r="V131" s="386">
        <f>IF(AND(COUNTBLANK('3B-Prestaties vloeren'!$F$3:$H$24)=0,COUNTBLANK('3B-Prestaties vloeren'!$L$3:$M$24)=0),IF(R131="schrobben",I131/VLOOKUP(E131,'3B-Prestaties vloeren'!$A$3:$H$24,6,FALSE),0)*P131,0)</f>
        <v>0</v>
      </c>
      <c r="W131" s="386">
        <f>IF(AND(COUNTBLANK('3B-Prestaties vloeren'!$F$3:$H$24)=0,COUNTBLANK('3B-Prestaties vloeren'!$L$3:$M$24)=0),IF(R131="sproei-extractie",I131/VLOOKUP(E131,'3B-Prestaties vloeren'!$A$3:$H$24,8,FALSE),0)*P131,0)</f>
        <v>0</v>
      </c>
    </row>
    <row r="132" spans="1:23" ht="15" hidden="1">
      <c r="A132" s="378" t="s">
        <v>664</v>
      </c>
      <c r="B132" s="378" t="s">
        <v>665</v>
      </c>
      <c r="C132" s="378">
        <v>0</v>
      </c>
      <c r="D132" s="378" t="s">
        <v>0</v>
      </c>
      <c r="E132" s="378" t="s">
        <v>728</v>
      </c>
      <c r="F132" s="378" t="s">
        <v>647</v>
      </c>
      <c r="G132" s="378" t="str">
        <f>VLOOKUP(F132,'3B-Prestaties vloeren'!$A$28:$B$118,2,0)</f>
        <v>Hard onbehandeld</v>
      </c>
      <c r="H132" s="378" t="s">
        <v>330</v>
      </c>
      <c r="I132" s="416" t="s">
        <v>657</v>
      </c>
      <c r="J132" s="419"/>
      <c r="K132" s="426">
        <v>0</v>
      </c>
      <c r="L132" s="378">
        <f t="shared" si="6"/>
        <v>0</v>
      </c>
      <c r="M132" s="380">
        <f>IF(K132=0,0,IF(COUNTBLANK('3A-Prestatie'!$B$2:$I$22)=0,L132/VLOOKUP(E132,'3A-Prestatie'!$A$1:$M$22,VLOOKUP(K132,'3A-Prestatie'!$A$28:$B$34,2,FALSE),FALSE),"3A prestatie invullen"))</f>
        <v>0</v>
      </c>
      <c r="N132" s="380">
        <f t="shared" si="8"/>
        <v>0</v>
      </c>
      <c r="O132" s="381" t="str">
        <f>VLOOKUP(E132,'3A-Prestatie'!A:M,13,FALSE)</f>
        <v>N.v.t.</v>
      </c>
      <c r="P132" s="382">
        <f>IF(R132="Niet van toepassing",0,VLOOKUP(E132,'3B-Prestaties vloeren'!$A$3:$D$24,IF(G132="Hard onbehandeld",2,IF(G132="Hard behandeld",3,4)),FALSE))</f>
        <v>0</v>
      </c>
      <c r="Q132" s="383">
        <f t="shared" si="7"/>
        <v>0</v>
      </c>
      <c r="R132" s="384" t="str">
        <f>IF(K132=0,"Niet van toepassing",IF(G132='3B-Prestaties vloeren'!$B$2,"Schrobben",IF(G132='3B-Prestaties vloeren'!$C$2,"Sprayen/conserveren",IF(G132='3B-Prestaties vloeren'!$D$2,"Sproei-extractie",0))))</f>
        <v>Niet van toepassing</v>
      </c>
      <c r="S132" s="385">
        <f>IF('2-Tarieven'!$B$28=0,0,IF(M132=0,0,'2-Tarieven'!$B$28*M132))</f>
        <v>0</v>
      </c>
      <c r="T132" s="386">
        <f>IF(AND(COUNTBLANK('3B-Prestaties vloeren'!$F$3:$H$24)=0,COUNTBLANK('3B-Prestaties vloeren'!$L$3:$M$24)=0),IF(R132="Sprayen/conserveren",I132/VLOOKUP(E132,'3B-Prestaties vloeren'!$A$3:$M$24,12,FALSE),0)*(P132-1),0)</f>
        <v>0</v>
      </c>
      <c r="U132" s="386">
        <f>IF(AND(COUNTBLANK('3B-Prestaties vloeren'!$F$3:$H$24)=0,COUNTBLANK('3B-Prestaties vloeren'!$L$3:$M$24)=0),IF(R132="Sprayen/conserveren",I132/VLOOKUP(E132,'3B-Prestaties vloeren'!$A$3:$M$24,13,FALSE),0),0)</f>
        <v>0</v>
      </c>
      <c r="V132" s="386">
        <f>IF(AND(COUNTBLANK('3B-Prestaties vloeren'!$F$3:$H$24)=0,COUNTBLANK('3B-Prestaties vloeren'!$L$3:$M$24)=0),IF(R132="schrobben",I132/VLOOKUP(E132,'3B-Prestaties vloeren'!$A$3:$H$24,6,FALSE),0)*P132,0)</f>
        <v>0</v>
      </c>
      <c r="W132" s="386">
        <f>IF(AND(COUNTBLANK('3B-Prestaties vloeren'!$F$3:$H$24)=0,COUNTBLANK('3B-Prestaties vloeren'!$L$3:$M$24)=0),IF(R132="sproei-extractie",I132/VLOOKUP(E132,'3B-Prestaties vloeren'!$A$3:$H$24,8,FALSE),0)*P132,0)</f>
        <v>0</v>
      </c>
    </row>
    <row r="133" spans="1:23" ht="15" hidden="1">
      <c r="A133" s="378" t="s">
        <v>664</v>
      </c>
      <c r="B133" s="378" t="s">
        <v>665</v>
      </c>
      <c r="C133" s="378">
        <v>0</v>
      </c>
      <c r="D133" s="378" t="s">
        <v>298</v>
      </c>
      <c r="E133" s="378" t="s">
        <v>728</v>
      </c>
      <c r="F133" s="378" t="s">
        <v>647</v>
      </c>
      <c r="G133" s="378" t="str">
        <f>VLOOKUP(F133,'3B-Prestaties vloeren'!$A$28:$B$118,2,0)</f>
        <v>Hard onbehandeld</v>
      </c>
      <c r="H133" s="378" t="s">
        <v>330</v>
      </c>
      <c r="I133" s="416" t="s">
        <v>657</v>
      </c>
      <c r="J133" s="419"/>
      <c r="K133" s="426">
        <v>0</v>
      </c>
      <c r="L133" s="378">
        <f t="shared" si="6"/>
        <v>0</v>
      </c>
      <c r="M133" s="380">
        <f>IF(K133=0,0,IF(COUNTBLANK('3A-Prestatie'!$B$2:$I$22)=0,L133/VLOOKUP(E133,'3A-Prestatie'!$A$1:$M$22,VLOOKUP(K133,'3A-Prestatie'!$A$28:$B$34,2,FALSE),FALSE),"3A prestatie invullen"))</f>
        <v>0</v>
      </c>
      <c r="N133" s="380">
        <f t="shared" si="8"/>
        <v>0</v>
      </c>
      <c r="O133" s="381" t="str">
        <f>VLOOKUP(E133,'3A-Prestatie'!A:M,13,FALSE)</f>
        <v>N.v.t.</v>
      </c>
      <c r="P133" s="382">
        <f>IF(R133="Niet van toepassing",0,VLOOKUP(E133,'3B-Prestaties vloeren'!$A$3:$D$24,IF(G133="Hard onbehandeld",2,IF(G133="Hard behandeld",3,4)),FALSE))</f>
        <v>0</v>
      </c>
      <c r="Q133" s="383">
        <f t="shared" si="7"/>
        <v>0</v>
      </c>
      <c r="R133" s="384" t="str">
        <f>IF(K133=0,"Niet van toepassing",IF(G133='3B-Prestaties vloeren'!$B$2,"Schrobben",IF(G133='3B-Prestaties vloeren'!$C$2,"Sprayen/conserveren",IF(G133='3B-Prestaties vloeren'!$D$2,"Sproei-extractie",0))))</f>
        <v>Niet van toepassing</v>
      </c>
      <c r="S133" s="385">
        <f>IF('2-Tarieven'!$B$28=0,0,IF(M133=0,0,'2-Tarieven'!$B$28*M133))</f>
        <v>0</v>
      </c>
      <c r="T133" s="386">
        <f>IF(AND(COUNTBLANK('3B-Prestaties vloeren'!$F$3:$H$24)=0,COUNTBLANK('3B-Prestaties vloeren'!$L$3:$M$24)=0),IF(R133="Sprayen/conserveren",I133/VLOOKUP(E133,'3B-Prestaties vloeren'!$A$3:$M$24,12,FALSE),0)*(P133-1),0)</f>
        <v>0</v>
      </c>
      <c r="U133" s="386">
        <f>IF(AND(COUNTBLANK('3B-Prestaties vloeren'!$F$3:$H$24)=0,COUNTBLANK('3B-Prestaties vloeren'!$L$3:$M$24)=0),IF(R133="Sprayen/conserveren",I133/VLOOKUP(E133,'3B-Prestaties vloeren'!$A$3:$M$24,13,FALSE),0),0)</f>
        <v>0</v>
      </c>
      <c r="V133" s="386">
        <f>IF(AND(COUNTBLANK('3B-Prestaties vloeren'!$F$3:$H$24)=0,COUNTBLANK('3B-Prestaties vloeren'!$L$3:$M$24)=0),IF(R133="schrobben",I133/VLOOKUP(E133,'3B-Prestaties vloeren'!$A$3:$H$24,6,FALSE),0)*P133,0)</f>
        <v>0</v>
      </c>
      <c r="W133" s="386">
        <f>IF(AND(COUNTBLANK('3B-Prestaties vloeren'!$F$3:$H$24)=0,COUNTBLANK('3B-Prestaties vloeren'!$L$3:$M$24)=0),IF(R133="sproei-extractie",I133/VLOOKUP(E133,'3B-Prestaties vloeren'!$A$3:$H$24,8,FALSE),0)*P133,0)</f>
        <v>0</v>
      </c>
    </row>
    <row r="134" spans="1:23" ht="15" hidden="1">
      <c r="A134" s="378" t="s">
        <v>664</v>
      </c>
      <c r="B134" s="378" t="s">
        <v>665</v>
      </c>
      <c r="C134" s="378">
        <v>1</v>
      </c>
      <c r="D134" s="378" t="s">
        <v>336</v>
      </c>
      <c r="E134" s="378" t="s">
        <v>728</v>
      </c>
      <c r="F134" s="378" t="s">
        <v>65</v>
      </c>
      <c r="G134" s="378" t="str">
        <f>VLOOKUP(F134,'3B-Prestaties vloeren'!$A$28:$B$118,2,0)</f>
        <v>Zacht onbehandeld</v>
      </c>
      <c r="H134" s="378" t="s">
        <v>283</v>
      </c>
      <c r="I134" s="378">
        <v>142.47999999999999</v>
      </c>
      <c r="J134" s="419"/>
      <c r="K134" s="426">
        <v>0</v>
      </c>
      <c r="L134" s="378">
        <f t="shared" si="6"/>
        <v>0</v>
      </c>
      <c r="M134" s="380">
        <f>IF(K134=0,0,IF(COUNTBLANK('3A-Prestatie'!$B$2:$I$22)=0,L134/VLOOKUP(E134,'3A-Prestatie'!$A$1:$M$22,VLOOKUP(K134,'3A-Prestatie'!$A$28:$B$34,2,FALSE),FALSE),"3A prestatie invullen"))</f>
        <v>0</v>
      </c>
      <c r="N134" s="380">
        <f t="shared" si="8"/>
        <v>0</v>
      </c>
      <c r="O134" s="381" t="str">
        <f>VLOOKUP(E134,'3A-Prestatie'!A:M,13,FALSE)</f>
        <v>N.v.t.</v>
      </c>
      <c r="P134" s="382">
        <f>IF(R134="Niet van toepassing",0,VLOOKUP(E134,'3B-Prestaties vloeren'!$A$3:$D$24,IF(G134="Hard onbehandeld",2,IF(G134="Hard behandeld",3,4)),FALSE))</f>
        <v>0</v>
      </c>
      <c r="Q134" s="383">
        <f t="shared" si="7"/>
        <v>0</v>
      </c>
      <c r="R134" s="384" t="str">
        <f>IF(K134=0,"Niet van toepassing",IF(G134='3B-Prestaties vloeren'!$B$2,"Schrobben",IF(G134='3B-Prestaties vloeren'!$C$2,"Sprayen/conserveren",IF(G134='3B-Prestaties vloeren'!$D$2,"Sproei-extractie",0))))</f>
        <v>Niet van toepassing</v>
      </c>
      <c r="S134" s="385">
        <f>IF('2-Tarieven'!$B$28=0,0,IF(M134=0,0,'2-Tarieven'!$B$28*M134))</f>
        <v>0</v>
      </c>
      <c r="T134" s="386">
        <f>IF(AND(COUNTBLANK('3B-Prestaties vloeren'!$F$3:$H$24)=0,COUNTBLANK('3B-Prestaties vloeren'!$L$3:$M$24)=0),IF(R134="Sprayen/conserveren",I134/VLOOKUP(E134,'3B-Prestaties vloeren'!$A$3:$M$24,12,FALSE),0)*(P134-1),0)</f>
        <v>0</v>
      </c>
      <c r="U134" s="386">
        <f>IF(AND(COUNTBLANK('3B-Prestaties vloeren'!$F$3:$H$24)=0,COUNTBLANK('3B-Prestaties vloeren'!$L$3:$M$24)=0),IF(R134="Sprayen/conserveren",I134/VLOOKUP(E134,'3B-Prestaties vloeren'!$A$3:$M$24,13,FALSE),0),0)</f>
        <v>0</v>
      </c>
      <c r="V134" s="386">
        <f>IF(AND(COUNTBLANK('3B-Prestaties vloeren'!$F$3:$H$24)=0,COUNTBLANK('3B-Prestaties vloeren'!$L$3:$M$24)=0),IF(R134="schrobben",I134/VLOOKUP(E134,'3B-Prestaties vloeren'!$A$3:$H$24,6,FALSE),0)*P134,0)</f>
        <v>0</v>
      </c>
      <c r="W134" s="386">
        <f>IF(AND(COUNTBLANK('3B-Prestaties vloeren'!$F$3:$H$24)=0,COUNTBLANK('3B-Prestaties vloeren'!$L$3:$M$24)=0),IF(R134="sproei-extractie",I134/VLOOKUP(E134,'3B-Prestaties vloeren'!$A$3:$H$24,8,FALSE),0)*P134,0)</f>
        <v>0</v>
      </c>
    </row>
    <row r="135" spans="1:23" ht="15" hidden="1">
      <c r="A135" s="378" t="s">
        <v>667</v>
      </c>
      <c r="B135" s="378" t="s">
        <v>668</v>
      </c>
      <c r="C135" s="378">
        <v>0</v>
      </c>
      <c r="D135" s="378" t="s">
        <v>288</v>
      </c>
      <c r="E135" s="378" t="s">
        <v>728</v>
      </c>
      <c r="F135" s="378" t="s">
        <v>648</v>
      </c>
      <c r="G135" s="378" t="str">
        <f>VLOOKUP(F135,'3B-Prestaties vloeren'!$A$28:$B$118,2,0)</f>
        <v>Hard onbehandeld</v>
      </c>
      <c r="H135" s="378" t="s">
        <v>652</v>
      </c>
      <c r="I135" s="378">
        <v>1410</v>
      </c>
      <c r="J135" s="419"/>
      <c r="K135" s="426">
        <v>0</v>
      </c>
      <c r="L135" s="378">
        <f t="shared" si="6"/>
        <v>0</v>
      </c>
      <c r="M135" s="380">
        <f>IF(K135=0,0,IF(COUNTBLANK('3A-Prestatie'!$B$2:$I$22)=0,L135/VLOOKUP(E135,'3A-Prestatie'!$A$1:$M$22,VLOOKUP(K135,'3A-Prestatie'!$A$28:$B$34,2,FALSE),FALSE),"3A prestatie invullen"))</f>
        <v>0</v>
      </c>
      <c r="N135" s="380">
        <f t="shared" si="8"/>
        <v>0</v>
      </c>
      <c r="O135" s="381" t="str">
        <f>VLOOKUP(E135,'3A-Prestatie'!A:M,13,FALSE)</f>
        <v>N.v.t.</v>
      </c>
      <c r="P135" s="382">
        <f>IF(R135="Niet van toepassing",0,VLOOKUP(E135,'3B-Prestaties vloeren'!$A$3:$D$24,IF(G135="Hard onbehandeld",2,IF(G135="Hard behandeld",3,4)),FALSE))</f>
        <v>0</v>
      </c>
      <c r="Q135" s="383">
        <f t="shared" si="7"/>
        <v>0</v>
      </c>
      <c r="R135" s="384" t="str">
        <f>IF(K135=0,"Niet van toepassing",IF(G135='3B-Prestaties vloeren'!$B$2,"Schrobben",IF(G135='3B-Prestaties vloeren'!$C$2,"Sprayen/conserveren",IF(G135='3B-Prestaties vloeren'!$D$2,"Sproei-extractie",0))))</f>
        <v>Niet van toepassing</v>
      </c>
      <c r="S135" s="385">
        <f>IF('2-Tarieven'!$B$28=0,0,IF(M135=0,0,'2-Tarieven'!$B$28*M135))</f>
        <v>0</v>
      </c>
      <c r="T135" s="386">
        <f>IF(AND(COUNTBLANK('3B-Prestaties vloeren'!$F$3:$H$24)=0,COUNTBLANK('3B-Prestaties vloeren'!$L$3:$M$24)=0),IF(R135="Sprayen/conserveren",I135/VLOOKUP(E135,'3B-Prestaties vloeren'!$A$3:$M$24,12,FALSE),0)*(P135-1),0)</f>
        <v>0</v>
      </c>
      <c r="U135" s="386">
        <f>IF(AND(COUNTBLANK('3B-Prestaties vloeren'!$F$3:$H$24)=0,COUNTBLANK('3B-Prestaties vloeren'!$L$3:$M$24)=0),IF(R135="Sprayen/conserveren",I135/VLOOKUP(E135,'3B-Prestaties vloeren'!$A$3:$M$24,13,FALSE),0),0)</f>
        <v>0</v>
      </c>
      <c r="V135" s="386">
        <f>IF(AND(COUNTBLANK('3B-Prestaties vloeren'!$F$3:$H$24)=0,COUNTBLANK('3B-Prestaties vloeren'!$L$3:$M$24)=0),IF(R135="schrobben",I135/VLOOKUP(E135,'3B-Prestaties vloeren'!$A$3:$H$24,6,FALSE),0)*P135,0)</f>
        <v>0</v>
      </c>
      <c r="W135" s="386">
        <f>IF(AND(COUNTBLANK('3B-Prestaties vloeren'!$F$3:$H$24)=0,COUNTBLANK('3B-Prestaties vloeren'!$L$3:$M$24)=0),IF(R135="sproei-extractie",I135/VLOOKUP(E135,'3B-Prestaties vloeren'!$A$3:$H$24,8,FALSE),0)*P135,0)</f>
        <v>0</v>
      </c>
    </row>
    <row r="136" spans="1:23" ht="15" hidden="1">
      <c r="A136" s="378" t="s">
        <v>667</v>
      </c>
      <c r="B136" s="378" t="s">
        <v>668</v>
      </c>
      <c r="C136" s="378">
        <v>0</v>
      </c>
      <c r="D136" s="378" t="s">
        <v>289</v>
      </c>
      <c r="E136" s="378" t="s">
        <v>286</v>
      </c>
      <c r="F136" s="378" t="s">
        <v>64</v>
      </c>
      <c r="G136" s="378" t="str">
        <f>VLOOKUP(F136,'3B-Prestaties vloeren'!$A$28:$B$118,2,0)</f>
        <v>Hard behandeld</v>
      </c>
      <c r="H136" s="378"/>
      <c r="I136" s="378">
        <v>2.2000000000000002</v>
      </c>
      <c r="J136" s="419"/>
      <c r="K136" s="426">
        <v>0</v>
      </c>
      <c r="L136" s="378">
        <f t="shared" si="6"/>
        <v>0</v>
      </c>
      <c r="M136" s="380">
        <f>IF(K136=0,0,IF(COUNTBLANK('3A-Prestatie'!$B$2:$I$22)=0,L136/VLOOKUP(E136,'3A-Prestatie'!$A$1:$M$22,VLOOKUP(K136,'3A-Prestatie'!$A$28:$B$34,2,FALSE),FALSE),"3A prestatie invullen"))</f>
        <v>0</v>
      </c>
      <c r="N136" s="380">
        <f t="shared" si="8"/>
        <v>0</v>
      </c>
      <c r="O136" s="381" t="str">
        <f>VLOOKUP(E136,'3A-Prestatie'!A:M,13,FALSE)</f>
        <v>V</v>
      </c>
      <c r="P136" s="382">
        <f>IF(R136="Niet van toepassing",0,VLOOKUP(E136,'3B-Prestaties vloeren'!$A$3:$D$24,IF(G136="Hard onbehandeld",2,IF(G136="Hard behandeld",3,4)),FALSE))</f>
        <v>0</v>
      </c>
      <c r="Q136" s="383">
        <f t="shared" si="7"/>
        <v>0</v>
      </c>
      <c r="R136" s="384" t="str">
        <f>IF(K136=0,"Niet van toepassing",IF(G136='3B-Prestaties vloeren'!$B$2,"Schrobben",IF(G136='3B-Prestaties vloeren'!$C$2,"Sprayen/conserveren",IF(G136='3B-Prestaties vloeren'!$D$2,"Sproei-extractie",0))))</f>
        <v>Niet van toepassing</v>
      </c>
      <c r="S136" s="385">
        <f>IF('2-Tarieven'!$B$28=0,0,IF(M136=0,0,'2-Tarieven'!$B$28*M136))</f>
        <v>0</v>
      </c>
      <c r="T136" s="386">
        <f>IF(AND(COUNTBLANK('3B-Prestaties vloeren'!$F$3:$H$24)=0,COUNTBLANK('3B-Prestaties vloeren'!$L$3:$M$24)=0),IF(R136="Sprayen/conserveren",I136/VLOOKUP(E136,'3B-Prestaties vloeren'!$A$3:$M$24,12,FALSE),0)*(P136-1),0)</f>
        <v>0</v>
      </c>
      <c r="U136" s="386">
        <f>IF(AND(COUNTBLANK('3B-Prestaties vloeren'!$F$3:$H$24)=0,COUNTBLANK('3B-Prestaties vloeren'!$L$3:$M$24)=0),IF(R136="Sprayen/conserveren",I136/VLOOKUP(E136,'3B-Prestaties vloeren'!$A$3:$M$24,13,FALSE),0),0)</f>
        <v>0</v>
      </c>
      <c r="V136" s="386">
        <f>IF(AND(COUNTBLANK('3B-Prestaties vloeren'!$F$3:$H$24)=0,COUNTBLANK('3B-Prestaties vloeren'!$L$3:$M$24)=0),IF(R136="schrobben",I136/VLOOKUP(E136,'3B-Prestaties vloeren'!$A$3:$H$24,6,FALSE),0)*P136,0)</f>
        <v>0</v>
      </c>
      <c r="W136" s="386">
        <f>IF(AND(COUNTBLANK('3B-Prestaties vloeren'!$F$3:$H$24)=0,COUNTBLANK('3B-Prestaties vloeren'!$L$3:$M$24)=0),IF(R136="sproei-extractie",I136/VLOOKUP(E136,'3B-Prestaties vloeren'!$A$3:$H$24,8,FALSE),0)*P136,0)</f>
        <v>0</v>
      </c>
    </row>
    <row r="137" spans="1:23" ht="15" hidden="1">
      <c r="A137" s="378" t="s">
        <v>667</v>
      </c>
      <c r="B137" s="378" t="s">
        <v>668</v>
      </c>
      <c r="C137" s="378">
        <v>0</v>
      </c>
      <c r="D137" s="378" t="s">
        <v>290</v>
      </c>
      <c r="E137" s="378" t="s">
        <v>306</v>
      </c>
      <c r="F137" s="378" t="s">
        <v>64</v>
      </c>
      <c r="G137" s="378" t="str">
        <f>VLOOKUP(F137,'3B-Prestaties vloeren'!$A$28:$B$118,2,0)</f>
        <v>Hard behandeld</v>
      </c>
      <c r="H137" s="378"/>
      <c r="I137" s="378">
        <v>41.4</v>
      </c>
      <c r="J137" s="420" t="s">
        <v>749</v>
      </c>
      <c r="K137" s="426">
        <v>52</v>
      </c>
      <c r="L137" s="378">
        <f t="shared" si="6"/>
        <v>2152.7999999999997</v>
      </c>
      <c r="M137" s="380" t="str">
        <f>IF(K137=0,0,IF(COUNTBLANK('3A-Prestatie'!$B$2:$I$22)=0,L137/VLOOKUP(E137,'3A-Prestatie'!$A$1:$M$22,VLOOKUP(K137,'3A-Prestatie'!$A$28:$B$34,2,FALSE),FALSE),"3A prestatie invullen"))</f>
        <v>3A prestatie invullen</v>
      </c>
      <c r="N137" s="380">
        <f t="shared" si="8"/>
        <v>0</v>
      </c>
      <c r="O137" s="381" t="str">
        <f>VLOOKUP(E137,'3A-Prestatie'!A:M,13,FALSE)</f>
        <v>V</v>
      </c>
      <c r="P137" s="382">
        <f>IF(R137="Niet van toepassing",0,VLOOKUP(E137,'3B-Prestaties vloeren'!$A$3:$D$24,IF(G137="Hard onbehandeld",2,IF(G137="Hard behandeld",3,4)),FALSE))</f>
        <v>12</v>
      </c>
      <c r="Q137" s="383">
        <f t="shared" si="7"/>
        <v>0</v>
      </c>
      <c r="R137" s="384" t="str">
        <f>IF(K137=0,"Niet van toepassing",IF(G137='3B-Prestaties vloeren'!$B$2,"Schrobben",IF(G137='3B-Prestaties vloeren'!$C$2,"Sprayen/conserveren",IF(G137='3B-Prestaties vloeren'!$D$2,"Sproei-extractie",0))))</f>
        <v>Sprayen/conserveren</v>
      </c>
      <c r="S137" s="385">
        <f>IF('2-Tarieven'!$B$28=0,0,IF(M137=0,0,'2-Tarieven'!$B$28*M137))</f>
        <v>0</v>
      </c>
      <c r="T137" s="386">
        <f>IF(AND(COUNTBLANK('3B-Prestaties vloeren'!$F$3:$H$24)=0,COUNTBLANK('3B-Prestaties vloeren'!$L$3:$M$24)=0),IF(R137="Sprayen/conserveren",I137/VLOOKUP(E137,'3B-Prestaties vloeren'!$A$3:$M$24,12,FALSE),0)*(P137-1),0)</f>
        <v>0</v>
      </c>
      <c r="U137" s="386">
        <f>IF(AND(COUNTBLANK('3B-Prestaties vloeren'!$F$3:$H$24)=0,COUNTBLANK('3B-Prestaties vloeren'!$L$3:$M$24)=0),IF(R137="Sprayen/conserveren",I137/VLOOKUP(E137,'3B-Prestaties vloeren'!$A$3:$M$24,13,FALSE),0),0)</f>
        <v>0</v>
      </c>
      <c r="V137" s="386">
        <f>IF(AND(COUNTBLANK('3B-Prestaties vloeren'!$F$3:$H$24)=0,COUNTBLANK('3B-Prestaties vloeren'!$L$3:$M$24)=0),IF(R137="schrobben",I137/VLOOKUP(E137,'3B-Prestaties vloeren'!$A$3:$H$24,6,FALSE),0)*P137,0)</f>
        <v>0</v>
      </c>
      <c r="W137" s="386">
        <f>IF(AND(COUNTBLANK('3B-Prestaties vloeren'!$F$3:$H$24)=0,COUNTBLANK('3B-Prestaties vloeren'!$L$3:$M$24)=0),IF(R137="sproei-extractie",I137/VLOOKUP(E137,'3B-Prestaties vloeren'!$A$3:$H$24,8,FALSE),0)*P137,0)</f>
        <v>0</v>
      </c>
    </row>
    <row r="138" spans="1:23" ht="15" hidden="1">
      <c r="A138" s="378" t="s">
        <v>667</v>
      </c>
      <c r="B138" s="378" t="s">
        <v>668</v>
      </c>
      <c r="C138" s="378">
        <v>0</v>
      </c>
      <c r="D138" s="378" t="s">
        <v>291</v>
      </c>
      <c r="E138" s="378" t="s">
        <v>728</v>
      </c>
      <c r="F138" s="378" t="s">
        <v>64</v>
      </c>
      <c r="G138" s="378" t="str">
        <f>VLOOKUP(F138,'3B-Prestaties vloeren'!$A$28:$B$118,2,0)</f>
        <v>Hard behandeld</v>
      </c>
      <c r="H138" s="378" t="s">
        <v>287</v>
      </c>
      <c r="I138" s="378">
        <v>9.9</v>
      </c>
      <c r="J138" s="419"/>
      <c r="K138" s="426">
        <v>0</v>
      </c>
      <c r="L138" s="378">
        <f t="shared" si="6"/>
        <v>0</v>
      </c>
      <c r="M138" s="380">
        <f>IF(K138=0,0,IF(COUNTBLANK('3A-Prestatie'!$B$2:$I$22)=0,L138/VLOOKUP(E138,'3A-Prestatie'!$A$1:$M$22,VLOOKUP(K138,'3A-Prestatie'!$A$28:$B$34,2,FALSE),FALSE),"3A prestatie invullen"))</f>
        <v>0</v>
      </c>
      <c r="N138" s="380">
        <f t="shared" si="8"/>
        <v>0</v>
      </c>
      <c r="O138" s="381" t="str">
        <f>VLOOKUP(E138,'3A-Prestatie'!A:M,13,FALSE)</f>
        <v>N.v.t.</v>
      </c>
      <c r="P138" s="382">
        <f>IF(R138="Niet van toepassing",0,VLOOKUP(E138,'3B-Prestaties vloeren'!$A$3:$D$24,IF(G138="Hard onbehandeld",2,IF(G138="Hard behandeld",3,4)),FALSE))</f>
        <v>0</v>
      </c>
      <c r="Q138" s="383">
        <f t="shared" si="7"/>
        <v>0</v>
      </c>
      <c r="R138" s="384" t="str">
        <f>IF(K138=0,"Niet van toepassing",IF(G138='3B-Prestaties vloeren'!$B$2,"Schrobben",IF(G138='3B-Prestaties vloeren'!$C$2,"Sprayen/conserveren",IF(G138='3B-Prestaties vloeren'!$D$2,"Sproei-extractie",0))))</f>
        <v>Niet van toepassing</v>
      </c>
      <c r="S138" s="385">
        <f>IF('2-Tarieven'!$B$28=0,0,IF(M138=0,0,'2-Tarieven'!$B$28*M138))</f>
        <v>0</v>
      </c>
      <c r="T138" s="386">
        <f>IF(AND(COUNTBLANK('3B-Prestaties vloeren'!$F$3:$H$24)=0,COUNTBLANK('3B-Prestaties vloeren'!$L$3:$M$24)=0),IF(R138="Sprayen/conserveren",I138/VLOOKUP(E138,'3B-Prestaties vloeren'!$A$3:$M$24,12,FALSE),0)*(P138-1),0)</f>
        <v>0</v>
      </c>
      <c r="U138" s="386">
        <f>IF(AND(COUNTBLANK('3B-Prestaties vloeren'!$F$3:$H$24)=0,COUNTBLANK('3B-Prestaties vloeren'!$L$3:$M$24)=0),IF(R138="Sprayen/conserveren",I138/VLOOKUP(E138,'3B-Prestaties vloeren'!$A$3:$M$24,13,FALSE),0),0)</f>
        <v>0</v>
      </c>
      <c r="V138" s="386">
        <f>IF(AND(COUNTBLANK('3B-Prestaties vloeren'!$F$3:$H$24)=0,COUNTBLANK('3B-Prestaties vloeren'!$L$3:$M$24)=0),IF(R138="schrobben",I138/VLOOKUP(E138,'3B-Prestaties vloeren'!$A$3:$H$24,6,FALSE),0)*P138,0)</f>
        <v>0</v>
      </c>
      <c r="W138" s="386">
        <f>IF(AND(COUNTBLANK('3B-Prestaties vloeren'!$F$3:$H$24)=0,COUNTBLANK('3B-Prestaties vloeren'!$L$3:$M$24)=0),IF(R138="sproei-extractie",I138/VLOOKUP(E138,'3B-Prestaties vloeren'!$A$3:$H$24,8,FALSE),0)*P138,0)</f>
        <v>0</v>
      </c>
    </row>
    <row r="139" spans="1:23" ht="15" hidden="1">
      <c r="A139" s="378" t="s">
        <v>667</v>
      </c>
      <c r="B139" s="378" t="s">
        <v>668</v>
      </c>
      <c r="C139" s="378">
        <v>0</v>
      </c>
      <c r="D139" s="378" t="s">
        <v>292</v>
      </c>
      <c r="E139" s="378" t="s">
        <v>653</v>
      </c>
      <c r="F139" s="378" t="s">
        <v>647</v>
      </c>
      <c r="G139" s="378" t="str">
        <f>VLOOKUP(F139,'3B-Prestaties vloeren'!$A$28:$B$118,2,0)</f>
        <v>Hard onbehandeld</v>
      </c>
      <c r="H139" s="378"/>
      <c r="I139" s="378">
        <v>12.2</v>
      </c>
      <c r="J139" s="421" t="s">
        <v>511</v>
      </c>
      <c r="K139" s="426">
        <v>255</v>
      </c>
      <c r="L139" s="378">
        <f t="shared" si="6"/>
        <v>3111</v>
      </c>
      <c r="M139" s="380" t="str">
        <f>IF(K139=0,0,IF(COUNTBLANK('3A-Prestatie'!$B$2:$I$22)=0,L139/VLOOKUP(E139,'3A-Prestatie'!$A$1:$M$22,VLOOKUP(K139,'3A-Prestatie'!$A$28:$B$34,2,FALSE),FALSE),"3A prestatie invullen"))</f>
        <v>3A prestatie invullen</v>
      </c>
      <c r="N139" s="380">
        <f t="shared" si="8"/>
        <v>0</v>
      </c>
      <c r="O139" s="381" t="str">
        <f>VLOOKUP(E139,'3A-Prestatie'!A:M,13,FALSE)</f>
        <v>S</v>
      </c>
      <c r="P139" s="382">
        <f>IF(R139="Niet van toepassing",0,VLOOKUP(E139,'3B-Prestaties vloeren'!$A$3:$D$24,IF(G139="Hard onbehandeld",2,IF(G139="Hard behandeld",3,4)),FALSE))</f>
        <v>52</v>
      </c>
      <c r="Q139" s="383">
        <f t="shared" si="7"/>
        <v>0</v>
      </c>
      <c r="R139" s="384" t="str">
        <f>IF(K139=0,"Niet van toepassing",IF(G139='3B-Prestaties vloeren'!$B$2,"Schrobben",IF(G139='3B-Prestaties vloeren'!$C$2,"Sprayen/conserveren",IF(G139='3B-Prestaties vloeren'!$D$2,"Sproei-extractie",0))))</f>
        <v>Schrobben</v>
      </c>
      <c r="S139" s="385">
        <f>IF('2-Tarieven'!$B$28=0,0,IF(M139=0,0,'2-Tarieven'!$B$28*M139))</f>
        <v>0</v>
      </c>
      <c r="T139" s="386">
        <f>IF(AND(COUNTBLANK('3B-Prestaties vloeren'!$F$3:$H$24)=0,COUNTBLANK('3B-Prestaties vloeren'!$L$3:$M$24)=0),IF(R139="Sprayen/conserveren",I139/VLOOKUP(E139,'3B-Prestaties vloeren'!$A$3:$M$24,12,FALSE),0)*(P139-1),0)</f>
        <v>0</v>
      </c>
      <c r="U139" s="386">
        <f>IF(AND(COUNTBLANK('3B-Prestaties vloeren'!$F$3:$H$24)=0,COUNTBLANK('3B-Prestaties vloeren'!$L$3:$M$24)=0),IF(R139="Sprayen/conserveren",I139/VLOOKUP(E139,'3B-Prestaties vloeren'!$A$3:$M$24,13,FALSE),0),0)</f>
        <v>0</v>
      </c>
      <c r="V139" s="386">
        <f>IF(AND(COUNTBLANK('3B-Prestaties vloeren'!$F$3:$H$24)=0,COUNTBLANK('3B-Prestaties vloeren'!$L$3:$M$24)=0),IF(R139="schrobben",I139/VLOOKUP(E139,'3B-Prestaties vloeren'!$A$3:$H$24,6,FALSE),0)*P139,0)</f>
        <v>0</v>
      </c>
      <c r="W139" s="386">
        <f>IF(AND(COUNTBLANK('3B-Prestaties vloeren'!$F$3:$H$24)=0,COUNTBLANK('3B-Prestaties vloeren'!$L$3:$M$24)=0),IF(R139="sproei-extractie",I139/VLOOKUP(E139,'3B-Prestaties vloeren'!$A$3:$H$24,8,FALSE),0)*P139,0)</f>
        <v>0</v>
      </c>
    </row>
    <row r="140" spans="1:23" ht="15" hidden="1">
      <c r="A140" s="378" t="s">
        <v>667</v>
      </c>
      <c r="B140" s="378" t="s">
        <v>668</v>
      </c>
      <c r="C140" s="378">
        <v>0</v>
      </c>
      <c r="D140" s="378" t="s">
        <v>293</v>
      </c>
      <c r="E140" s="378" t="s">
        <v>728</v>
      </c>
      <c r="F140" s="378" t="s">
        <v>647</v>
      </c>
      <c r="G140" s="378" t="str">
        <f>VLOOKUP(F140,'3B-Prestaties vloeren'!$A$28:$B$118,2,0)</f>
        <v>Hard onbehandeld</v>
      </c>
      <c r="H140" s="378" t="s">
        <v>4</v>
      </c>
      <c r="I140" s="416" t="s">
        <v>657</v>
      </c>
      <c r="J140" s="422"/>
      <c r="K140" s="426">
        <v>0</v>
      </c>
      <c r="L140" s="378">
        <f t="shared" si="6"/>
        <v>0</v>
      </c>
      <c r="M140" s="380">
        <f>IF(K140=0,0,IF(COUNTBLANK('3A-Prestatie'!$B$2:$I$22)=0,L140/VLOOKUP(E140,'3A-Prestatie'!$A$1:$M$22,VLOOKUP(K140,'3A-Prestatie'!$A$28:$B$34,2,FALSE),FALSE),"3A prestatie invullen"))</f>
        <v>0</v>
      </c>
      <c r="N140" s="380">
        <f t="shared" si="8"/>
        <v>0</v>
      </c>
      <c r="O140" s="381" t="str">
        <f>VLOOKUP(E140,'3A-Prestatie'!A:M,13,FALSE)</f>
        <v>N.v.t.</v>
      </c>
      <c r="P140" s="382">
        <f>IF(R140="Niet van toepassing",0,VLOOKUP(E140,'3B-Prestaties vloeren'!$A$3:$D$24,IF(G140="Hard onbehandeld",2,IF(G140="Hard behandeld",3,4)),FALSE))</f>
        <v>0</v>
      </c>
      <c r="Q140" s="383">
        <f t="shared" si="7"/>
        <v>0</v>
      </c>
      <c r="R140" s="384" t="str">
        <f>IF(K140=0,"Niet van toepassing",IF(G140='3B-Prestaties vloeren'!$B$2,"Schrobben",IF(G140='3B-Prestaties vloeren'!$C$2,"Sprayen/conserveren",IF(G140='3B-Prestaties vloeren'!$D$2,"Sproei-extractie",0))))</f>
        <v>Niet van toepassing</v>
      </c>
      <c r="S140" s="385">
        <f>IF('2-Tarieven'!$B$28=0,0,IF(M140=0,0,'2-Tarieven'!$B$28*M140))</f>
        <v>0</v>
      </c>
      <c r="T140" s="386">
        <f>IF(AND(COUNTBLANK('3B-Prestaties vloeren'!$F$3:$H$24)=0,COUNTBLANK('3B-Prestaties vloeren'!$L$3:$M$24)=0),IF(R140="Sprayen/conserveren",I140/VLOOKUP(E140,'3B-Prestaties vloeren'!$A$3:$M$24,12,FALSE),0)*(P140-1),0)</f>
        <v>0</v>
      </c>
      <c r="U140" s="386">
        <f>IF(AND(COUNTBLANK('3B-Prestaties vloeren'!$F$3:$H$24)=0,COUNTBLANK('3B-Prestaties vloeren'!$L$3:$M$24)=0),IF(R140="Sprayen/conserveren",I140/VLOOKUP(E140,'3B-Prestaties vloeren'!$A$3:$M$24,13,FALSE),0),0)</f>
        <v>0</v>
      </c>
      <c r="V140" s="386">
        <f>IF(AND(COUNTBLANK('3B-Prestaties vloeren'!$F$3:$H$24)=0,COUNTBLANK('3B-Prestaties vloeren'!$L$3:$M$24)=0),IF(R140="schrobben",I140/VLOOKUP(E140,'3B-Prestaties vloeren'!$A$3:$H$24,6,FALSE),0)*P140,0)</f>
        <v>0</v>
      </c>
      <c r="W140" s="386">
        <f>IF(AND(COUNTBLANK('3B-Prestaties vloeren'!$F$3:$H$24)=0,COUNTBLANK('3B-Prestaties vloeren'!$L$3:$M$24)=0),IF(R140="sproei-extractie",I140/VLOOKUP(E140,'3B-Prestaties vloeren'!$A$3:$H$24,8,FALSE),0)*P140,0)</f>
        <v>0</v>
      </c>
    </row>
    <row r="141" spans="1:23" ht="15" hidden="1">
      <c r="A141" s="378" t="s">
        <v>667</v>
      </c>
      <c r="B141" s="378" t="s">
        <v>668</v>
      </c>
      <c r="C141" s="378">
        <v>0</v>
      </c>
      <c r="D141" s="378" t="s">
        <v>294</v>
      </c>
      <c r="E141" s="378" t="s">
        <v>728</v>
      </c>
      <c r="F141" s="378" t="s">
        <v>647</v>
      </c>
      <c r="G141" s="378" t="str">
        <f>VLOOKUP(F141,'3B-Prestaties vloeren'!$A$28:$B$118,2,0)</f>
        <v>Hard onbehandeld</v>
      </c>
      <c r="H141" s="378" t="s">
        <v>4</v>
      </c>
      <c r="I141" s="416" t="s">
        <v>657</v>
      </c>
      <c r="J141" s="422"/>
      <c r="K141" s="426">
        <v>0</v>
      </c>
      <c r="L141" s="378">
        <f t="shared" si="6"/>
        <v>0</v>
      </c>
      <c r="M141" s="380">
        <f>IF(K141=0,0,IF(COUNTBLANK('3A-Prestatie'!$B$2:$I$22)=0,L141/VLOOKUP(E141,'3A-Prestatie'!$A$1:$M$22,VLOOKUP(K141,'3A-Prestatie'!$A$28:$B$34,2,FALSE),FALSE),"3A prestatie invullen"))</f>
        <v>0</v>
      </c>
      <c r="N141" s="380">
        <f t="shared" si="8"/>
        <v>0</v>
      </c>
      <c r="O141" s="381" t="str">
        <f>VLOOKUP(E141,'3A-Prestatie'!A:M,13,FALSE)</f>
        <v>N.v.t.</v>
      </c>
      <c r="P141" s="382">
        <f>IF(R141="Niet van toepassing",0,VLOOKUP(E141,'3B-Prestaties vloeren'!$A$3:$D$24,IF(G141="Hard onbehandeld",2,IF(G141="Hard behandeld",3,4)),FALSE))</f>
        <v>0</v>
      </c>
      <c r="Q141" s="383">
        <f t="shared" si="7"/>
        <v>0</v>
      </c>
      <c r="R141" s="384" t="str">
        <f>IF(K141=0,"Niet van toepassing",IF(G141='3B-Prestaties vloeren'!$B$2,"Schrobben",IF(G141='3B-Prestaties vloeren'!$C$2,"Sprayen/conserveren",IF(G141='3B-Prestaties vloeren'!$D$2,"Sproei-extractie",0))))</f>
        <v>Niet van toepassing</v>
      </c>
      <c r="S141" s="385">
        <f>IF('2-Tarieven'!$B$28=0,0,IF(M141=0,0,'2-Tarieven'!$B$28*M141))</f>
        <v>0</v>
      </c>
      <c r="T141" s="386">
        <f>IF(AND(COUNTBLANK('3B-Prestaties vloeren'!$F$3:$H$24)=0,COUNTBLANK('3B-Prestaties vloeren'!$L$3:$M$24)=0),IF(R141="Sprayen/conserveren",I141/VLOOKUP(E141,'3B-Prestaties vloeren'!$A$3:$M$24,12,FALSE),0)*(P141-1),0)</f>
        <v>0</v>
      </c>
      <c r="U141" s="386">
        <f>IF(AND(COUNTBLANK('3B-Prestaties vloeren'!$F$3:$H$24)=0,COUNTBLANK('3B-Prestaties vloeren'!$L$3:$M$24)=0),IF(R141="Sprayen/conserveren",I141/VLOOKUP(E141,'3B-Prestaties vloeren'!$A$3:$M$24,13,FALSE),0),0)</f>
        <v>0</v>
      </c>
      <c r="V141" s="386">
        <f>IF(AND(COUNTBLANK('3B-Prestaties vloeren'!$F$3:$H$24)=0,COUNTBLANK('3B-Prestaties vloeren'!$L$3:$M$24)=0),IF(R141="schrobben",I141/VLOOKUP(E141,'3B-Prestaties vloeren'!$A$3:$H$24,6,FALSE),0)*P141,0)</f>
        <v>0</v>
      </c>
      <c r="W141" s="386">
        <f>IF(AND(COUNTBLANK('3B-Prestaties vloeren'!$F$3:$H$24)=0,COUNTBLANK('3B-Prestaties vloeren'!$L$3:$M$24)=0),IF(R141="sproei-extractie",I141/VLOOKUP(E141,'3B-Prestaties vloeren'!$A$3:$H$24,8,FALSE),0)*P141,0)</f>
        <v>0</v>
      </c>
    </row>
    <row r="142" spans="1:23" ht="15" hidden="1">
      <c r="A142" s="378" t="s">
        <v>667</v>
      </c>
      <c r="B142" s="378" t="s">
        <v>668</v>
      </c>
      <c r="C142" s="378">
        <v>0</v>
      </c>
      <c r="D142" s="378" t="s">
        <v>295</v>
      </c>
      <c r="E142" s="378" t="s">
        <v>728</v>
      </c>
      <c r="F142" s="378" t="s">
        <v>647</v>
      </c>
      <c r="G142" s="378" t="str">
        <f>VLOOKUP(F142,'3B-Prestaties vloeren'!$A$28:$B$118,2,0)</f>
        <v>Hard onbehandeld</v>
      </c>
      <c r="H142" s="378" t="s">
        <v>330</v>
      </c>
      <c r="I142" s="416" t="s">
        <v>657</v>
      </c>
      <c r="J142" s="422"/>
      <c r="K142" s="426">
        <v>0</v>
      </c>
      <c r="L142" s="378">
        <f t="shared" si="6"/>
        <v>0</v>
      </c>
      <c r="M142" s="380">
        <f>IF(K142=0,0,IF(COUNTBLANK('3A-Prestatie'!$B$2:$I$22)=0,L142/VLOOKUP(E142,'3A-Prestatie'!$A$1:$M$22,VLOOKUP(K142,'3A-Prestatie'!$A$28:$B$34,2,FALSE),FALSE),"3A prestatie invullen"))</f>
        <v>0</v>
      </c>
      <c r="N142" s="380">
        <f t="shared" si="8"/>
        <v>0</v>
      </c>
      <c r="O142" s="381" t="str">
        <f>VLOOKUP(E142,'3A-Prestatie'!A:M,13,FALSE)</f>
        <v>N.v.t.</v>
      </c>
      <c r="P142" s="382">
        <f>IF(R142="Niet van toepassing",0,VLOOKUP(E142,'3B-Prestaties vloeren'!$A$3:$D$24,IF(G142="Hard onbehandeld",2,IF(G142="Hard behandeld",3,4)),FALSE))</f>
        <v>0</v>
      </c>
      <c r="Q142" s="383">
        <f t="shared" si="7"/>
        <v>0</v>
      </c>
      <c r="R142" s="384" t="str">
        <f>IF(K142=0,"Niet van toepassing",IF(G142='3B-Prestaties vloeren'!$B$2,"Schrobben",IF(G142='3B-Prestaties vloeren'!$C$2,"Sprayen/conserveren",IF(G142='3B-Prestaties vloeren'!$D$2,"Sproei-extractie",0))))</f>
        <v>Niet van toepassing</v>
      </c>
      <c r="S142" s="385">
        <f>IF('2-Tarieven'!$B$28=0,0,IF(M142=0,0,'2-Tarieven'!$B$28*M142))</f>
        <v>0</v>
      </c>
      <c r="T142" s="386">
        <f>IF(AND(COUNTBLANK('3B-Prestaties vloeren'!$F$3:$H$24)=0,COUNTBLANK('3B-Prestaties vloeren'!$L$3:$M$24)=0),IF(R142="Sprayen/conserveren",I142/VLOOKUP(E142,'3B-Prestaties vloeren'!$A$3:$M$24,12,FALSE),0)*(P142-1),0)</f>
        <v>0</v>
      </c>
      <c r="U142" s="386">
        <f>IF(AND(COUNTBLANK('3B-Prestaties vloeren'!$F$3:$H$24)=0,COUNTBLANK('3B-Prestaties vloeren'!$L$3:$M$24)=0),IF(R142="Sprayen/conserveren",I142/VLOOKUP(E142,'3B-Prestaties vloeren'!$A$3:$M$24,13,FALSE),0),0)</f>
        <v>0</v>
      </c>
      <c r="V142" s="386">
        <f>IF(AND(COUNTBLANK('3B-Prestaties vloeren'!$F$3:$H$24)=0,COUNTBLANK('3B-Prestaties vloeren'!$L$3:$M$24)=0),IF(R142="schrobben",I142/VLOOKUP(E142,'3B-Prestaties vloeren'!$A$3:$H$24,6,FALSE),0)*P142,0)</f>
        <v>0</v>
      </c>
      <c r="W142" s="386">
        <f>IF(AND(COUNTBLANK('3B-Prestaties vloeren'!$F$3:$H$24)=0,COUNTBLANK('3B-Prestaties vloeren'!$L$3:$M$24)=0),IF(R142="sproei-extractie",I142/VLOOKUP(E142,'3B-Prestaties vloeren'!$A$3:$H$24,8,FALSE),0)*P142,0)</f>
        <v>0</v>
      </c>
    </row>
    <row r="143" spans="1:23" ht="15" hidden="1">
      <c r="A143" s="378" t="s">
        <v>667</v>
      </c>
      <c r="B143" s="378" t="s">
        <v>668</v>
      </c>
      <c r="C143" s="378">
        <v>0</v>
      </c>
      <c r="D143" s="378" t="s">
        <v>296</v>
      </c>
      <c r="E143" s="378" t="s">
        <v>653</v>
      </c>
      <c r="F143" s="378" t="s">
        <v>647</v>
      </c>
      <c r="G143" s="378" t="str">
        <f>VLOOKUP(F143,'3B-Prestaties vloeren'!$A$28:$B$118,2,0)</f>
        <v>Hard onbehandeld</v>
      </c>
      <c r="H143" s="378"/>
      <c r="I143" s="378">
        <v>6.6</v>
      </c>
      <c r="J143" s="421" t="s">
        <v>511</v>
      </c>
      <c r="K143" s="426">
        <v>255</v>
      </c>
      <c r="L143" s="378">
        <f t="shared" si="6"/>
        <v>1683</v>
      </c>
      <c r="M143" s="380" t="str">
        <f>IF(K143=0,0,IF(COUNTBLANK('3A-Prestatie'!$B$2:$I$22)=0,L143/VLOOKUP(E143,'3A-Prestatie'!$A$1:$M$22,VLOOKUP(K143,'3A-Prestatie'!$A$28:$B$34,2,FALSE),FALSE),"3A prestatie invullen"))</f>
        <v>3A prestatie invullen</v>
      </c>
      <c r="N143" s="380">
        <f t="shared" si="8"/>
        <v>0</v>
      </c>
      <c r="O143" s="381" t="str">
        <f>VLOOKUP(E143,'3A-Prestatie'!A:M,13,FALSE)</f>
        <v>S</v>
      </c>
      <c r="P143" s="382">
        <f>IF(R143="Niet van toepassing",0,VLOOKUP(E143,'3B-Prestaties vloeren'!$A$3:$D$24,IF(G143="Hard onbehandeld",2,IF(G143="Hard behandeld",3,4)),FALSE))</f>
        <v>52</v>
      </c>
      <c r="Q143" s="383">
        <f t="shared" si="7"/>
        <v>0</v>
      </c>
      <c r="R143" s="384" t="str">
        <f>IF(K143=0,"Niet van toepassing",IF(G143='3B-Prestaties vloeren'!$B$2,"Schrobben",IF(G143='3B-Prestaties vloeren'!$C$2,"Sprayen/conserveren",IF(G143='3B-Prestaties vloeren'!$D$2,"Sproei-extractie",0))))</f>
        <v>Schrobben</v>
      </c>
      <c r="S143" s="385">
        <f>IF('2-Tarieven'!$B$28=0,0,IF(M143=0,0,'2-Tarieven'!$B$28*M143))</f>
        <v>0</v>
      </c>
      <c r="T143" s="386">
        <f>IF(AND(COUNTBLANK('3B-Prestaties vloeren'!$F$3:$H$24)=0,COUNTBLANK('3B-Prestaties vloeren'!$L$3:$M$24)=0),IF(R143="Sprayen/conserveren",I143/VLOOKUP(E143,'3B-Prestaties vloeren'!$A$3:$M$24,12,FALSE),0)*(P143-1),0)</f>
        <v>0</v>
      </c>
      <c r="U143" s="386">
        <f>IF(AND(COUNTBLANK('3B-Prestaties vloeren'!$F$3:$H$24)=0,COUNTBLANK('3B-Prestaties vloeren'!$L$3:$M$24)=0),IF(R143="Sprayen/conserveren",I143/VLOOKUP(E143,'3B-Prestaties vloeren'!$A$3:$M$24,13,FALSE),0),0)</f>
        <v>0</v>
      </c>
      <c r="V143" s="386">
        <f>IF(AND(COUNTBLANK('3B-Prestaties vloeren'!$F$3:$H$24)=0,COUNTBLANK('3B-Prestaties vloeren'!$L$3:$M$24)=0),IF(R143="schrobben",I143/VLOOKUP(E143,'3B-Prestaties vloeren'!$A$3:$H$24,6,FALSE),0)*P143,0)</f>
        <v>0</v>
      </c>
      <c r="W143" s="386">
        <f>IF(AND(COUNTBLANK('3B-Prestaties vloeren'!$F$3:$H$24)=0,COUNTBLANK('3B-Prestaties vloeren'!$L$3:$M$24)=0),IF(R143="sproei-extractie",I143/VLOOKUP(E143,'3B-Prestaties vloeren'!$A$3:$H$24,8,FALSE),0)*P143,0)</f>
        <v>0</v>
      </c>
    </row>
    <row r="144" spans="1:23" ht="15" hidden="1">
      <c r="A144" s="378" t="s">
        <v>667</v>
      </c>
      <c r="B144" s="378" t="s">
        <v>668</v>
      </c>
      <c r="C144" s="378">
        <v>0</v>
      </c>
      <c r="D144" s="378" t="s">
        <v>297</v>
      </c>
      <c r="E144" s="378" t="s">
        <v>728</v>
      </c>
      <c r="F144" s="378" t="s">
        <v>647</v>
      </c>
      <c r="G144" s="378" t="str">
        <f>VLOOKUP(F144,'3B-Prestaties vloeren'!$A$28:$B$118,2,0)</f>
        <v>Hard onbehandeld</v>
      </c>
      <c r="H144" s="378" t="s">
        <v>330</v>
      </c>
      <c r="I144" s="416" t="s">
        <v>657</v>
      </c>
      <c r="J144" s="422"/>
      <c r="K144" s="426">
        <v>0</v>
      </c>
      <c r="L144" s="378">
        <f t="shared" si="6"/>
        <v>0</v>
      </c>
      <c r="M144" s="380">
        <f>IF(K144=0,0,IF(COUNTBLANK('3A-Prestatie'!$B$2:$I$22)=0,L144/VLOOKUP(E144,'3A-Prestatie'!$A$1:$M$22,VLOOKUP(K144,'3A-Prestatie'!$A$28:$B$34,2,FALSE),FALSE),"3A prestatie invullen"))</f>
        <v>0</v>
      </c>
      <c r="N144" s="380">
        <f t="shared" si="8"/>
        <v>0</v>
      </c>
      <c r="O144" s="381" t="str">
        <f>VLOOKUP(E144,'3A-Prestatie'!A:M,13,FALSE)</f>
        <v>N.v.t.</v>
      </c>
      <c r="P144" s="382">
        <f>IF(R144="Niet van toepassing",0,VLOOKUP(E144,'3B-Prestaties vloeren'!$A$3:$D$24,IF(G144="Hard onbehandeld",2,IF(G144="Hard behandeld",3,4)),FALSE))</f>
        <v>0</v>
      </c>
      <c r="Q144" s="383">
        <f t="shared" si="7"/>
        <v>0</v>
      </c>
      <c r="R144" s="384" t="str">
        <f>IF(K144=0,"Niet van toepassing",IF(G144='3B-Prestaties vloeren'!$B$2,"Schrobben",IF(G144='3B-Prestaties vloeren'!$C$2,"Sprayen/conserveren",IF(G144='3B-Prestaties vloeren'!$D$2,"Sproei-extractie",0))))</f>
        <v>Niet van toepassing</v>
      </c>
      <c r="S144" s="385">
        <f>IF('2-Tarieven'!$B$28=0,0,IF(M144=0,0,'2-Tarieven'!$B$28*M144))</f>
        <v>0</v>
      </c>
      <c r="T144" s="386">
        <f>IF(AND(COUNTBLANK('3B-Prestaties vloeren'!$F$3:$H$24)=0,COUNTBLANK('3B-Prestaties vloeren'!$L$3:$M$24)=0),IF(R144="Sprayen/conserveren",I144/VLOOKUP(E144,'3B-Prestaties vloeren'!$A$3:$M$24,12,FALSE),0)*(P144-1),0)</f>
        <v>0</v>
      </c>
      <c r="U144" s="386">
        <f>IF(AND(COUNTBLANK('3B-Prestaties vloeren'!$F$3:$H$24)=0,COUNTBLANK('3B-Prestaties vloeren'!$L$3:$M$24)=0),IF(R144="Sprayen/conserveren",I144/VLOOKUP(E144,'3B-Prestaties vloeren'!$A$3:$M$24,13,FALSE),0),0)</f>
        <v>0</v>
      </c>
      <c r="V144" s="386">
        <f>IF(AND(COUNTBLANK('3B-Prestaties vloeren'!$F$3:$H$24)=0,COUNTBLANK('3B-Prestaties vloeren'!$L$3:$M$24)=0),IF(R144="schrobben",I144/VLOOKUP(E144,'3B-Prestaties vloeren'!$A$3:$H$24,6,FALSE),0)*P144,0)</f>
        <v>0</v>
      </c>
      <c r="W144" s="386">
        <f>IF(AND(COUNTBLANK('3B-Prestaties vloeren'!$F$3:$H$24)=0,COUNTBLANK('3B-Prestaties vloeren'!$L$3:$M$24)=0),IF(R144="sproei-extractie",I144/VLOOKUP(E144,'3B-Prestaties vloeren'!$A$3:$H$24,8,FALSE),0)*P144,0)</f>
        <v>0</v>
      </c>
    </row>
    <row r="145" spans="1:23" ht="15" hidden="1">
      <c r="A145" s="378" t="s">
        <v>667</v>
      </c>
      <c r="B145" s="378" t="s">
        <v>668</v>
      </c>
      <c r="C145" s="378">
        <v>0</v>
      </c>
      <c r="D145" s="378" t="s">
        <v>0</v>
      </c>
      <c r="E145" s="378" t="s">
        <v>728</v>
      </c>
      <c r="F145" s="378" t="s">
        <v>647</v>
      </c>
      <c r="G145" s="378" t="str">
        <f>VLOOKUP(F145,'3B-Prestaties vloeren'!$A$28:$B$118,2,0)</f>
        <v>Hard onbehandeld</v>
      </c>
      <c r="H145" s="378" t="s">
        <v>330</v>
      </c>
      <c r="I145" s="416" t="s">
        <v>657</v>
      </c>
      <c r="J145" s="422"/>
      <c r="K145" s="426">
        <v>0</v>
      </c>
      <c r="L145" s="378">
        <f t="shared" si="6"/>
        <v>0</v>
      </c>
      <c r="M145" s="380">
        <f>IF(K145=0,0,IF(COUNTBLANK('3A-Prestatie'!$B$2:$I$22)=0,L145/VLOOKUP(E145,'3A-Prestatie'!$A$1:$M$22,VLOOKUP(K145,'3A-Prestatie'!$A$28:$B$34,2,FALSE),FALSE),"3A prestatie invullen"))</f>
        <v>0</v>
      </c>
      <c r="N145" s="380">
        <f t="shared" si="8"/>
        <v>0</v>
      </c>
      <c r="O145" s="381" t="str">
        <f>VLOOKUP(E145,'3A-Prestatie'!A:M,13,FALSE)</f>
        <v>N.v.t.</v>
      </c>
      <c r="P145" s="382">
        <f>IF(R145="Niet van toepassing",0,VLOOKUP(E145,'3B-Prestaties vloeren'!$A$3:$D$24,IF(G145="Hard onbehandeld",2,IF(G145="Hard behandeld",3,4)),FALSE))</f>
        <v>0</v>
      </c>
      <c r="Q145" s="383">
        <f t="shared" si="7"/>
        <v>0</v>
      </c>
      <c r="R145" s="384" t="str">
        <f>IF(K145=0,"Niet van toepassing",IF(G145='3B-Prestaties vloeren'!$B$2,"Schrobben",IF(G145='3B-Prestaties vloeren'!$C$2,"Sprayen/conserveren",IF(G145='3B-Prestaties vloeren'!$D$2,"Sproei-extractie",0))))</f>
        <v>Niet van toepassing</v>
      </c>
      <c r="S145" s="385">
        <f>IF('2-Tarieven'!$B$28=0,0,IF(M145=0,0,'2-Tarieven'!$B$28*M145))</f>
        <v>0</v>
      </c>
      <c r="T145" s="386">
        <f>IF(AND(COUNTBLANK('3B-Prestaties vloeren'!$F$3:$H$24)=0,COUNTBLANK('3B-Prestaties vloeren'!$L$3:$M$24)=0),IF(R145="Sprayen/conserveren",I145/VLOOKUP(E145,'3B-Prestaties vloeren'!$A$3:$M$24,12,FALSE),0)*(P145-1),0)</f>
        <v>0</v>
      </c>
      <c r="U145" s="386">
        <f>IF(AND(COUNTBLANK('3B-Prestaties vloeren'!$F$3:$H$24)=0,COUNTBLANK('3B-Prestaties vloeren'!$L$3:$M$24)=0),IF(R145="Sprayen/conserveren",I145/VLOOKUP(E145,'3B-Prestaties vloeren'!$A$3:$M$24,13,FALSE),0),0)</f>
        <v>0</v>
      </c>
      <c r="V145" s="386">
        <f>IF(AND(COUNTBLANK('3B-Prestaties vloeren'!$F$3:$H$24)=0,COUNTBLANK('3B-Prestaties vloeren'!$L$3:$M$24)=0),IF(R145="schrobben",I145/VLOOKUP(E145,'3B-Prestaties vloeren'!$A$3:$H$24,6,FALSE),0)*P145,0)</f>
        <v>0</v>
      </c>
      <c r="W145" s="386">
        <f>IF(AND(COUNTBLANK('3B-Prestaties vloeren'!$F$3:$H$24)=0,COUNTBLANK('3B-Prestaties vloeren'!$L$3:$M$24)=0),IF(R145="sproei-extractie",I145/VLOOKUP(E145,'3B-Prestaties vloeren'!$A$3:$H$24,8,FALSE),0)*P145,0)</f>
        <v>0</v>
      </c>
    </row>
    <row r="146" spans="1:23" ht="15" hidden="1">
      <c r="A146" s="378" t="s">
        <v>667</v>
      </c>
      <c r="B146" s="378" t="s">
        <v>668</v>
      </c>
      <c r="C146" s="378">
        <v>0</v>
      </c>
      <c r="D146" s="378" t="s">
        <v>298</v>
      </c>
      <c r="E146" s="378" t="s">
        <v>728</v>
      </c>
      <c r="F146" s="378" t="s">
        <v>648</v>
      </c>
      <c r="G146" s="378" t="str">
        <f>VLOOKUP(F146,'3B-Prestaties vloeren'!$A$28:$B$118,2,0)</f>
        <v>Hard onbehandeld</v>
      </c>
      <c r="H146" s="378" t="s">
        <v>287</v>
      </c>
      <c r="I146" s="378">
        <v>7</v>
      </c>
      <c r="J146" s="419"/>
      <c r="K146" s="426">
        <v>0</v>
      </c>
      <c r="L146" s="378">
        <f t="shared" si="6"/>
        <v>0</v>
      </c>
      <c r="M146" s="380">
        <f>IF(K146=0,0,IF(COUNTBLANK('3A-Prestatie'!$B$2:$I$22)=0,L146/VLOOKUP(E146,'3A-Prestatie'!$A$1:$M$22,VLOOKUP(K146,'3A-Prestatie'!$A$28:$B$34,2,FALSE),FALSE),"3A prestatie invullen"))</f>
        <v>0</v>
      </c>
      <c r="N146" s="380">
        <f t="shared" si="8"/>
        <v>0</v>
      </c>
      <c r="O146" s="381" t="str">
        <f>VLOOKUP(E146,'3A-Prestatie'!A:M,13,FALSE)</f>
        <v>N.v.t.</v>
      </c>
      <c r="P146" s="382">
        <f>IF(R146="Niet van toepassing",0,VLOOKUP(E146,'3B-Prestaties vloeren'!$A$3:$D$24,IF(G146="Hard onbehandeld",2,IF(G146="Hard behandeld",3,4)),FALSE))</f>
        <v>0</v>
      </c>
      <c r="Q146" s="383">
        <f t="shared" si="7"/>
        <v>0</v>
      </c>
      <c r="R146" s="384" t="str">
        <f>IF(K146=0,"Niet van toepassing",IF(G146='3B-Prestaties vloeren'!$B$2,"Schrobben",IF(G146='3B-Prestaties vloeren'!$C$2,"Sprayen/conserveren",IF(G146='3B-Prestaties vloeren'!$D$2,"Sproei-extractie",0))))</f>
        <v>Niet van toepassing</v>
      </c>
      <c r="S146" s="385">
        <f>IF('2-Tarieven'!$B$28=0,0,IF(M146=0,0,'2-Tarieven'!$B$28*M146))</f>
        <v>0</v>
      </c>
      <c r="T146" s="386">
        <f>IF(AND(COUNTBLANK('3B-Prestaties vloeren'!$F$3:$H$24)=0,COUNTBLANK('3B-Prestaties vloeren'!$L$3:$M$24)=0),IF(R146="Sprayen/conserveren",I146/VLOOKUP(E146,'3B-Prestaties vloeren'!$A$3:$M$24,12,FALSE),0)*(P146-1),0)</f>
        <v>0</v>
      </c>
      <c r="U146" s="386">
        <f>IF(AND(COUNTBLANK('3B-Prestaties vloeren'!$F$3:$H$24)=0,COUNTBLANK('3B-Prestaties vloeren'!$L$3:$M$24)=0),IF(R146="Sprayen/conserveren",I146/VLOOKUP(E146,'3B-Prestaties vloeren'!$A$3:$M$24,13,FALSE),0),0)</f>
        <v>0</v>
      </c>
      <c r="V146" s="386">
        <f>IF(AND(COUNTBLANK('3B-Prestaties vloeren'!$F$3:$H$24)=0,COUNTBLANK('3B-Prestaties vloeren'!$L$3:$M$24)=0),IF(R146="schrobben",I146/VLOOKUP(E146,'3B-Prestaties vloeren'!$A$3:$H$24,6,FALSE),0)*P146,0)</f>
        <v>0</v>
      </c>
      <c r="W146" s="386">
        <f>IF(AND(COUNTBLANK('3B-Prestaties vloeren'!$F$3:$H$24)=0,COUNTBLANK('3B-Prestaties vloeren'!$L$3:$M$24)=0),IF(R146="sproei-extractie",I146/VLOOKUP(E146,'3B-Prestaties vloeren'!$A$3:$H$24,8,FALSE),0)*P146,0)</f>
        <v>0</v>
      </c>
    </row>
    <row r="147" spans="1:23" ht="15" hidden="1">
      <c r="A147" s="378" t="s">
        <v>667</v>
      </c>
      <c r="B147" s="378" t="s">
        <v>668</v>
      </c>
      <c r="C147" s="378">
        <v>0</v>
      </c>
      <c r="D147" s="378" t="s">
        <v>299</v>
      </c>
      <c r="E147" s="378" t="s">
        <v>728</v>
      </c>
      <c r="F147" s="378" t="s">
        <v>648</v>
      </c>
      <c r="G147" s="378" t="str">
        <f>VLOOKUP(F147,'3B-Prestaties vloeren'!$A$28:$B$118,2,0)</f>
        <v>Hard onbehandeld</v>
      </c>
      <c r="H147" s="378" t="s">
        <v>287</v>
      </c>
      <c r="I147" s="378">
        <v>11.6</v>
      </c>
      <c r="J147" s="419"/>
      <c r="K147" s="426">
        <v>0</v>
      </c>
      <c r="L147" s="378">
        <f t="shared" si="6"/>
        <v>0</v>
      </c>
      <c r="M147" s="380">
        <f>IF(K147=0,0,IF(COUNTBLANK('3A-Prestatie'!$B$2:$I$22)=0,L147/VLOOKUP(E147,'3A-Prestatie'!$A$1:$M$22,VLOOKUP(K147,'3A-Prestatie'!$A$28:$B$34,2,FALSE),FALSE),"3A prestatie invullen"))</f>
        <v>0</v>
      </c>
      <c r="N147" s="380">
        <f t="shared" si="8"/>
        <v>0</v>
      </c>
      <c r="O147" s="381" t="str">
        <f>VLOOKUP(E147,'3A-Prestatie'!A:M,13,FALSE)</f>
        <v>N.v.t.</v>
      </c>
      <c r="P147" s="382">
        <f>IF(R147="Niet van toepassing",0,VLOOKUP(E147,'3B-Prestaties vloeren'!$A$3:$D$24,IF(G147="Hard onbehandeld",2,IF(G147="Hard behandeld",3,4)),FALSE))</f>
        <v>0</v>
      </c>
      <c r="Q147" s="383">
        <f t="shared" si="7"/>
        <v>0</v>
      </c>
      <c r="R147" s="384" t="str">
        <f>IF(K147=0,"Niet van toepassing",IF(G147='3B-Prestaties vloeren'!$B$2,"Schrobben",IF(G147='3B-Prestaties vloeren'!$C$2,"Sprayen/conserveren",IF(G147='3B-Prestaties vloeren'!$D$2,"Sproei-extractie",0))))</f>
        <v>Niet van toepassing</v>
      </c>
      <c r="S147" s="385">
        <f>IF('2-Tarieven'!$B$28=0,0,IF(M147=0,0,'2-Tarieven'!$B$28*M147))</f>
        <v>0</v>
      </c>
      <c r="T147" s="386">
        <f>IF(AND(COUNTBLANK('3B-Prestaties vloeren'!$F$3:$H$24)=0,COUNTBLANK('3B-Prestaties vloeren'!$L$3:$M$24)=0),IF(R147="Sprayen/conserveren",I147/VLOOKUP(E147,'3B-Prestaties vloeren'!$A$3:$M$24,12,FALSE),0)*(P147-1),0)</f>
        <v>0</v>
      </c>
      <c r="U147" s="386">
        <f>IF(AND(COUNTBLANK('3B-Prestaties vloeren'!$F$3:$H$24)=0,COUNTBLANK('3B-Prestaties vloeren'!$L$3:$M$24)=0),IF(R147="Sprayen/conserveren",I147/VLOOKUP(E147,'3B-Prestaties vloeren'!$A$3:$M$24,13,FALSE),0),0)</f>
        <v>0</v>
      </c>
      <c r="V147" s="386">
        <f>IF(AND(COUNTBLANK('3B-Prestaties vloeren'!$F$3:$H$24)=0,COUNTBLANK('3B-Prestaties vloeren'!$L$3:$M$24)=0),IF(R147="schrobben",I147/VLOOKUP(E147,'3B-Prestaties vloeren'!$A$3:$H$24,6,FALSE),0)*P147,0)</f>
        <v>0</v>
      </c>
      <c r="W147" s="386">
        <f>IF(AND(COUNTBLANK('3B-Prestaties vloeren'!$F$3:$H$24)=0,COUNTBLANK('3B-Prestaties vloeren'!$L$3:$M$24)=0),IF(R147="sproei-extractie",I147/VLOOKUP(E147,'3B-Prestaties vloeren'!$A$3:$H$24,8,FALSE),0)*P147,0)</f>
        <v>0</v>
      </c>
    </row>
    <row r="148" spans="1:23" ht="15" hidden="1">
      <c r="A148" s="378" t="s">
        <v>667</v>
      </c>
      <c r="B148" s="378" t="s">
        <v>668</v>
      </c>
      <c r="C148" s="378">
        <v>0</v>
      </c>
      <c r="D148" s="378" t="s">
        <v>300</v>
      </c>
      <c r="E148" s="378" t="s">
        <v>285</v>
      </c>
      <c r="F148" s="378" t="s">
        <v>648</v>
      </c>
      <c r="G148" s="378" t="str">
        <f>VLOOKUP(F148,'3B-Prestaties vloeren'!$A$28:$B$118,2,0)</f>
        <v>Hard onbehandeld</v>
      </c>
      <c r="H148" s="378"/>
      <c r="I148" s="378">
        <v>9.27</v>
      </c>
      <c r="J148" s="420" t="s">
        <v>749</v>
      </c>
      <c r="K148" s="426">
        <v>52</v>
      </c>
      <c r="L148" s="378">
        <f t="shared" si="6"/>
        <v>482.03999999999996</v>
      </c>
      <c r="M148" s="380" t="str">
        <f>IF(K148=0,0,IF(COUNTBLANK('3A-Prestatie'!$B$2:$I$22)=0,L148/VLOOKUP(E148,'3A-Prestatie'!$A$1:$M$22,VLOOKUP(K148,'3A-Prestatie'!$A$28:$B$34,2,FALSE),FALSE),"3A prestatie invullen"))</f>
        <v>3A prestatie invullen</v>
      </c>
      <c r="N148" s="380">
        <f t="shared" si="8"/>
        <v>0</v>
      </c>
      <c r="O148" s="381" t="str">
        <f>VLOOKUP(E148,'3A-Prestatie'!A:M,13,FALSE)</f>
        <v>V</v>
      </c>
      <c r="P148" s="382">
        <v>12</v>
      </c>
      <c r="Q148" s="383">
        <f t="shared" si="7"/>
        <v>0</v>
      </c>
      <c r="R148" s="384" t="str">
        <f>IF(K148=0,"Niet van toepassing",IF(G148='3B-Prestaties vloeren'!$B$2,"Schrobben",IF(G148='3B-Prestaties vloeren'!$C$2,"Sprayen/conserveren",IF(G148='3B-Prestaties vloeren'!$D$2,"Sproei-extractie",0))))</f>
        <v>Schrobben</v>
      </c>
      <c r="S148" s="385">
        <f>IF('2-Tarieven'!$B$28=0,0,IF(M148=0,0,'2-Tarieven'!$B$28*M148))</f>
        <v>0</v>
      </c>
      <c r="T148" s="386">
        <f>IF(AND(COUNTBLANK('3B-Prestaties vloeren'!$F$3:$H$24)=0,COUNTBLANK('3B-Prestaties vloeren'!$L$3:$M$24)=0),IF(R148="Sprayen/conserveren",I148/VLOOKUP(E148,'3B-Prestaties vloeren'!$A$3:$M$24,12,FALSE),0)*(P148-1),0)</f>
        <v>0</v>
      </c>
      <c r="U148" s="386">
        <f>IF(AND(COUNTBLANK('3B-Prestaties vloeren'!$F$3:$H$24)=0,COUNTBLANK('3B-Prestaties vloeren'!$L$3:$M$24)=0),IF(R148="Sprayen/conserveren",I148/VLOOKUP(E148,'3B-Prestaties vloeren'!$A$3:$M$24,13,FALSE),0),0)</f>
        <v>0</v>
      </c>
      <c r="V148" s="386">
        <f>IF(AND(COUNTBLANK('3B-Prestaties vloeren'!$F$3:$H$24)=0,COUNTBLANK('3B-Prestaties vloeren'!$L$3:$M$24)=0),IF(R148="schrobben",I148/VLOOKUP(E148,'3B-Prestaties vloeren'!$A$3:$H$24,6,FALSE),0)*P148,0)</f>
        <v>0</v>
      </c>
      <c r="W148" s="386">
        <f>IF(AND(COUNTBLANK('3B-Prestaties vloeren'!$F$3:$H$24)=0,COUNTBLANK('3B-Prestaties vloeren'!$L$3:$M$24)=0),IF(R148="sproei-extractie",I148/VLOOKUP(E148,'3B-Prestaties vloeren'!$A$3:$H$24,8,FALSE),0)*P148,0)</f>
        <v>0</v>
      </c>
    </row>
    <row r="149" spans="1:23" ht="15" hidden="1">
      <c r="A149" s="378" t="s">
        <v>667</v>
      </c>
      <c r="B149" s="378" t="s">
        <v>668</v>
      </c>
      <c r="C149" s="378">
        <v>0</v>
      </c>
      <c r="D149" s="378" t="s">
        <v>301</v>
      </c>
      <c r="E149" s="378" t="s">
        <v>285</v>
      </c>
      <c r="F149" s="378" t="s">
        <v>648</v>
      </c>
      <c r="G149" s="378" t="str">
        <f>VLOOKUP(F149,'3B-Prestaties vloeren'!$A$28:$B$118,2,0)</f>
        <v>Hard onbehandeld</v>
      </c>
      <c r="H149" s="378"/>
      <c r="I149" s="378">
        <v>9.27</v>
      </c>
      <c r="J149" s="420" t="s">
        <v>749</v>
      </c>
      <c r="K149" s="426">
        <v>52</v>
      </c>
      <c r="L149" s="378">
        <f t="shared" si="6"/>
        <v>482.03999999999996</v>
      </c>
      <c r="M149" s="380" t="str">
        <f>IF(K149=0,0,IF(COUNTBLANK('3A-Prestatie'!$B$2:$I$22)=0,L149/VLOOKUP(E149,'3A-Prestatie'!$A$1:$M$22,VLOOKUP(K149,'3A-Prestatie'!$A$28:$B$34,2,FALSE),FALSE),"3A prestatie invullen"))</f>
        <v>3A prestatie invullen</v>
      </c>
      <c r="N149" s="380">
        <f t="shared" si="8"/>
        <v>0</v>
      </c>
      <c r="O149" s="381" t="str">
        <f>VLOOKUP(E149,'3A-Prestatie'!A:M,13,FALSE)</f>
        <v>V</v>
      </c>
      <c r="P149" s="382">
        <v>12</v>
      </c>
      <c r="Q149" s="383">
        <f t="shared" si="7"/>
        <v>0</v>
      </c>
      <c r="R149" s="384" t="str">
        <f>IF(K149=0,"Niet van toepassing",IF(G149='3B-Prestaties vloeren'!$B$2,"Schrobben",IF(G149='3B-Prestaties vloeren'!$C$2,"Sprayen/conserveren",IF(G149='3B-Prestaties vloeren'!$D$2,"Sproei-extractie",0))))</f>
        <v>Schrobben</v>
      </c>
      <c r="S149" s="385">
        <f>IF('2-Tarieven'!$B$28=0,0,IF(M149=0,0,'2-Tarieven'!$B$28*M149))</f>
        <v>0</v>
      </c>
      <c r="T149" s="386">
        <f>IF(AND(COUNTBLANK('3B-Prestaties vloeren'!$F$3:$H$24)=0,COUNTBLANK('3B-Prestaties vloeren'!$L$3:$M$24)=0),IF(R149="Sprayen/conserveren",I149/VLOOKUP(E149,'3B-Prestaties vloeren'!$A$3:$M$24,12,FALSE),0)*(P149-1),0)</f>
        <v>0</v>
      </c>
      <c r="U149" s="386">
        <f>IF(AND(COUNTBLANK('3B-Prestaties vloeren'!$F$3:$H$24)=0,COUNTBLANK('3B-Prestaties vloeren'!$L$3:$M$24)=0),IF(R149="Sprayen/conserveren",I149/VLOOKUP(E149,'3B-Prestaties vloeren'!$A$3:$M$24,13,FALSE),0),0)</f>
        <v>0</v>
      </c>
      <c r="V149" s="386">
        <f>IF(AND(COUNTBLANK('3B-Prestaties vloeren'!$F$3:$H$24)=0,COUNTBLANK('3B-Prestaties vloeren'!$L$3:$M$24)=0),IF(R149="schrobben",I149/VLOOKUP(E149,'3B-Prestaties vloeren'!$A$3:$H$24,6,FALSE),0)*P149,0)</f>
        <v>0</v>
      </c>
      <c r="W149" s="386">
        <f>IF(AND(COUNTBLANK('3B-Prestaties vloeren'!$F$3:$H$24)=0,COUNTBLANK('3B-Prestaties vloeren'!$L$3:$M$24)=0),IF(R149="sproei-extractie",I149/VLOOKUP(E149,'3B-Prestaties vloeren'!$A$3:$H$24,8,FALSE),0)*P149,0)</f>
        <v>0</v>
      </c>
    </row>
    <row r="150" spans="1:23" ht="15" hidden="1">
      <c r="A150" s="378" t="s">
        <v>667</v>
      </c>
      <c r="B150" s="378" t="s">
        <v>668</v>
      </c>
      <c r="C150" s="378">
        <v>0</v>
      </c>
      <c r="D150" s="378" t="s">
        <v>303</v>
      </c>
      <c r="E150" s="378" t="s">
        <v>335</v>
      </c>
      <c r="F150" s="378" t="s">
        <v>64</v>
      </c>
      <c r="G150" s="378" t="str">
        <f>VLOOKUP(F150,'3B-Prestaties vloeren'!$A$28:$B$118,2,0)</f>
        <v>Hard behandeld</v>
      </c>
      <c r="H150" s="378"/>
      <c r="I150" s="378">
        <v>4.7</v>
      </c>
      <c r="J150" s="419"/>
      <c r="K150" s="426">
        <v>0</v>
      </c>
      <c r="L150" s="378">
        <f t="shared" si="6"/>
        <v>0</v>
      </c>
      <c r="M150" s="380">
        <f>IF(K150=0,0,IF(COUNTBLANK('3A-Prestatie'!$B$2:$I$22)=0,L150/VLOOKUP(E150,'3A-Prestatie'!$A$1:$M$22,VLOOKUP(K150,'3A-Prestatie'!$A$28:$B$34,2,FALSE),FALSE),"3A prestatie invullen"))</f>
        <v>0</v>
      </c>
      <c r="N150" s="380">
        <f t="shared" si="8"/>
        <v>0</v>
      </c>
      <c r="O150" s="381" t="str">
        <f>VLOOKUP(E150,'3A-Prestatie'!A:M,13,FALSE)</f>
        <v>V</v>
      </c>
      <c r="P150" s="382">
        <f>IF(R150="Niet van toepassing",0,VLOOKUP(E150,'3B-Prestaties vloeren'!$A$3:$D$24,IF(G150="Hard onbehandeld",2,IF(G150="Hard behandeld",3,4)),FALSE))</f>
        <v>0</v>
      </c>
      <c r="Q150" s="383">
        <f t="shared" si="7"/>
        <v>0</v>
      </c>
      <c r="R150" s="384" t="str">
        <f>IF(K150=0,"Niet van toepassing",IF(G150='3B-Prestaties vloeren'!$B$2,"Schrobben",IF(G150='3B-Prestaties vloeren'!$C$2,"Sprayen/conserveren",IF(G150='3B-Prestaties vloeren'!$D$2,"Sproei-extractie",0))))</f>
        <v>Niet van toepassing</v>
      </c>
      <c r="S150" s="385">
        <f>IF('2-Tarieven'!$B$28=0,0,IF(M150=0,0,'2-Tarieven'!$B$28*M150))</f>
        <v>0</v>
      </c>
      <c r="T150" s="386">
        <f>IF(AND(COUNTBLANK('3B-Prestaties vloeren'!$F$3:$H$24)=0,COUNTBLANK('3B-Prestaties vloeren'!$L$3:$M$24)=0),IF(R150="Sprayen/conserveren",I150/VLOOKUP(E150,'3B-Prestaties vloeren'!$A$3:$M$24,12,FALSE),0)*(P150-1),0)</f>
        <v>0</v>
      </c>
      <c r="U150" s="386">
        <f>IF(AND(COUNTBLANK('3B-Prestaties vloeren'!$F$3:$H$24)=0,COUNTBLANK('3B-Prestaties vloeren'!$L$3:$M$24)=0),IF(R150="Sprayen/conserveren",I150/VLOOKUP(E150,'3B-Prestaties vloeren'!$A$3:$M$24,13,FALSE),0),0)</f>
        <v>0</v>
      </c>
      <c r="V150" s="386">
        <f>IF(AND(COUNTBLANK('3B-Prestaties vloeren'!$F$3:$H$24)=0,COUNTBLANK('3B-Prestaties vloeren'!$L$3:$M$24)=0),IF(R150="schrobben",I150/VLOOKUP(E150,'3B-Prestaties vloeren'!$A$3:$H$24,6,FALSE),0)*P150,0)</f>
        <v>0</v>
      </c>
      <c r="W150" s="386">
        <f>IF(AND(COUNTBLANK('3B-Prestaties vloeren'!$F$3:$H$24)=0,COUNTBLANK('3B-Prestaties vloeren'!$L$3:$M$24)=0),IF(R150="sproei-extractie",I150/VLOOKUP(E150,'3B-Prestaties vloeren'!$A$3:$H$24,8,FALSE),0)*P150,0)</f>
        <v>0</v>
      </c>
    </row>
    <row r="151" spans="1:23" ht="15" hidden="1">
      <c r="A151" s="378" t="s">
        <v>667</v>
      </c>
      <c r="B151" s="378" t="s">
        <v>668</v>
      </c>
      <c r="C151" s="378">
        <v>1</v>
      </c>
      <c r="D151" s="378" t="s">
        <v>336</v>
      </c>
      <c r="E151" s="378" t="s">
        <v>285</v>
      </c>
      <c r="F151" s="378" t="s">
        <v>670</v>
      </c>
      <c r="G151" s="378" t="str">
        <f>VLOOKUP(F151,'3B-Prestaties vloeren'!$A$28:$B$118,2,0)</f>
        <v>Hard onbehandeld</v>
      </c>
      <c r="H151" s="378" t="s">
        <v>669</v>
      </c>
      <c r="I151" s="378">
        <v>9.27</v>
      </c>
      <c r="J151" s="420" t="s">
        <v>749</v>
      </c>
      <c r="K151" s="426">
        <v>52</v>
      </c>
      <c r="L151" s="378">
        <f t="shared" si="6"/>
        <v>482.03999999999996</v>
      </c>
      <c r="M151" s="380" t="str">
        <f>IF(K151=0,0,IF(COUNTBLANK('3A-Prestatie'!$B$2:$I$22)=0,L151/VLOOKUP(E151,'3A-Prestatie'!$A$1:$M$22,VLOOKUP(K151,'3A-Prestatie'!$A$28:$B$34,2,FALSE),FALSE),"3A prestatie invullen"))</f>
        <v>3A prestatie invullen</v>
      </c>
      <c r="N151" s="380">
        <f t="shared" si="8"/>
        <v>0</v>
      </c>
      <c r="O151" s="381" t="str">
        <f>VLOOKUP(E151,'3A-Prestatie'!A:M,13,FALSE)</f>
        <v>V</v>
      </c>
      <c r="P151" s="382">
        <v>12</v>
      </c>
      <c r="Q151" s="383">
        <f t="shared" si="7"/>
        <v>0</v>
      </c>
      <c r="R151" s="384" t="str">
        <f>IF(K151=0,"Niet van toepassing",IF(G151='3B-Prestaties vloeren'!$B$2,"Schrobben",IF(G151='3B-Prestaties vloeren'!$C$2,"Sprayen/conserveren",IF(G151='3B-Prestaties vloeren'!$D$2,"Sproei-extractie",0))))</f>
        <v>Schrobben</v>
      </c>
      <c r="S151" s="385">
        <f>IF('2-Tarieven'!$B$28=0,0,IF(M151=0,0,'2-Tarieven'!$B$28*M151))</f>
        <v>0</v>
      </c>
      <c r="T151" s="386">
        <f>IF(AND(COUNTBLANK('3B-Prestaties vloeren'!$F$3:$H$24)=0,COUNTBLANK('3B-Prestaties vloeren'!$L$3:$M$24)=0),IF(R151="Sprayen/conserveren",I151/VLOOKUP(E151,'3B-Prestaties vloeren'!$A$3:$M$24,12,FALSE),0)*(P151-1),0)</f>
        <v>0</v>
      </c>
      <c r="U151" s="386">
        <f>IF(AND(COUNTBLANK('3B-Prestaties vloeren'!$F$3:$H$24)=0,COUNTBLANK('3B-Prestaties vloeren'!$L$3:$M$24)=0),IF(R151="Sprayen/conserveren",I151/VLOOKUP(E151,'3B-Prestaties vloeren'!$A$3:$M$24,13,FALSE),0),0)</f>
        <v>0</v>
      </c>
      <c r="V151" s="386">
        <f>IF(AND(COUNTBLANK('3B-Prestaties vloeren'!$F$3:$H$24)=0,COUNTBLANK('3B-Prestaties vloeren'!$L$3:$M$24)=0),IF(R151="schrobben",I151/VLOOKUP(E151,'3B-Prestaties vloeren'!$A$3:$H$24,6,FALSE),0)*P151,0)</f>
        <v>0</v>
      </c>
      <c r="W151" s="386">
        <f>IF(AND(COUNTBLANK('3B-Prestaties vloeren'!$F$3:$H$24)=0,COUNTBLANK('3B-Prestaties vloeren'!$L$3:$M$24)=0),IF(R151="sproei-extractie",I151/VLOOKUP(E151,'3B-Prestaties vloeren'!$A$3:$H$24,8,FALSE),0)*P151,0)</f>
        <v>0</v>
      </c>
    </row>
    <row r="152" spans="1:23" ht="15" hidden="1">
      <c r="A152" s="378" t="s">
        <v>667</v>
      </c>
      <c r="B152" s="378" t="s">
        <v>668</v>
      </c>
      <c r="C152" s="378">
        <v>1</v>
      </c>
      <c r="D152" s="378" t="s">
        <v>337</v>
      </c>
      <c r="E152" s="378" t="s">
        <v>6</v>
      </c>
      <c r="F152" s="378" t="s">
        <v>648</v>
      </c>
      <c r="G152" s="378" t="str">
        <f>VLOOKUP(F152,'3B-Prestaties vloeren'!$A$28:$B$118,2,0)</f>
        <v>Hard onbehandeld</v>
      </c>
      <c r="H152" s="378"/>
      <c r="I152" s="378">
        <v>18.2</v>
      </c>
      <c r="J152" s="419"/>
      <c r="K152" s="426">
        <v>0</v>
      </c>
      <c r="L152" s="378">
        <f t="shared" si="6"/>
        <v>0</v>
      </c>
      <c r="M152" s="380">
        <f>IF(K152=0,0,IF(COUNTBLANK('3A-Prestatie'!$B$2:$I$22)=0,L152/VLOOKUP(E152,'3A-Prestatie'!$A$1:$M$22,VLOOKUP(K152,'3A-Prestatie'!$A$28:$B$34,2,FALSE),FALSE),"3A prestatie invullen"))</f>
        <v>0</v>
      </c>
      <c r="N152" s="380">
        <f t="shared" si="8"/>
        <v>0</v>
      </c>
      <c r="O152" s="381" t="str">
        <f>VLOOKUP(E152,'3A-Prestatie'!A:M,13,FALSE)</f>
        <v>V</v>
      </c>
      <c r="P152" s="382">
        <f>IF(R152="Niet van toepassing",0,VLOOKUP(E152,'3B-Prestaties vloeren'!$A$3:$D$24,IF(G152="Hard onbehandeld",2,IF(G152="Hard behandeld",3,4)),FALSE))</f>
        <v>0</v>
      </c>
      <c r="Q152" s="383">
        <f t="shared" si="7"/>
        <v>0</v>
      </c>
      <c r="R152" s="384" t="str">
        <f>IF(K152=0,"Niet van toepassing",IF(G152='3B-Prestaties vloeren'!$B$2,"Schrobben",IF(G152='3B-Prestaties vloeren'!$C$2,"Sprayen/conserveren",IF(G152='3B-Prestaties vloeren'!$D$2,"Sproei-extractie",0))))</f>
        <v>Niet van toepassing</v>
      </c>
      <c r="S152" s="385">
        <f>IF('2-Tarieven'!$B$28=0,0,IF(M152=0,0,'2-Tarieven'!$B$28*M152))</f>
        <v>0</v>
      </c>
      <c r="T152" s="386">
        <f>IF(AND(COUNTBLANK('3B-Prestaties vloeren'!$F$3:$H$24)=0,COUNTBLANK('3B-Prestaties vloeren'!$L$3:$M$24)=0),IF(R152="Sprayen/conserveren",I152/VLOOKUP(E152,'3B-Prestaties vloeren'!$A$3:$M$24,12,FALSE),0)*(P152-1),0)</f>
        <v>0</v>
      </c>
      <c r="U152" s="386">
        <f>IF(AND(COUNTBLANK('3B-Prestaties vloeren'!$F$3:$H$24)=0,COUNTBLANK('3B-Prestaties vloeren'!$L$3:$M$24)=0),IF(R152="Sprayen/conserveren",I152/VLOOKUP(E152,'3B-Prestaties vloeren'!$A$3:$M$24,13,FALSE),0),0)</f>
        <v>0</v>
      </c>
      <c r="V152" s="386">
        <f>IF(AND(COUNTBLANK('3B-Prestaties vloeren'!$F$3:$H$24)=0,COUNTBLANK('3B-Prestaties vloeren'!$L$3:$M$24)=0),IF(R152="schrobben",I152/VLOOKUP(E152,'3B-Prestaties vloeren'!$A$3:$H$24,6,FALSE),0)*P152,0)</f>
        <v>0</v>
      </c>
      <c r="W152" s="386">
        <f>IF(AND(COUNTBLANK('3B-Prestaties vloeren'!$F$3:$H$24)=0,COUNTBLANK('3B-Prestaties vloeren'!$L$3:$M$24)=0),IF(R152="sproei-extractie",I152/VLOOKUP(E152,'3B-Prestaties vloeren'!$A$3:$H$24,8,FALSE),0)*P152,0)</f>
        <v>0</v>
      </c>
    </row>
    <row r="153" spans="1:23" ht="15" hidden="1">
      <c r="A153" s="378" t="s">
        <v>667</v>
      </c>
      <c r="B153" s="378" t="s">
        <v>668</v>
      </c>
      <c r="C153" s="378">
        <v>1</v>
      </c>
      <c r="D153" s="378" t="s">
        <v>338</v>
      </c>
      <c r="E153" s="378" t="s">
        <v>6</v>
      </c>
      <c r="F153" s="378" t="s">
        <v>648</v>
      </c>
      <c r="G153" s="378" t="str">
        <f>VLOOKUP(F153,'3B-Prestaties vloeren'!$A$28:$B$118,2,0)</f>
        <v>Hard onbehandeld</v>
      </c>
      <c r="H153" s="378"/>
      <c r="I153" s="378">
        <v>18.2</v>
      </c>
      <c r="J153" s="419"/>
      <c r="K153" s="426">
        <v>0</v>
      </c>
      <c r="L153" s="378">
        <f t="shared" si="6"/>
        <v>0</v>
      </c>
      <c r="M153" s="380">
        <f>IF(K153=0,0,IF(COUNTBLANK('3A-Prestatie'!$B$2:$I$22)=0,L153/VLOOKUP(E153,'3A-Prestatie'!$A$1:$M$22,VLOOKUP(K153,'3A-Prestatie'!$A$28:$B$34,2,FALSE),FALSE),"3A prestatie invullen"))</f>
        <v>0</v>
      </c>
      <c r="N153" s="380">
        <f t="shared" si="8"/>
        <v>0</v>
      </c>
      <c r="O153" s="381" t="str">
        <f>VLOOKUP(E153,'3A-Prestatie'!A:M,13,FALSE)</f>
        <v>V</v>
      </c>
      <c r="P153" s="382">
        <f>IF(R153="Niet van toepassing",0,VLOOKUP(E153,'3B-Prestaties vloeren'!$A$3:$D$24,IF(G153="Hard onbehandeld",2,IF(G153="Hard behandeld",3,4)),FALSE))</f>
        <v>0</v>
      </c>
      <c r="Q153" s="383">
        <f t="shared" si="7"/>
        <v>0</v>
      </c>
      <c r="R153" s="384" t="str">
        <f>IF(K153=0,"Niet van toepassing",IF(G153='3B-Prestaties vloeren'!$B$2,"Schrobben",IF(G153='3B-Prestaties vloeren'!$C$2,"Sprayen/conserveren",IF(G153='3B-Prestaties vloeren'!$D$2,"Sproei-extractie",0))))</f>
        <v>Niet van toepassing</v>
      </c>
      <c r="S153" s="385">
        <f>IF('2-Tarieven'!$B$28=0,0,IF(M153=0,0,'2-Tarieven'!$B$28*M153))</f>
        <v>0</v>
      </c>
      <c r="T153" s="386">
        <f>IF(AND(COUNTBLANK('3B-Prestaties vloeren'!$F$3:$H$24)=0,COUNTBLANK('3B-Prestaties vloeren'!$L$3:$M$24)=0),IF(R153="Sprayen/conserveren",I153/VLOOKUP(E153,'3B-Prestaties vloeren'!$A$3:$M$24,12,FALSE),0)*(P153-1),0)</f>
        <v>0</v>
      </c>
      <c r="U153" s="386">
        <f>IF(AND(COUNTBLANK('3B-Prestaties vloeren'!$F$3:$H$24)=0,COUNTBLANK('3B-Prestaties vloeren'!$L$3:$M$24)=0),IF(R153="Sprayen/conserveren",I153/VLOOKUP(E153,'3B-Prestaties vloeren'!$A$3:$M$24,13,FALSE),0),0)</f>
        <v>0</v>
      </c>
      <c r="V153" s="386">
        <f>IF(AND(COUNTBLANK('3B-Prestaties vloeren'!$F$3:$H$24)=0,COUNTBLANK('3B-Prestaties vloeren'!$L$3:$M$24)=0),IF(R153="schrobben",I153/VLOOKUP(E153,'3B-Prestaties vloeren'!$A$3:$H$24,6,FALSE),0)*P153,0)</f>
        <v>0</v>
      </c>
      <c r="W153" s="386">
        <f>IF(AND(COUNTBLANK('3B-Prestaties vloeren'!$F$3:$H$24)=0,COUNTBLANK('3B-Prestaties vloeren'!$L$3:$M$24)=0),IF(R153="sproei-extractie",I153/VLOOKUP(E153,'3B-Prestaties vloeren'!$A$3:$H$24,8,FALSE),0)*P153,0)</f>
        <v>0</v>
      </c>
    </row>
    <row r="154" spans="1:23" ht="15" hidden="1">
      <c r="A154" s="378" t="s">
        <v>667</v>
      </c>
      <c r="B154" s="378" t="s">
        <v>668</v>
      </c>
      <c r="C154" s="378">
        <v>1</v>
      </c>
      <c r="D154" s="378" t="s">
        <v>339</v>
      </c>
      <c r="E154" s="378" t="s">
        <v>285</v>
      </c>
      <c r="F154" s="378" t="s">
        <v>670</v>
      </c>
      <c r="G154" s="378" t="str">
        <f>VLOOKUP(F154,'3B-Prestaties vloeren'!$A$28:$B$118,2,0)</f>
        <v>Hard onbehandeld</v>
      </c>
      <c r="H154" s="378" t="s">
        <v>669</v>
      </c>
      <c r="I154" s="378">
        <v>9.27</v>
      </c>
      <c r="J154" s="420" t="s">
        <v>749</v>
      </c>
      <c r="K154" s="426">
        <v>52</v>
      </c>
      <c r="L154" s="378">
        <f t="shared" si="6"/>
        <v>482.03999999999996</v>
      </c>
      <c r="M154" s="380" t="str">
        <f>IF(K154=0,0,IF(COUNTBLANK('3A-Prestatie'!$B$2:$I$22)=0,L154/VLOOKUP(E154,'3A-Prestatie'!$A$1:$M$22,VLOOKUP(K154,'3A-Prestatie'!$A$28:$B$34,2,FALSE),FALSE),"3A prestatie invullen"))</f>
        <v>3A prestatie invullen</v>
      </c>
      <c r="N154" s="380">
        <f t="shared" si="8"/>
        <v>0</v>
      </c>
      <c r="O154" s="381" t="str">
        <f>VLOOKUP(E154,'3A-Prestatie'!A:M,13,FALSE)</f>
        <v>V</v>
      </c>
      <c r="P154" s="382">
        <v>12</v>
      </c>
      <c r="Q154" s="383">
        <f t="shared" si="7"/>
        <v>0</v>
      </c>
      <c r="R154" s="384" t="str">
        <f>IF(K154=0,"Niet van toepassing",IF(G154='3B-Prestaties vloeren'!$B$2,"Schrobben",IF(G154='3B-Prestaties vloeren'!$C$2,"Sprayen/conserveren",IF(G154='3B-Prestaties vloeren'!$D$2,"Sproei-extractie",0))))</f>
        <v>Schrobben</v>
      </c>
      <c r="S154" s="385">
        <f>IF('2-Tarieven'!$B$28=0,0,IF(M154=0,0,'2-Tarieven'!$B$28*M154))</f>
        <v>0</v>
      </c>
      <c r="T154" s="386">
        <f>IF(AND(COUNTBLANK('3B-Prestaties vloeren'!$F$3:$H$24)=0,COUNTBLANK('3B-Prestaties vloeren'!$L$3:$M$24)=0),IF(R154="Sprayen/conserveren",I154/VLOOKUP(E154,'3B-Prestaties vloeren'!$A$3:$M$24,12,FALSE),0)*(P154-1),0)</f>
        <v>0</v>
      </c>
      <c r="U154" s="386">
        <f>IF(AND(COUNTBLANK('3B-Prestaties vloeren'!$F$3:$H$24)=0,COUNTBLANK('3B-Prestaties vloeren'!$L$3:$M$24)=0),IF(R154="Sprayen/conserveren",I154/VLOOKUP(E154,'3B-Prestaties vloeren'!$A$3:$M$24,13,FALSE),0),0)</f>
        <v>0</v>
      </c>
      <c r="V154" s="386">
        <f>IF(AND(COUNTBLANK('3B-Prestaties vloeren'!$F$3:$H$24)=0,COUNTBLANK('3B-Prestaties vloeren'!$L$3:$M$24)=0),IF(R154="schrobben",I154/VLOOKUP(E154,'3B-Prestaties vloeren'!$A$3:$H$24,6,FALSE),0)*P154,0)</f>
        <v>0</v>
      </c>
      <c r="W154" s="386">
        <f>IF(AND(COUNTBLANK('3B-Prestaties vloeren'!$F$3:$H$24)=0,COUNTBLANK('3B-Prestaties vloeren'!$L$3:$M$24)=0),IF(R154="sproei-extractie",I154/VLOOKUP(E154,'3B-Prestaties vloeren'!$A$3:$H$24,8,FALSE),0)*P154,0)</f>
        <v>0</v>
      </c>
    </row>
    <row r="155" spans="1:23" ht="15" hidden="1">
      <c r="A155" s="378" t="s">
        <v>667</v>
      </c>
      <c r="B155" s="378" t="s">
        <v>668</v>
      </c>
      <c r="C155" s="378">
        <v>2</v>
      </c>
      <c r="D155" s="378" t="s">
        <v>373</v>
      </c>
      <c r="E155" s="378" t="s">
        <v>285</v>
      </c>
      <c r="F155" s="378" t="s">
        <v>670</v>
      </c>
      <c r="G155" s="378" t="str">
        <f>VLOOKUP(F155,'3B-Prestaties vloeren'!$A$28:$B$118,2,0)</f>
        <v>Hard onbehandeld</v>
      </c>
      <c r="H155" s="378" t="s">
        <v>669</v>
      </c>
      <c r="I155" s="378">
        <v>9.27</v>
      </c>
      <c r="J155" s="420" t="s">
        <v>749</v>
      </c>
      <c r="K155" s="426">
        <v>52</v>
      </c>
      <c r="L155" s="378">
        <f t="shared" si="6"/>
        <v>482.03999999999996</v>
      </c>
      <c r="M155" s="380" t="str">
        <f>IF(K155=0,0,IF(COUNTBLANK('3A-Prestatie'!$B$2:$I$22)=0,L155/VLOOKUP(E155,'3A-Prestatie'!$A$1:$M$22,VLOOKUP(K155,'3A-Prestatie'!$A$28:$B$34,2,FALSE),FALSE),"3A prestatie invullen"))</f>
        <v>3A prestatie invullen</v>
      </c>
      <c r="N155" s="380">
        <f t="shared" si="8"/>
        <v>0</v>
      </c>
      <c r="O155" s="381" t="str">
        <f>VLOOKUP(E155,'3A-Prestatie'!A:M,13,FALSE)</f>
        <v>V</v>
      </c>
      <c r="P155" s="382">
        <v>12</v>
      </c>
      <c r="Q155" s="383">
        <f t="shared" si="7"/>
        <v>0</v>
      </c>
      <c r="R155" s="384" t="str">
        <f>IF(K155=0,"Niet van toepassing",IF(G155='3B-Prestaties vloeren'!$B$2,"Schrobben",IF(G155='3B-Prestaties vloeren'!$C$2,"Sprayen/conserveren",IF(G155='3B-Prestaties vloeren'!$D$2,"Sproei-extractie",0))))</f>
        <v>Schrobben</v>
      </c>
      <c r="S155" s="385">
        <f>IF('2-Tarieven'!$B$28=0,0,IF(M155=0,0,'2-Tarieven'!$B$28*M155))</f>
        <v>0</v>
      </c>
      <c r="T155" s="386">
        <f>IF(AND(COUNTBLANK('3B-Prestaties vloeren'!$F$3:$H$24)=0,COUNTBLANK('3B-Prestaties vloeren'!$L$3:$M$24)=0),IF(R155="Sprayen/conserveren",I155/VLOOKUP(E155,'3B-Prestaties vloeren'!$A$3:$M$24,12,FALSE),0)*(P155-1),0)</f>
        <v>0</v>
      </c>
      <c r="U155" s="386">
        <f>IF(AND(COUNTBLANK('3B-Prestaties vloeren'!$F$3:$H$24)=0,COUNTBLANK('3B-Prestaties vloeren'!$L$3:$M$24)=0),IF(R155="Sprayen/conserveren",I155/VLOOKUP(E155,'3B-Prestaties vloeren'!$A$3:$M$24,13,FALSE),0),0)</f>
        <v>0</v>
      </c>
      <c r="V155" s="386">
        <f>IF(AND(COUNTBLANK('3B-Prestaties vloeren'!$F$3:$H$24)=0,COUNTBLANK('3B-Prestaties vloeren'!$L$3:$M$24)=0),IF(R155="schrobben",I155/VLOOKUP(E155,'3B-Prestaties vloeren'!$A$3:$H$24,6,FALSE),0)*P155,0)</f>
        <v>0</v>
      </c>
      <c r="W155" s="386">
        <f>IF(AND(COUNTBLANK('3B-Prestaties vloeren'!$F$3:$H$24)=0,COUNTBLANK('3B-Prestaties vloeren'!$L$3:$M$24)=0),IF(R155="sproei-extractie",I155/VLOOKUP(E155,'3B-Prestaties vloeren'!$A$3:$H$24,8,FALSE),0)*P155,0)</f>
        <v>0</v>
      </c>
    </row>
    <row r="156" spans="1:23" ht="15" hidden="1">
      <c r="A156" s="378" t="s">
        <v>667</v>
      </c>
      <c r="B156" s="378" t="s">
        <v>668</v>
      </c>
      <c r="C156" s="378">
        <v>2</v>
      </c>
      <c r="D156" s="378" t="s">
        <v>374</v>
      </c>
      <c r="E156" s="378" t="s">
        <v>6</v>
      </c>
      <c r="F156" s="378" t="s">
        <v>648</v>
      </c>
      <c r="G156" s="378" t="str">
        <f>VLOOKUP(F156,'3B-Prestaties vloeren'!$A$28:$B$118,2,0)</f>
        <v>Hard onbehandeld</v>
      </c>
      <c r="H156" s="378"/>
      <c r="I156" s="378">
        <v>21</v>
      </c>
      <c r="J156" s="419"/>
      <c r="K156" s="426">
        <v>0</v>
      </c>
      <c r="L156" s="378">
        <f t="shared" si="6"/>
        <v>0</v>
      </c>
      <c r="M156" s="380">
        <f>IF(K156=0,0,IF(COUNTBLANK('3A-Prestatie'!$B$2:$I$22)=0,L156/VLOOKUP(E156,'3A-Prestatie'!$A$1:$M$22,VLOOKUP(K156,'3A-Prestatie'!$A$28:$B$34,2,FALSE),FALSE),"3A prestatie invullen"))</f>
        <v>0</v>
      </c>
      <c r="N156" s="380">
        <f t="shared" si="8"/>
        <v>0</v>
      </c>
      <c r="O156" s="381" t="str">
        <f>VLOOKUP(E156,'3A-Prestatie'!A:M,13,FALSE)</f>
        <v>V</v>
      </c>
      <c r="P156" s="382">
        <f>IF(R156="Niet van toepassing",0,VLOOKUP(E156,'3B-Prestaties vloeren'!$A$3:$D$24,IF(G156="Hard onbehandeld",2,IF(G156="Hard behandeld",3,4)),FALSE))</f>
        <v>0</v>
      </c>
      <c r="Q156" s="383">
        <f t="shared" si="7"/>
        <v>0</v>
      </c>
      <c r="R156" s="384" t="str">
        <f>IF(K156=0,"Niet van toepassing",IF(G156='3B-Prestaties vloeren'!$B$2,"Schrobben",IF(G156='3B-Prestaties vloeren'!$C$2,"Sprayen/conserveren",IF(G156='3B-Prestaties vloeren'!$D$2,"Sproei-extractie",0))))</f>
        <v>Niet van toepassing</v>
      </c>
      <c r="S156" s="385">
        <f>IF('2-Tarieven'!$B$28=0,0,IF(M156=0,0,'2-Tarieven'!$B$28*M156))</f>
        <v>0</v>
      </c>
      <c r="T156" s="386">
        <f>IF(AND(COUNTBLANK('3B-Prestaties vloeren'!$F$3:$H$24)=0,COUNTBLANK('3B-Prestaties vloeren'!$L$3:$M$24)=0),IF(R156="Sprayen/conserveren",I156/VLOOKUP(E156,'3B-Prestaties vloeren'!$A$3:$M$24,12,FALSE),0)*(P156-1),0)</f>
        <v>0</v>
      </c>
      <c r="U156" s="386">
        <f>IF(AND(COUNTBLANK('3B-Prestaties vloeren'!$F$3:$H$24)=0,COUNTBLANK('3B-Prestaties vloeren'!$L$3:$M$24)=0),IF(R156="Sprayen/conserveren",I156/VLOOKUP(E156,'3B-Prestaties vloeren'!$A$3:$M$24,13,FALSE),0),0)</f>
        <v>0</v>
      </c>
      <c r="V156" s="386">
        <f>IF(AND(COUNTBLANK('3B-Prestaties vloeren'!$F$3:$H$24)=0,COUNTBLANK('3B-Prestaties vloeren'!$L$3:$M$24)=0),IF(R156="schrobben",I156/VLOOKUP(E156,'3B-Prestaties vloeren'!$A$3:$H$24,6,FALSE),0)*P156,0)</f>
        <v>0</v>
      </c>
      <c r="W156" s="386">
        <f>IF(AND(COUNTBLANK('3B-Prestaties vloeren'!$F$3:$H$24)=0,COUNTBLANK('3B-Prestaties vloeren'!$L$3:$M$24)=0),IF(R156="sproei-extractie",I156/VLOOKUP(E156,'3B-Prestaties vloeren'!$A$3:$H$24,8,FALSE),0)*P156,0)</f>
        <v>0</v>
      </c>
    </row>
    <row r="157" spans="1:23" ht="15" hidden="1">
      <c r="A157" s="378" t="s">
        <v>667</v>
      </c>
      <c r="B157" s="378" t="s">
        <v>668</v>
      </c>
      <c r="C157" s="378">
        <v>2</v>
      </c>
      <c r="D157" s="378" t="s">
        <v>375</v>
      </c>
      <c r="E157" s="378" t="s">
        <v>334</v>
      </c>
      <c r="F157" s="378" t="s">
        <v>64</v>
      </c>
      <c r="G157" s="378" t="str">
        <f>VLOOKUP(F157,'3B-Prestaties vloeren'!$A$28:$B$118,2,0)</f>
        <v>Hard behandeld</v>
      </c>
      <c r="H157" s="378"/>
      <c r="I157" s="378">
        <v>2</v>
      </c>
      <c r="J157" s="420" t="s">
        <v>749</v>
      </c>
      <c r="K157" s="426">
        <v>52</v>
      </c>
      <c r="L157" s="378">
        <f t="shared" si="6"/>
        <v>104</v>
      </c>
      <c r="M157" s="380" t="str">
        <f>IF(K157=0,0,IF(COUNTBLANK('3A-Prestatie'!$B$2:$I$22)=0,L157/VLOOKUP(E157,'3A-Prestatie'!$A$1:$M$22,VLOOKUP(K157,'3A-Prestatie'!$A$28:$B$34,2,FALSE),FALSE),"3A prestatie invullen"))</f>
        <v>3A prestatie invullen</v>
      </c>
      <c r="N157" s="380">
        <f t="shared" si="8"/>
        <v>0</v>
      </c>
      <c r="O157" s="381" t="str">
        <f>VLOOKUP(E157,'3A-Prestatie'!A:M,13,FALSE)</f>
        <v>V</v>
      </c>
      <c r="P157" s="382">
        <f>IF(R157="Niet van toepassing",0,VLOOKUP(E157,'3B-Prestaties vloeren'!$A$3:$D$24,IF(G157="Hard onbehandeld",2,IF(G157="Hard behandeld",3,4)),FALSE))</f>
        <v>12</v>
      </c>
      <c r="Q157" s="383">
        <f t="shared" si="7"/>
        <v>0</v>
      </c>
      <c r="R157" s="384" t="str">
        <f>IF(K157=0,"Niet van toepassing",IF(G157='3B-Prestaties vloeren'!$B$2,"Schrobben",IF(G157='3B-Prestaties vloeren'!$C$2,"Sprayen/conserveren",IF(G157='3B-Prestaties vloeren'!$D$2,"Sproei-extractie",0))))</f>
        <v>Sprayen/conserveren</v>
      </c>
      <c r="S157" s="385">
        <f>IF('2-Tarieven'!$B$28=0,0,IF(M157=0,0,'2-Tarieven'!$B$28*M157))</f>
        <v>0</v>
      </c>
      <c r="T157" s="386">
        <f>IF(AND(COUNTBLANK('3B-Prestaties vloeren'!$F$3:$H$24)=0,COUNTBLANK('3B-Prestaties vloeren'!$L$3:$M$24)=0),IF(R157="Sprayen/conserveren",I157/VLOOKUP(E157,'3B-Prestaties vloeren'!$A$3:$M$24,12,FALSE),0)*(P157-1),0)</f>
        <v>0</v>
      </c>
      <c r="U157" s="386">
        <f>IF(AND(COUNTBLANK('3B-Prestaties vloeren'!$F$3:$H$24)=0,COUNTBLANK('3B-Prestaties vloeren'!$L$3:$M$24)=0),IF(R157="Sprayen/conserveren",I157/VLOOKUP(E157,'3B-Prestaties vloeren'!$A$3:$M$24,13,FALSE),0),0)</f>
        <v>0</v>
      </c>
      <c r="V157" s="386">
        <f>IF(AND(COUNTBLANK('3B-Prestaties vloeren'!$F$3:$H$24)=0,COUNTBLANK('3B-Prestaties vloeren'!$L$3:$M$24)=0),IF(R157="schrobben",I157/VLOOKUP(E157,'3B-Prestaties vloeren'!$A$3:$H$24,6,FALSE),0)*P157,0)</f>
        <v>0</v>
      </c>
      <c r="W157" s="386">
        <f>IF(AND(COUNTBLANK('3B-Prestaties vloeren'!$F$3:$H$24)=0,COUNTBLANK('3B-Prestaties vloeren'!$L$3:$M$24)=0),IF(R157="sproei-extractie",I157/VLOOKUP(E157,'3B-Prestaties vloeren'!$A$3:$H$24,8,FALSE),0)*P157,0)</f>
        <v>0</v>
      </c>
    </row>
    <row r="158" spans="1:23" ht="15">
      <c r="A158" s="378" t="s">
        <v>667</v>
      </c>
      <c r="B158" s="378" t="s">
        <v>668</v>
      </c>
      <c r="C158" s="378">
        <v>2</v>
      </c>
      <c r="D158" s="378" t="s">
        <v>376</v>
      </c>
      <c r="E158" s="378" t="s">
        <v>653</v>
      </c>
      <c r="F158" s="378" t="s">
        <v>64</v>
      </c>
      <c r="G158" s="378" t="str">
        <f>VLOOKUP(F158,'3B-Prestaties vloeren'!$A$28:$B$118,2,0)</f>
        <v>Hard behandeld</v>
      </c>
      <c r="H158" s="378" t="s">
        <v>330</v>
      </c>
      <c r="I158" s="378">
        <v>1.7</v>
      </c>
      <c r="J158" s="421" t="s">
        <v>511</v>
      </c>
      <c r="K158" s="426">
        <v>255</v>
      </c>
      <c r="L158" s="378">
        <f t="shared" si="6"/>
        <v>433.5</v>
      </c>
      <c r="M158" s="380" t="str">
        <f>IF(K158=0,0,IF(COUNTBLANK('3A-Prestatie'!$B$2:$I$22)=0,L158/VLOOKUP(E158,'3A-Prestatie'!$A$1:$M$22,VLOOKUP(K158,'3A-Prestatie'!$A$28:$B$34,2,FALSE),FALSE),"3A prestatie invullen"))</f>
        <v>3A prestatie invullen</v>
      </c>
      <c r="N158" s="380">
        <f t="shared" si="8"/>
        <v>0</v>
      </c>
      <c r="O158" s="381" t="str">
        <f>VLOOKUP(E158,'3A-Prestatie'!A:M,13,FALSE)</f>
        <v>S</v>
      </c>
      <c r="P158" s="382">
        <f>IF(R158="Niet van toepassing",0,VLOOKUP(E158,'3B-Prestaties vloeren'!$A$3:$D$24,IF(G158="Hard onbehandeld",2,IF(G158="Hard behandeld",3,4)),FALSE))</f>
        <v>12</v>
      </c>
      <c r="Q158" s="383">
        <f t="shared" si="7"/>
        <v>0</v>
      </c>
      <c r="R158" s="384" t="str">
        <f>IF(K158=0,"Niet van toepassing",IF(G158='3B-Prestaties vloeren'!$B$2,"Schrobben",IF(G158='3B-Prestaties vloeren'!$C$2,"Sprayen/conserveren",IF(G158='3B-Prestaties vloeren'!$D$2,"Sproei-extractie",0))))</f>
        <v>Sprayen/conserveren</v>
      </c>
      <c r="S158" s="385">
        <f>IF('2-Tarieven'!$B$28=0,0,IF(M158=0,0,'2-Tarieven'!$B$28*M158))</f>
        <v>0</v>
      </c>
      <c r="T158" s="386">
        <f>IF(AND(COUNTBLANK('3B-Prestaties vloeren'!$F$3:$H$24)=0,COUNTBLANK('3B-Prestaties vloeren'!$L$3:$M$24)=0),IF(R158="Sprayen/conserveren",I158/VLOOKUP(E158,'3B-Prestaties vloeren'!$A$3:$M$24,12,FALSE),0)*(P158-1),0)</f>
        <v>0</v>
      </c>
      <c r="U158" s="386">
        <f>IF(AND(COUNTBLANK('3B-Prestaties vloeren'!$F$3:$H$24)=0,COUNTBLANK('3B-Prestaties vloeren'!$L$3:$M$24)=0),IF(R158="Sprayen/conserveren",I158/VLOOKUP(E158,'3B-Prestaties vloeren'!$A$3:$M$24,13,FALSE),0),0)</f>
        <v>0</v>
      </c>
      <c r="V158" s="386">
        <f>IF(AND(COUNTBLANK('3B-Prestaties vloeren'!$F$3:$H$24)=0,COUNTBLANK('3B-Prestaties vloeren'!$L$3:$M$24)=0),IF(R158="schrobben",I158/VLOOKUP(E158,'3B-Prestaties vloeren'!$A$3:$H$24,6,FALSE),0)*P158,0)</f>
        <v>0</v>
      </c>
      <c r="W158" s="386">
        <f>IF(AND(COUNTBLANK('3B-Prestaties vloeren'!$F$3:$H$24)=0,COUNTBLANK('3B-Prestaties vloeren'!$L$3:$M$24)=0),IF(R158="sproei-extractie",I158/VLOOKUP(E158,'3B-Prestaties vloeren'!$A$3:$H$24,8,FALSE),0)*P158,0)</f>
        <v>0</v>
      </c>
    </row>
    <row r="159" spans="1:23" ht="15" hidden="1">
      <c r="A159" s="378" t="s">
        <v>667</v>
      </c>
      <c r="B159" s="378" t="s">
        <v>668</v>
      </c>
      <c r="C159" s="378">
        <v>2</v>
      </c>
      <c r="D159" s="378" t="s">
        <v>377</v>
      </c>
      <c r="E159" s="378" t="s">
        <v>728</v>
      </c>
      <c r="F159" s="378" t="s">
        <v>64</v>
      </c>
      <c r="G159" s="378" t="str">
        <f>VLOOKUP(F159,'3B-Prestaties vloeren'!$A$28:$B$118,2,0)</f>
        <v>Hard behandeld</v>
      </c>
      <c r="H159" s="378" t="s">
        <v>283</v>
      </c>
      <c r="I159" s="378">
        <v>0.9</v>
      </c>
      <c r="J159" s="419"/>
      <c r="K159" s="426">
        <v>0</v>
      </c>
      <c r="L159" s="378">
        <f t="shared" si="6"/>
        <v>0</v>
      </c>
      <c r="M159" s="380">
        <f>IF(K159=0,0,IF(COUNTBLANK('3A-Prestatie'!$B$2:$I$22)=0,L159/VLOOKUP(E159,'3A-Prestatie'!$A$1:$M$22,VLOOKUP(K159,'3A-Prestatie'!$A$28:$B$34,2,FALSE),FALSE),"3A prestatie invullen"))</f>
        <v>0</v>
      </c>
      <c r="N159" s="380">
        <f t="shared" si="8"/>
        <v>0</v>
      </c>
      <c r="O159" s="381" t="str">
        <f>VLOOKUP(E159,'3A-Prestatie'!A:M,13,FALSE)</f>
        <v>N.v.t.</v>
      </c>
      <c r="P159" s="382">
        <f>IF(R159="Niet van toepassing",0,VLOOKUP(E159,'3B-Prestaties vloeren'!$A$3:$D$24,IF(G159="Hard onbehandeld",2,IF(G159="Hard behandeld",3,4)),FALSE))</f>
        <v>0</v>
      </c>
      <c r="Q159" s="383">
        <f t="shared" si="7"/>
        <v>0</v>
      </c>
      <c r="R159" s="384" t="str">
        <f>IF(K159=0,"Niet van toepassing",IF(G159='3B-Prestaties vloeren'!$B$2,"Schrobben",IF(G159='3B-Prestaties vloeren'!$C$2,"Sprayen/conserveren",IF(G159='3B-Prestaties vloeren'!$D$2,"Sproei-extractie",0))))</f>
        <v>Niet van toepassing</v>
      </c>
      <c r="S159" s="385">
        <f>IF('2-Tarieven'!$B$28=0,0,IF(M159=0,0,'2-Tarieven'!$B$28*M159))</f>
        <v>0</v>
      </c>
      <c r="T159" s="386">
        <f>IF(AND(COUNTBLANK('3B-Prestaties vloeren'!$F$3:$H$24)=0,COUNTBLANK('3B-Prestaties vloeren'!$L$3:$M$24)=0),IF(R159="Sprayen/conserveren",I159/VLOOKUP(E159,'3B-Prestaties vloeren'!$A$3:$M$24,12,FALSE),0)*(P159-1),0)</f>
        <v>0</v>
      </c>
      <c r="U159" s="386">
        <f>IF(AND(COUNTBLANK('3B-Prestaties vloeren'!$F$3:$H$24)=0,COUNTBLANK('3B-Prestaties vloeren'!$L$3:$M$24)=0),IF(R159="Sprayen/conserveren",I159/VLOOKUP(E159,'3B-Prestaties vloeren'!$A$3:$M$24,13,FALSE),0),0)</f>
        <v>0</v>
      </c>
      <c r="V159" s="386">
        <f>IF(AND(COUNTBLANK('3B-Prestaties vloeren'!$F$3:$H$24)=0,COUNTBLANK('3B-Prestaties vloeren'!$L$3:$M$24)=0),IF(R159="schrobben",I159/VLOOKUP(E159,'3B-Prestaties vloeren'!$A$3:$H$24,6,FALSE),0)*P159,0)</f>
        <v>0</v>
      </c>
      <c r="W159" s="386">
        <f>IF(AND(COUNTBLANK('3B-Prestaties vloeren'!$F$3:$H$24)=0,COUNTBLANK('3B-Prestaties vloeren'!$L$3:$M$24)=0),IF(R159="sproei-extractie",I159/VLOOKUP(E159,'3B-Prestaties vloeren'!$A$3:$H$24,8,FALSE),0)*P159,0)</f>
        <v>0</v>
      </c>
    </row>
    <row r="160" spans="1:23" ht="15" hidden="1">
      <c r="A160" s="378" t="s">
        <v>667</v>
      </c>
      <c r="B160" s="378" t="s">
        <v>668</v>
      </c>
      <c r="C160" s="378">
        <v>2</v>
      </c>
      <c r="D160" s="378" t="s">
        <v>378</v>
      </c>
      <c r="E160" s="378" t="s">
        <v>651</v>
      </c>
      <c r="F160" s="378" t="s">
        <v>64</v>
      </c>
      <c r="G160" s="378" t="str">
        <f>VLOOKUP(F160,'3B-Prestaties vloeren'!$A$28:$B$118,2,0)</f>
        <v>Hard behandeld</v>
      </c>
      <c r="H160" s="378"/>
      <c r="I160" s="378">
        <v>12</v>
      </c>
      <c r="J160" s="419"/>
      <c r="K160" s="426">
        <v>0</v>
      </c>
      <c r="L160" s="378">
        <f t="shared" si="6"/>
        <v>0</v>
      </c>
      <c r="M160" s="380">
        <f>IF(K160=0,0,IF(COUNTBLANK('3A-Prestatie'!$B$2:$I$22)=0,L160/VLOOKUP(E160,'3A-Prestatie'!$A$1:$M$22,VLOOKUP(K160,'3A-Prestatie'!$A$28:$B$34,2,FALSE),FALSE),"3A prestatie invullen"))</f>
        <v>0</v>
      </c>
      <c r="N160" s="380">
        <f t="shared" si="8"/>
        <v>0</v>
      </c>
      <c r="O160" s="381" t="str">
        <f>VLOOKUP(E160,'3A-Prestatie'!A:M,13,FALSE)</f>
        <v>V</v>
      </c>
      <c r="P160" s="382">
        <f>IF(R160="Niet van toepassing",0,VLOOKUP(E160,'3B-Prestaties vloeren'!$A$3:$D$24,IF(G160="Hard onbehandeld",2,IF(G160="Hard behandeld",3,4)),FALSE))</f>
        <v>0</v>
      </c>
      <c r="Q160" s="383">
        <f t="shared" si="7"/>
        <v>0</v>
      </c>
      <c r="R160" s="384" t="str">
        <f>IF(K160=0,"Niet van toepassing",IF(G160='3B-Prestaties vloeren'!$B$2,"Schrobben",IF(G160='3B-Prestaties vloeren'!$C$2,"Sprayen/conserveren",IF(G160='3B-Prestaties vloeren'!$D$2,"Sproei-extractie",0))))</f>
        <v>Niet van toepassing</v>
      </c>
      <c r="S160" s="385">
        <f>IF('2-Tarieven'!$B$28=0,0,IF(M160=0,0,'2-Tarieven'!$B$28*M160))</f>
        <v>0</v>
      </c>
      <c r="T160" s="386">
        <f>IF(AND(COUNTBLANK('3B-Prestaties vloeren'!$F$3:$H$24)=0,COUNTBLANK('3B-Prestaties vloeren'!$L$3:$M$24)=0),IF(R160="Sprayen/conserveren",I160/VLOOKUP(E160,'3B-Prestaties vloeren'!$A$3:$M$24,12,FALSE),0)*(P160-1),0)</f>
        <v>0</v>
      </c>
      <c r="U160" s="386">
        <f>IF(AND(COUNTBLANK('3B-Prestaties vloeren'!$F$3:$H$24)=0,COUNTBLANK('3B-Prestaties vloeren'!$L$3:$M$24)=0),IF(R160="Sprayen/conserveren",I160/VLOOKUP(E160,'3B-Prestaties vloeren'!$A$3:$M$24,13,FALSE),0),0)</f>
        <v>0</v>
      </c>
      <c r="V160" s="386">
        <f>IF(AND(COUNTBLANK('3B-Prestaties vloeren'!$F$3:$H$24)=0,COUNTBLANK('3B-Prestaties vloeren'!$L$3:$M$24)=0),IF(R160="schrobben",I160/VLOOKUP(E160,'3B-Prestaties vloeren'!$A$3:$H$24,6,FALSE),0)*P160,0)</f>
        <v>0</v>
      </c>
      <c r="W160" s="386">
        <f>IF(AND(COUNTBLANK('3B-Prestaties vloeren'!$F$3:$H$24)=0,COUNTBLANK('3B-Prestaties vloeren'!$L$3:$M$24)=0),IF(R160="sproei-extractie",I160/VLOOKUP(E160,'3B-Prestaties vloeren'!$A$3:$H$24,8,FALSE),0)*P160,0)</f>
        <v>0</v>
      </c>
    </row>
    <row r="161" spans="1:23" ht="15" hidden="1">
      <c r="A161" s="378" t="s">
        <v>667</v>
      </c>
      <c r="B161" s="378" t="s">
        <v>668</v>
      </c>
      <c r="C161" s="378">
        <v>2</v>
      </c>
      <c r="D161" s="378" t="s">
        <v>379</v>
      </c>
      <c r="E161" s="378" t="s">
        <v>728</v>
      </c>
      <c r="F161" s="378" t="s">
        <v>64</v>
      </c>
      <c r="G161" s="378" t="str">
        <f>VLOOKUP(F161,'3B-Prestaties vloeren'!$A$28:$B$118,2,0)</f>
        <v>Hard behandeld</v>
      </c>
      <c r="H161" s="378" t="s">
        <v>283</v>
      </c>
      <c r="I161" s="378">
        <v>3.9</v>
      </c>
      <c r="J161" s="419"/>
      <c r="K161" s="426">
        <v>0</v>
      </c>
      <c r="L161" s="378">
        <f t="shared" si="6"/>
        <v>0</v>
      </c>
      <c r="M161" s="380">
        <f>IF(K161=0,0,IF(COUNTBLANK('3A-Prestatie'!$B$2:$I$22)=0,L161/VLOOKUP(E161,'3A-Prestatie'!$A$1:$M$22,VLOOKUP(K161,'3A-Prestatie'!$A$28:$B$34,2,FALSE),FALSE),"3A prestatie invullen"))</f>
        <v>0</v>
      </c>
      <c r="N161" s="380">
        <f t="shared" si="8"/>
        <v>0</v>
      </c>
      <c r="O161" s="381" t="str">
        <f>VLOOKUP(E161,'3A-Prestatie'!A:M,13,FALSE)</f>
        <v>N.v.t.</v>
      </c>
      <c r="P161" s="382">
        <f>IF(R161="Niet van toepassing",0,VLOOKUP(E161,'3B-Prestaties vloeren'!$A$3:$D$24,IF(G161="Hard onbehandeld",2,IF(G161="Hard behandeld",3,4)),FALSE))</f>
        <v>0</v>
      </c>
      <c r="Q161" s="383">
        <f t="shared" si="7"/>
        <v>0</v>
      </c>
      <c r="R161" s="384" t="str">
        <f>IF(K161=0,"Niet van toepassing",IF(G161='3B-Prestaties vloeren'!$B$2,"Schrobben",IF(G161='3B-Prestaties vloeren'!$C$2,"Sprayen/conserveren",IF(G161='3B-Prestaties vloeren'!$D$2,"Sproei-extractie",0))))</f>
        <v>Niet van toepassing</v>
      </c>
      <c r="S161" s="385">
        <f>IF('2-Tarieven'!$B$28=0,0,IF(M161=0,0,'2-Tarieven'!$B$28*M161))</f>
        <v>0</v>
      </c>
      <c r="T161" s="386">
        <f>IF(AND(COUNTBLANK('3B-Prestaties vloeren'!$F$3:$H$24)=0,COUNTBLANK('3B-Prestaties vloeren'!$L$3:$M$24)=0),IF(R161="Sprayen/conserveren",I161/VLOOKUP(E161,'3B-Prestaties vloeren'!$A$3:$M$24,12,FALSE),0)*(P161-1),0)</f>
        <v>0</v>
      </c>
      <c r="U161" s="386">
        <f>IF(AND(COUNTBLANK('3B-Prestaties vloeren'!$F$3:$H$24)=0,COUNTBLANK('3B-Prestaties vloeren'!$L$3:$M$24)=0),IF(R161="Sprayen/conserveren",I161/VLOOKUP(E161,'3B-Prestaties vloeren'!$A$3:$M$24,13,FALSE),0),0)</f>
        <v>0</v>
      </c>
      <c r="V161" s="386">
        <f>IF(AND(COUNTBLANK('3B-Prestaties vloeren'!$F$3:$H$24)=0,COUNTBLANK('3B-Prestaties vloeren'!$L$3:$M$24)=0),IF(R161="schrobben",I161/VLOOKUP(E161,'3B-Prestaties vloeren'!$A$3:$H$24,6,FALSE),0)*P161,0)</f>
        <v>0</v>
      </c>
      <c r="W161" s="386">
        <f>IF(AND(COUNTBLANK('3B-Prestaties vloeren'!$F$3:$H$24)=0,COUNTBLANK('3B-Prestaties vloeren'!$L$3:$M$24)=0),IF(R161="sproei-extractie",I161/VLOOKUP(E161,'3B-Prestaties vloeren'!$A$3:$H$24,8,FALSE),0)*P161,0)</f>
        <v>0</v>
      </c>
    </row>
    <row r="162" spans="1:23" ht="15" hidden="1">
      <c r="A162" s="378" t="s">
        <v>667</v>
      </c>
      <c r="B162" s="378" t="s">
        <v>668</v>
      </c>
      <c r="C162" s="378">
        <v>2</v>
      </c>
      <c r="D162" s="378" t="s">
        <v>8</v>
      </c>
      <c r="E162" s="378" t="s">
        <v>6</v>
      </c>
      <c r="F162" s="378" t="s">
        <v>670</v>
      </c>
      <c r="G162" s="378" t="str">
        <f>VLOOKUP(F162,'3B-Prestaties vloeren'!$A$28:$B$118,2,0)</f>
        <v>Hard onbehandeld</v>
      </c>
      <c r="H162" s="378"/>
      <c r="I162" s="378">
        <v>21</v>
      </c>
      <c r="J162" s="419"/>
      <c r="K162" s="426">
        <v>0</v>
      </c>
      <c r="L162" s="378">
        <f t="shared" si="6"/>
        <v>0</v>
      </c>
      <c r="M162" s="380">
        <f>IF(K162=0,0,IF(COUNTBLANK('3A-Prestatie'!$B$2:$I$22)=0,L162/VLOOKUP(E162,'3A-Prestatie'!$A$1:$M$22,VLOOKUP(K162,'3A-Prestatie'!$A$28:$B$34,2,FALSE),FALSE),"3A prestatie invullen"))</f>
        <v>0</v>
      </c>
      <c r="N162" s="380">
        <f t="shared" si="8"/>
        <v>0</v>
      </c>
      <c r="O162" s="381" t="str">
        <f>VLOOKUP(E162,'3A-Prestatie'!A:M,13,FALSE)</f>
        <v>V</v>
      </c>
      <c r="P162" s="382">
        <f>IF(R162="Niet van toepassing",0,VLOOKUP(E162,'3B-Prestaties vloeren'!$A$3:$D$24,IF(G162="Hard onbehandeld",2,IF(G162="Hard behandeld",3,4)),FALSE))</f>
        <v>0</v>
      </c>
      <c r="Q162" s="383">
        <f t="shared" si="7"/>
        <v>0</v>
      </c>
      <c r="R162" s="384" t="str">
        <f>IF(K162=0,"Niet van toepassing",IF(G162='3B-Prestaties vloeren'!$B$2,"Schrobben",IF(G162='3B-Prestaties vloeren'!$C$2,"Sprayen/conserveren",IF(G162='3B-Prestaties vloeren'!$D$2,"Sproei-extractie",0))))</f>
        <v>Niet van toepassing</v>
      </c>
      <c r="S162" s="385">
        <f>IF('2-Tarieven'!$B$28=0,0,IF(M162=0,0,'2-Tarieven'!$B$28*M162))</f>
        <v>0</v>
      </c>
      <c r="T162" s="386">
        <f>IF(AND(COUNTBLANK('3B-Prestaties vloeren'!$F$3:$H$24)=0,COUNTBLANK('3B-Prestaties vloeren'!$L$3:$M$24)=0),IF(R162="Sprayen/conserveren",I162/VLOOKUP(E162,'3B-Prestaties vloeren'!$A$3:$M$24,12,FALSE),0)*(P162-1),0)</f>
        <v>0</v>
      </c>
      <c r="U162" s="386">
        <f>IF(AND(COUNTBLANK('3B-Prestaties vloeren'!$F$3:$H$24)=0,COUNTBLANK('3B-Prestaties vloeren'!$L$3:$M$24)=0),IF(R162="Sprayen/conserveren",I162/VLOOKUP(E162,'3B-Prestaties vloeren'!$A$3:$M$24,13,FALSE),0),0)</f>
        <v>0</v>
      </c>
      <c r="V162" s="386">
        <f>IF(AND(COUNTBLANK('3B-Prestaties vloeren'!$F$3:$H$24)=0,COUNTBLANK('3B-Prestaties vloeren'!$L$3:$M$24)=0),IF(R162="schrobben",I162/VLOOKUP(E162,'3B-Prestaties vloeren'!$A$3:$H$24,6,FALSE),0)*P162,0)</f>
        <v>0</v>
      </c>
      <c r="W162" s="386">
        <f>IF(AND(COUNTBLANK('3B-Prestaties vloeren'!$F$3:$H$24)=0,COUNTBLANK('3B-Prestaties vloeren'!$L$3:$M$24)=0),IF(R162="sproei-extractie",I162/VLOOKUP(E162,'3B-Prestaties vloeren'!$A$3:$H$24,8,FALSE),0)*P162,0)</f>
        <v>0</v>
      </c>
    </row>
    <row r="163" spans="1:23" ht="15" hidden="1">
      <c r="A163" s="378" t="s">
        <v>667</v>
      </c>
      <c r="B163" s="378" t="s">
        <v>668</v>
      </c>
      <c r="C163" s="378">
        <v>2</v>
      </c>
      <c r="D163" s="378" t="s">
        <v>9</v>
      </c>
      <c r="E163" s="378" t="s">
        <v>285</v>
      </c>
      <c r="F163" s="378" t="s">
        <v>670</v>
      </c>
      <c r="G163" s="378" t="str">
        <f>VLOOKUP(F163,'3B-Prestaties vloeren'!$A$28:$B$118,2,0)</f>
        <v>Hard onbehandeld</v>
      </c>
      <c r="H163" s="378" t="s">
        <v>669</v>
      </c>
      <c r="I163" s="378">
        <v>9.27</v>
      </c>
      <c r="J163" s="420" t="s">
        <v>749</v>
      </c>
      <c r="K163" s="426">
        <v>52</v>
      </c>
      <c r="L163" s="378">
        <f t="shared" si="6"/>
        <v>482.03999999999996</v>
      </c>
      <c r="M163" s="380" t="str">
        <f>IF(K163=0,0,IF(COUNTBLANK('3A-Prestatie'!$B$2:$I$22)=0,L163/VLOOKUP(E163,'3A-Prestatie'!$A$1:$M$22,VLOOKUP(K163,'3A-Prestatie'!$A$28:$B$34,2,FALSE),FALSE),"3A prestatie invullen"))</f>
        <v>3A prestatie invullen</v>
      </c>
      <c r="N163" s="380">
        <f t="shared" si="8"/>
        <v>0</v>
      </c>
      <c r="O163" s="381" t="str">
        <f>VLOOKUP(E163,'3A-Prestatie'!A:M,13,FALSE)</f>
        <v>V</v>
      </c>
      <c r="P163" s="382">
        <v>12</v>
      </c>
      <c r="Q163" s="383">
        <f t="shared" si="7"/>
        <v>0</v>
      </c>
      <c r="R163" s="384" t="str">
        <f>IF(K163=0,"Niet van toepassing",IF(G163='3B-Prestaties vloeren'!$B$2,"Schrobben",IF(G163='3B-Prestaties vloeren'!$C$2,"Sprayen/conserveren",IF(G163='3B-Prestaties vloeren'!$D$2,"Sproei-extractie",0))))</f>
        <v>Schrobben</v>
      </c>
      <c r="S163" s="385">
        <f>IF('2-Tarieven'!$B$28=0,0,IF(M163=0,0,'2-Tarieven'!$B$28*M163))</f>
        <v>0</v>
      </c>
      <c r="T163" s="386">
        <f>IF(AND(COUNTBLANK('3B-Prestaties vloeren'!$F$3:$H$24)=0,COUNTBLANK('3B-Prestaties vloeren'!$L$3:$M$24)=0),IF(R163="Sprayen/conserveren",I163/VLOOKUP(E163,'3B-Prestaties vloeren'!$A$3:$M$24,12,FALSE),0)*(P163-1),0)</f>
        <v>0</v>
      </c>
      <c r="U163" s="386">
        <f>IF(AND(COUNTBLANK('3B-Prestaties vloeren'!$F$3:$H$24)=0,COUNTBLANK('3B-Prestaties vloeren'!$L$3:$M$24)=0),IF(R163="Sprayen/conserveren",I163/VLOOKUP(E163,'3B-Prestaties vloeren'!$A$3:$M$24,13,FALSE),0),0)</f>
        <v>0</v>
      </c>
      <c r="V163" s="386">
        <f>IF(AND(COUNTBLANK('3B-Prestaties vloeren'!$F$3:$H$24)=0,COUNTBLANK('3B-Prestaties vloeren'!$L$3:$M$24)=0),IF(R163="schrobben",I163/VLOOKUP(E163,'3B-Prestaties vloeren'!$A$3:$H$24,6,FALSE),0)*P163,0)</f>
        <v>0</v>
      </c>
      <c r="W163" s="386">
        <f>IF(AND(COUNTBLANK('3B-Prestaties vloeren'!$F$3:$H$24)=0,COUNTBLANK('3B-Prestaties vloeren'!$L$3:$M$24)=0),IF(R163="sproei-extractie",I163/VLOOKUP(E163,'3B-Prestaties vloeren'!$A$3:$H$24,8,FALSE),0)*P163,0)</f>
        <v>0</v>
      </c>
    </row>
    <row r="164" spans="1:23" ht="15" hidden="1">
      <c r="A164" s="378" t="s">
        <v>671</v>
      </c>
      <c r="B164" s="378" t="s">
        <v>672</v>
      </c>
      <c r="C164" s="378">
        <v>0</v>
      </c>
      <c r="D164" s="378">
        <v>0.01</v>
      </c>
      <c r="E164" s="378" t="s">
        <v>728</v>
      </c>
      <c r="F164" s="378" t="s">
        <v>648</v>
      </c>
      <c r="G164" s="378" t="str">
        <f>VLOOKUP(F164,'3B-Prestaties vloeren'!$A$28:$B$118,2,0)</f>
        <v>Hard onbehandeld</v>
      </c>
      <c r="H164" s="378" t="s">
        <v>287</v>
      </c>
      <c r="I164" s="378">
        <v>1.6</v>
      </c>
      <c r="J164" s="419"/>
      <c r="K164" s="426">
        <v>0</v>
      </c>
      <c r="L164" s="378">
        <f t="shared" si="6"/>
        <v>0</v>
      </c>
      <c r="M164" s="380">
        <f>IF(K164=0,0,IF(COUNTBLANK('3A-Prestatie'!$B$2:$I$22)=0,L164/VLOOKUP(E164,'3A-Prestatie'!$A$1:$M$22,VLOOKUP(K164,'3A-Prestatie'!$A$28:$B$34,2,FALSE),FALSE),"3A prestatie invullen"))</f>
        <v>0</v>
      </c>
      <c r="N164" s="380">
        <f t="shared" si="8"/>
        <v>0</v>
      </c>
      <c r="O164" s="381" t="str">
        <f>VLOOKUP(E164,'3A-Prestatie'!A:M,13,FALSE)</f>
        <v>N.v.t.</v>
      </c>
      <c r="P164" s="382">
        <f>IF(R164="Niet van toepassing",0,VLOOKUP(E164,'3B-Prestaties vloeren'!$A$3:$D$24,IF(G164="Hard onbehandeld",2,IF(G164="Hard behandeld",3,4)),FALSE))</f>
        <v>0</v>
      </c>
      <c r="Q164" s="383">
        <f t="shared" si="7"/>
        <v>0</v>
      </c>
      <c r="R164" s="384" t="str">
        <f>IF(K164=0,"Niet van toepassing",IF(G164='3B-Prestaties vloeren'!$B$2,"Schrobben",IF(G164='3B-Prestaties vloeren'!$C$2,"Sprayen/conserveren",IF(G164='3B-Prestaties vloeren'!$D$2,"Sproei-extractie",0))))</f>
        <v>Niet van toepassing</v>
      </c>
      <c r="S164" s="385">
        <f>IF('2-Tarieven'!$B$28=0,0,IF(M164=0,0,'2-Tarieven'!$B$28*M164))</f>
        <v>0</v>
      </c>
      <c r="T164" s="386">
        <f>IF(AND(COUNTBLANK('3B-Prestaties vloeren'!$F$3:$H$24)=0,COUNTBLANK('3B-Prestaties vloeren'!$L$3:$M$24)=0),IF(R164="Sprayen/conserveren",I164/VLOOKUP(E164,'3B-Prestaties vloeren'!$A$3:$M$24,12,FALSE),0)*(P164-1),0)</f>
        <v>0</v>
      </c>
      <c r="U164" s="386">
        <f>IF(AND(COUNTBLANK('3B-Prestaties vloeren'!$F$3:$H$24)=0,COUNTBLANK('3B-Prestaties vloeren'!$L$3:$M$24)=0),IF(R164="Sprayen/conserveren",I164/VLOOKUP(E164,'3B-Prestaties vloeren'!$A$3:$M$24,13,FALSE),0),0)</f>
        <v>0</v>
      </c>
      <c r="V164" s="386">
        <f>IF(AND(COUNTBLANK('3B-Prestaties vloeren'!$F$3:$H$24)=0,COUNTBLANK('3B-Prestaties vloeren'!$L$3:$M$24)=0),IF(R164="schrobben",I164/VLOOKUP(E164,'3B-Prestaties vloeren'!$A$3:$H$24,6,FALSE),0)*P164,0)</f>
        <v>0</v>
      </c>
      <c r="W164" s="386">
        <f>IF(AND(COUNTBLANK('3B-Prestaties vloeren'!$F$3:$H$24)=0,COUNTBLANK('3B-Prestaties vloeren'!$L$3:$M$24)=0),IF(R164="sproei-extractie",I164/VLOOKUP(E164,'3B-Prestaties vloeren'!$A$3:$H$24,8,FALSE),0)*P164,0)</f>
        <v>0</v>
      </c>
    </row>
    <row r="165" spans="1:23" ht="15" hidden="1">
      <c r="A165" s="378" t="s">
        <v>671</v>
      </c>
      <c r="B165" s="378" t="s">
        <v>672</v>
      </c>
      <c r="C165" s="378">
        <v>0</v>
      </c>
      <c r="D165" s="378">
        <v>0.02</v>
      </c>
      <c r="E165" s="378" t="s">
        <v>728</v>
      </c>
      <c r="F165" s="378" t="s">
        <v>648</v>
      </c>
      <c r="G165" s="378" t="str">
        <f>VLOOKUP(F165,'3B-Prestaties vloeren'!$A$28:$B$118,2,0)</f>
        <v>Hard onbehandeld</v>
      </c>
      <c r="H165" s="378" t="s">
        <v>467</v>
      </c>
      <c r="I165" s="378">
        <v>66.400000000000006</v>
      </c>
      <c r="J165" s="419"/>
      <c r="K165" s="426">
        <v>0</v>
      </c>
      <c r="L165" s="378">
        <f t="shared" si="6"/>
        <v>0</v>
      </c>
      <c r="M165" s="380">
        <f>IF(K165=0,0,IF(COUNTBLANK('3A-Prestatie'!$B$2:$I$22)=0,L165/VLOOKUP(E165,'3A-Prestatie'!$A$1:$M$22,VLOOKUP(K165,'3A-Prestatie'!$A$28:$B$34,2,FALSE),FALSE),"3A prestatie invullen"))</f>
        <v>0</v>
      </c>
      <c r="N165" s="380">
        <f t="shared" si="8"/>
        <v>0</v>
      </c>
      <c r="O165" s="381" t="str">
        <f>VLOOKUP(E165,'3A-Prestatie'!A:M,13,FALSE)</f>
        <v>N.v.t.</v>
      </c>
      <c r="P165" s="382">
        <f>IF(R165="Niet van toepassing",0,VLOOKUP(E165,'3B-Prestaties vloeren'!$A$3:$D$24,IF(G165="Hard onbehandeld",2,IF(G165="Hard behandeld",3,4)),FALSE))</f>
        <v>0</v>
      </c>
      <c r="Q165" s="383">
        <f t="shared" si="7"/>
        <v>0</v>
      </c>
      <c r="R165" s="384" t="str">
        <f>IF(K165=0,"Niet van toepassing",IF(G165='3B-Prestaties vloeren'!$B$2,"Schrobben",IF(G165='3B-Prestaties vloeren'!$C$2,"Sprayen/conserveren",IF(G165='3B-Prestaties vloeren'!$D$2,"Sproei-extractie",0))))</f>
        <v>Niet van toepassing</v>
      </c>
      <c r="S165" s="385">
        <f>IF('2-Tarieven'!$B$28=0,0,IF(M165=0,0,'2-Tarieven'!$B$28*M165))</f>
        <v>0</v>
      </c>
      <c r="T165" s="386">
        <f>IF(AND(COUNTBLANK('3B-Prestaties vloeren'!$F$3:$H$24)=0,COUNTBLANK('3B-Prestaties vloeren'!$L$3:$M$24)=0),IF(R165="Sprayen/conserveren",I165/VLOOKUP(E165,'3B-Prestaties vloeren'!$A$3:$M$24,12,FALSE),0)*(P165-1),0)</f>
        <v>0</v>
      </c>
      <c r="U165" s="386">
        <f>IF(AND(COUNTBLANK('3B-Prestaties vloeren'!$F$3:$H$24)=0,COUNTBLANK('3B-Prestaties vloeren'!$L$3:$M$24)=0),IF(R165="Sprayen/conserveren",I165/VLOOKUP(E165,'3B-Prestaties vloeren'!$A$3:$M$24,13,FALSE),0),0)</f>
        <v>0</v>
      </c>
      <c r="V165" s="386">
        <f>IF(AND(COUNTBLANK('3B-Prestaties vloeren'!$F$3:$H$24)=0,COUNTBLANK('3B-Prestaties vloeren'!$L$3:$M$24)=0),IF(R165="schrobben",I165/VLOOKUP(E165,'3B-Prestaties vloeren'!$A$3:$H$24,6,FALSE),0)*P165,0)</f>
        <v>0</v>
      </c>
      <c r="W165" s="386">
        <f>IF(AND(COUNTBLANK('3B-Prestaties vloeren'!$F$3:$H$24)=0,COUNTBLANK('3B-Prestaties vloeren'!$L$3:$M$24)=0),IF(R165="sproei-extractie",I165/VLOOKUP(E165,'3B-Prestaties vloeren'!$A$3:$H$24,8,FALSE),0)*P165,0)</f>
        <v>0</v>
      </c>
    </row>
    <row r="166" spans="1:23" ht="15" hidden="1">
      <c r="A166" s="378" t="s">
        <v>671</v>
      </c>
      <c r="B166" s="378" t="s">
        <v>672</v>
      </c>
      <c r="C166" s="378">
        <v>1</v>
      </c>
      <c r="D166" s="378" t="s">
        <v>337</v>
      </c>
      <c r="E166" s="378" t="s">
        <v>5</v>
      </c>
      <c r="F166" s="378" t="s">
        <v>64</v>
      </c>
      <c r="G166" s="378" t="str">
        <f>VLOOKUP(F166,'3B-Prestaties vloeren'!$A$28:$B$118,2,0)</f>
        <v>Hard behandeld</v>
      </c>
      <c r="H166" s="378" t="s">
        <v>673</v>
      </c>
      <c r="I166" s="378">
        <v>12.3</v>
      </c>
      <c r="J166" s="420" t="s">
        <v>749</v>
      </c>
      <c r="K166" s="426">
        <v>52</v>
      </c>
      <c r="L166" s="378">
        <f t="shared" si="6"/>
        <v>639.6</v>
      </c>
      <c r="M166" s="380" t="str">
        <f>IF(K166=0,0,IF(COUNTBLANK('3A-Prestatie'!$B$2:$I$22)=0,L166/VLOOKUP(E166,'3A-Prestatie'!$A$1:$M$22,VLOOKUP(K166,'3A-Prestatie'!$A$28:$B$34,2,FALSE),FALSE),"3A prestatie invullen"))</f>
        <v>3A prestatie invullen</v>
      </c>
      <c r="N166" s="380">
        <f t="shared" si="8"/>
        <v>0</v>
      </c>
      <c r="O166" s="381" t="str">
        <f>VLOOKUP(E166,'3A-Prestatie'!A:M,13,FALSE)</f>
        <v>B</v>
      </c>
      <c r="P166" s="382">
        <f>IF(R166="Niet van toepassing",0,VLOOKUP(E166,'3B-Prestaties vloeren'!$A$3:$D$24,IF(G166="Hard onbehandeld",2,IF(G166="Hard behandeld",3,4)),FALSE))</f>
        <v>4</v>
      </c>
      <c r="Q166" s="383">
        <f t="shared" si="7"/>
        <v>0</v>
      </c>
      <c r="R166" s="384" t="str">
        <f>IF(K166=0,"Niet van toepassing",IF(G166='3B-Prestaties vloeren'!$B$2,"Schrobben",IF(G166='3B-Prestaties vloeren'!$C$2,"Sprayen/conserveren",IF(G166='3B-Prestaties vloeren'!$D$2,"Sproei-extractie",0))))</f>
        <v>Sprayen/conserveren</v>
      </c>
      <c r="S166" s="385">
        <f>IF('2-Tarieven'!$B$28=0,0,IF(M166=0,0,'2-Tarieven'!$B$28*M166))</f>
        <v>0</v>
      </c>
      <c r="T166" s="386">
        <f>IF(AND(COUNTBLANK('3B-Prestaties vloeren'!$F$3:$H$24)=0,COUNTBLANK('3B-Prestaties vloeren'!$L$3:$M$24)=0),IF(R166="Sprayen/conserveren",I166/VLOOKUP(E166,'3B-Prestaties vloeren'!$A$3:$M$24,12,FALSE),0)*(P166-1),0)</f>
        <v>0</v>
      </c>
      <c r="U166" s="386">
        <f>IF(AND(COUNTBLANK('3B-Prestaties vloeren'!$F$3:$H$24)=0,COUNTBLANK('3B-Prestaties vloeren'!$L$3:$M$24)=0),IF(R166="Sprayen/conserveren",I166/VLOOKUP(E166,'3B-Prestaties vloeren'!$A$3:$M$24,13,FALSE),0),0)</f>
        <v>0</v>
      </c>
      <c r="V166" s="386">
        <f>IF(AND(COUNTBLANK('3B-Prestaties vloeren'!$F$3:$H$24)=0,COUNTBLANK('3B-Prestaties vloeren'!$L$3:$M$24)=0),IF(R166="schrobben",I166/VLOOKUP(E166,'3B-Prestaties vloeren'!$A$3:$H$24,6,FALSE),0)*P166,0)</f>
        <v>0</v>
      </c>
      <c r="W166" s="386">
        <f>IF(AND(COUNTBLANK('3B-Prestaties vloeren'!$F$3:$H$24)=0,COUNTBLANK('3B-Prestaties vloeren'!$L$3:$M$24)=0),IF(R166="sproei-extractie",I166/VLOOKUP(E166,'3B-Prestaties vloeren'!$A$3:$H$24,8,FALSE),0)*P166,0)</f>
        <v>0</v>
      </c>
    </row>
    <row r="167" spans="1:23" ht="15">
      <c r="A167" s="378" t="s">
        <v>671</v>
      </c>
      <c r="B167" s="378" t="s">
        <v>672</v>
      </c>
      <c r="C167" s="378">
        <v>1</v>
      </c>
      <c r="D167" s="378" t="s">
        <v>338</v>
      </c>
      <c r="E167" s="378" t="s">
        <v>653</v>
      </c>
      <c r="F167" s="378" t="s">
        <v>64</v>
      </c>
      <c r="G167" s="378" t="str">
        <f>VLOOKUP(F167,'3B-Prestaties vloeren'!$A$28:$B$118,2,0)</f>
        <v>Hard behandeld</v>
      </c>
      <c r="H167" s="378" t="s">
        <v>330</v>
      </c>
      <c r="I167" s="378">
        <v>1.2</v>
      </c>
      <c r="J167" s="421" t="s">
        <v>511</v>
      </c>
      <c r="K167" s="426">
        <v>255</v>
      </c>
      <c r="L167" s="378">
        <f t="shared" si="6"/>
        <v>306</v>
      </c>
      <c r="M167" s="380" t="str">
        <f>IF(K167=0,0,IF(COUNTBLANK('3A-Prestatie'!$B$2:$I$22)=0,L167/VLOOKUP(E167,'3A-Prestatie'!$A$1:$M$22,VLOOKUP(K167,'3A-Prestatie'!$A$28:$B$34,2,FALSE),FALSE),"3A prestatie invullen"))</f>
        <v>3A prestatie invullen</v>
      </c>
      <c r="N167" s="380">
        <f t="shared" si="8"/>
        <v>0</v>
      </c>
      <c r="O167" s="381" t="str">
        <f>VLOOKUP(E167,'3A-Prestatie'!A:M,13,FALSE)</f>
        <v>S</v>
      </c>
      <c r="P167" s="382">
        <f>IF(R167="Niet van toepassing",0,VLOOKUP(E167,'3B-Prestaties vloeren'!$A$3:$D$24,IF(G167="Hard onbehandeld",2,IF(G167="Hard behandeld",3,4)),FALSE))</f>
        <v>12</v>
      </c>
      <c r="Q167" s="383">
        <f t="shared" si="7"/>
        <v>0</v>
      </c>
      <c r="R167" s="384" t="str">
        <f>IF(K167=0,"Niet van toepassing",IF(G167='3B-Prestaties vloeren'!$B$2,"Schrobben",IF(G167='3B-Prestaties vloeren'!$C$2,"Sprayen/conserveren",IF(G167='3B-Prestaties vloeren'!$D$2,"Sproei-extractie",0))))</f>
        <v>Sprayen/conserveren</v>
      </c>
      <c r="S167" s="385">
        <f>IF('2-Tarieven'!$B$28=0,0,IF(M167=0,0,'2-Tarieven'!$B$28*M167))</f>
        <v>0</v>
      </c>
      <c r="T167" s="386">
        <f>IF(AND(COUNTBLANK('3B-Prestaties vloeren'!$F$3:$H$24)=0,COUNTBLANK('3B-Prestaties vloeren'!$L$3:$M$24)=0),IF(R167="Sprayen/conserveren",I167/VLOOKUP(E167,'3B-Prestaties vloeren'!$A$3:$M$24,12,FALSE),0)*(P167-1),0)</f>
        <v>0</v>
      </c>
      <c r="U167" s="386">
        <f>IF(AND(COUNTBLANK('3B-Prestaties vloeren'!$F$3:$H$24)=0,COUNTBLANK('3B-Prestaties vloeren'!$L$3:$M$24)=0),IF(R167="Sprayen/conserveren",I167/VLOOKUP(E167,'3B-Prestaties vloeren'!$A$3:$M$24,13,FALSE),0),0)</f>
        <v>0</v>
      </c>
      <c r="V167" s="386">
        <f>IF(AND(COUNTBLANK('3B-Prestaties vloeren'!$F$3:$H$24)=0,COUNTBLANK('3B-Prestaties vloeren'!$L$3:$M$24)=0),IF(R167="schrobben",I167/VLOOKUP(E167,'3B-Prestaties vloeren'!$A$3:$H$24,6,FALSE),0)*P167,0)</f>
        <v>0</v>
      </c>
      <c r="W167" s="386">
        <f>IF(AND(COUNTBLANK('3B-Prestaties vloeren'!$F$3:$H$24)=0,COUNTBLANK('3B-Prestaties vloeren'!$L$3:$M$24)=0),IF(R167="sproei-extractie",I167/VLOOKUP(E167,'3B-Prestaties vloeren'!$A$3:$H$24,8,FALSE),0)*P167,0)</f>
        <v>0</v>
      </c>
    </row>
    <row r="168" spans="1:23" ht="15" hidden="1">
      <c r="A168" s="378" t="s">
        <v>671</v>
      </c>
      <c r="B168" s="378" t="s">
        <v>672</v>
      </c>
      <c r="C168" s="378">
        <v>1</v>
      </c>
      <c r="D168" s="378" t="s">
        <v>339</v>
      </c>
      <c r="E168" s="378" t="s">
        <v>306</v>
      </c>
      <c r="F168" s="378" t="s">
        <v>64</v>
      </c>
      <c r="G168" s="378" t="str">
        <f>VLOOKUP(F168,'3B-Prestaties vloeren'!$A$28:$B$118,2,0)</f>
        <v>Hard behandeld</v>
      </c>
      <c r="H168" s="378" t="s">
        <v>674</v>
      </c>
      <c r="I168" s="378">
        <v>26.7</v>
      </c>
      <c r="J168" s="420" t="s">
        <v>749</v>
      </c>
      <c r="K168" s="426">
        <v>52</v>
      </c>
      <c r="L168" s="378">
        <f t="shared" si="6"/>
        <v>1388.3999999999999</v>
      </c>
      <c r="M168" s="380" t="str">
        <f>IF(K168=0,0,IF(COUNTBLANK('3A-Prestatie'!$B$2:$I$22)=0,L168/VLOOKUP(E168,'3A-Prestatie'!$A$1:$M$22,VLOOKUP(K168,'3A-Prestatie'!$A$28:$B$34,2,FALSE),FALSE),"3A prestatie invullen"))</f>
        <v>3A prestatie invullen</v>
      </c>
      <c r="N168" s="380">
        <f t="shared" si="8"/>
        <v>0</v>
      </c>
      <c r="O168" s="381" t="str">
        <f>VLOOKUP(E168,'3A-Prestatie'!A:M,13,FALSE)</f>
        <v>V</v>
      </c>
      <c r="P168" s="382">
        <f>IF(R168="Niet van toepassing",0,VLOOKUP(E168,'3B-Prestaties vloeren'!$A$3:$D$24,IF(G168="Hard onbehandeld",2,IF(G168="Hard behandeld",3,4)),FALSE))</f>
        <v>12</v>
      </c>
      <c r="Q168" s="383">
        <f t="shared" si="7"/>
        <v>0</v>
      </c>
      <c r="R168" s="384" t="str">
        <f>IF(K168=0,"Niet van toepassing",IF(G168='3B-Prestaties vloeren'!$B$2,"Schrobben",IF(G168='3B-Prestaties vloeren'!$C$2,"Sprayen/conserveren",IF(G168='3B-Prestaties vloeren'!$D$2,"Sproei-extractie",0))))</f>
        <v>Sprayen/conserveren</v>
      </c>
      <c r="S168" s="385">
        <f>IF('2-Tarieven'!$B$28=0,0,IF(M168=0,0,'2-Tarieven'!$B$28*M168))</f>
        <v>0</v>
      </c>
      <c r="T168" s="386">
        <f>IF(AND(COUNTBLANK('3B-Prestaties vloeren'!$F$3:$H$24)=0,COUNTBLANK('3B-Prestaties vloeren'!$L$3:$M$24)=0),IF(R168="Sprayen/conserveren",I168/VLOOKUP(E168,'3B-Prestaties vloeren'!$A$3:$M$24,12,FALSE),0)*(P168-1),0)</f>
        <v>0</v>
      </c>
      <c r="U168" s="386">
        <f>IF(AND(COUNTBLANK('3B-Prestaties vloeren'!$F$3:$H$24)=0,COUNTBLANK('3B-Prestaties vloeren'!$L$3:$M$24)=0),IF(R168="Sprayen/conserveren",I168/VLOOKUP(E168,'3B-Prestaties vloeren'!$A$3:$M$24,13,FALSE),0),0)</f>
        <v>0</v>
      </c>
      <c r="V168" s="386">
        <f>IF(AND(COUNTBLANK('3B-Prestaties vloeren'!$F$3:$H$24)=0,COUNTBLANK('3B-Prestaties vloeren'!$L$3:$M$24)=0),IF(R168="schrobben",I168/VLOOKUP(E168,'3B-Prestaties vloeren'!$A$3:$H$24,6,FALSE),0)*P168,0)</f>
        <v>0</v>
      </c>
      <c r="W168" s="386">
        <f>IF(AND(COUNTBLANK('3B-Prestaties vloeren'!$F$3:$H$24)=0,COUNTBLANK('3B-Prestaties vloeren'!$L$3:$M$24)=0),IF(R168="sproei-extractie",I168/VLOOKUP(E168,'3B-Prestaties vloeren'!$A$3:$H$24,8,FALSE),0)*P168,0)</f>
        <v>0</v>
      </c>
    </row>
    <row r="169" spans="1:23" ht="15" hidden="1">
      <c r="A169" s="378" t="s">
        <v>671</v>
      </c>
      <c r="B169" s="378" t="s">
        <v>672</v>
      </c>
      <c r="C169" s="378">
        <v>1</v>
      </c>
      <c r="D169" s="378" t="s">
        <v>340</v>
      </c>
      <c r="E169" s="378" t="s">
        <v>1</v>
      </c>
      <c r="F169" s="378" t="s">
        <v>64</v>
      </c>
      <c r="G169" s="378" t="str">
        <f>VLOOKUP(F169,'3B-Prestaties vloeren'!$A$28:$B$118,2,0)</f>
        <v>Hard behandeld</v>
      </c>
      <c r="H169" s="378" t="s">
        <v>675</v>
      </c>
      <c r="I169" s="378">
        <v>16.399999999999999</v>
      </c>
      <c r="J169" s="421" t="s">
        <v>511</v>
      </c>
      <c r="K169" s="426">
        <v>52</v>
      </c>
      <c r="L169" s="378">
        <f t="shared" si="6"/>
        <v>852.8</v>
      </c>
      <c r="M169" s="380" t="str">
        <f>IF(K169=0,0,IF(COUNTBLANK('3A-Prestatie'!$B$2:$I$22)=0,L169/VLOOKUP(E169,'3A-Prestatie'!$A$1:$M$22,VLOOKUP(K169,'3A-Prestatie'!$A$28:$B$34,2,FALSE),FALSE),"3A prestatie invullen"))</f>
        <v>3A prestatie invullen</v>
      </c>
      <c r="N169" s="380">
        <f t="shared" si="8"/>
        <v>0</v>
      </c>
      <c r="O169" s="381" t="str">
        <f>VLOOKUP(E169,'3A-Prestatie'!A:M,13,FALSE)</f>
        <v>S</v>
      </c>
      <c r="P169" s="382">
        <v>12</v>
      </c>
      <c r="Q169" s="383">
        <f t="shared" si="7"/>
        <v>0</v>
      </c>
      <c r="R169" s="384" t="str">
        <f>IF(K169=0,"Niet van toepassing",IF(G169='3B-Prestaties vloeren'!$B$2,"Schrobben",IF(G169='3B-Prestaties vloeren'!$C$2,"Sprayen/conserveren",IF(G169='3B-Prestaties vloeren'!$D$2,"Sproei-extractie",0))))</f>
        <v>Sprayen/conserveren</v>
      </c>
      <c r="S169" s="385">
        <f>IF('2-Tarieven'!$B$28=0,0,IF(M169=0,0,'2-Tarieven'!$B$28*M169))</f>
        <v>0</v>
      </c>
      <c r="T169" s="386">
        <f>IF(AND(COUNTBLANK('3B-Prestaties vloeren'!$F$3:$H$24)=0,COUNTBLANK('3B-Prestaties vloeren'!$L$3:$M$24)=0),IF(R169="Sprayen/conserveren",I169/VLOOKUP(E169,'3B-Prestaties vloeren'!$A$3:$M$24,12,FALSE),0)*(P169-1),0)</f>
        <v>0</v>
      </c>
      <c r="U169" s="386">
        <f>IF(AND(COUNTBLANK('3B-Prestaties vloeren'!$F$3:$H$24)=0,COUNTBLANK('3B-Prestaties vloeren'!$L$3:$M$24)=0),IF(R169="Sprayen/conserveren",I169/VLOOKUP(E169,'3B-Prestaties vloeren'!$A$3:$M$24,13,FALSE),0),0)</f>
        <v>0</v>
      </c>
      <c r="V169" s="386">
        <f>IF(AND(COUNTBLANK('3B-Prestaties vloeren'!$F$3:$H$24)=0,COUNTBLANK('3B-Prestaties vloeren'!$L$3:$M$24)=0),IF(R169="schrobben",I169/VLOOKUP(E169,'3B-Prestaties vloeren'!$A$3:$H$24,6,FALSE),0)*P169,0)</f>
        <v>0</v>
      </c>
      <c r="W169" s="386">
        <f>IF(AND(COUNTBLANK('3B-Prestaties vloeren'!$F$3:$H$24)=0,COUNTBLANK('3B-Prestaties vloeren'!$L$3:$M$24)=0),IF(R169="sproei-extractie",I169/VLOOKUP(E169,'3B-Prestaties vloeren'!$A$3:$H$24,8,FALSE),0)*P169,0)</f>
        <v>0</v>
      </c>
    </row>
    <row r="170" spans="1:23" ht="15">
      <c r="A170" s="378" t="s">
        <v>671</v>
      </c>
      <c r="B170" s="378" t="s">
        <v>672</v>
      </c>
      <c r="C170" s="378">
        <v>1</v>
      </c>
      <c r="D170" s="378" t="s">
        <v>342</v>
      </c>
      <c r="E170" s="378" t="s">
        <v>653</v>
      </c>
      <c r="F170" s="378" t="s">
        <v>64</v>
      </c>
      <c r="G170" s="378" t="str">
        <f>VLOOKUP(F170,'3B-Prestaties vloeren'!$A$28:$B$118,2,0)</f>
        <v>Hard behandeld</v>
      </c>
      <c r="H170" s="378" t="s">
        <v>330</v>
      </c>
      <c r="I170" s="378">
        <v>1.2</v>
      </c>
      <c r="J170" s="421" t="s">
        <v>511</v>
      </c>
      <c r="K170" s="426">
        <v>255</v>
      </c>
      <c r="L170" s="378">
        <f t="shared" si="6"/>
        <v>306</v>
      </c>
      <c r="M170" s="380" t="str">
        <f>IF(K170=0,0,IF(COUNTBLANK('3A-Prestatie'!$B$2:$I$22)=0,L170/VLOOKUP(E170,'3A-Prestatie'!$A$1:$M$22,VLOOKUP(K170,'3A-Prestatie'!$A$28:$B$34,2,FALSE),FALSE),"3A prestatie invullen"))</f>
        <v>3A prestatie invullen</v>
      </c>
      <c r="N170" s="380">
        <f t="shared" si="8"/>
        <v>0</v>
      </c>
      <c r="O170" s="381" t="str">
        <f>VLOOKUP(E170,'3A-Prestatie'!A:M,13,FALSE)</f>
        <v>S</v>
      </c>
      <c r="P170" s="382">
        <f>IF(R170="Niet van toepassing",0,VLOOKUP(E170,'3B-Prestaties vloeren'!$A$3:$D$24,IF(G170="Hard onbehandeld",2,IF(G170="Hard behandeld",3,4)),FALSE))</f>
        <v>12</v>
      </c>
      <c r="Q170" s="383">
        <f t="shared" si="7"/>
        <v>0</v>
      </c>
      <c r="R170" s="384" t="str">
        <f>IF(K170=0,"Niet van toepassing",IF(G170='3B-Prestaties vloeren'!$B$2,"Schrobben",IF(G170='3B-Prestaties vloeren'!$C$2,"Sprayen/conserveren",IF(G170='3B-Prestaties vloeren'!$D$2,"Sproei-extractie",0))))</f>
        <v>Sprayen/conserveren</v>
      </c>
      <c r="S170" s="385">
        <f>IF('2-Tarieven'!$B$28=0,0,IF(M170=0,0,'2-Tarieven'!$B$28*M170))</f>
        <v>0</v>
      </c>
      <c r="T170" s="386">
        <f>IF(AND(COUNTBLANK('3B-Prestaties vloeren'!$F$3:$H$24)=0,COUNTBLANK('3B-Prestaties vloeren'!$L$3:$M$24)=0),IF(R170="Sprayen/conserveren",I170/VLOOKUP(E170,'3B-Prestaties vloeren'!$A$3:$M$24,12,FALSE),0)*(P170-1),0)</f>
        <v>0</v>
      </c>
      <c r="U170" s="386">
        <f>IF(AND(COUNTBLANK('3B-Prestaties vloeren'!$F$3:$H$24)=0,COUNTBLANK('3B-Prestaties vloeren'!$L$3:$M$24)=0),IF(R170="Sprayen/conserveren",I170/VLOOKUP(E170,'3B-Prestaties vloeren'!$A$3:$M$24,13,FALSE),0),0)</f>
        <v>0</v>
      </c>
      <c r="V170" s="386">
        <f>IF(AND(COUNTBLANK('3B-Prestaties vloeren'!$F$3:$H$24)=0,COUNTBLANK('3B-Prestaties vloeren'!$L$3:$M$24)=0),IF(R170="schrobben",I170/VLOOKUP(E170,'3B-Prestaties vloeren'!$A$3:$H$24,6,FALSE),0)*P170,0)</f>
        <v>0</v>
      </c>
      <c r="W170" s="386">
        <f>IF(AND(COUNTBLANK('3B-Prestaties vloeren'!$F$3:$H$24)=0,COUNTBLANK('3B-Prestaties vloeren'!$L$3:$M$24)=0),IF(R170="sproei-extractie",I170/VLOOKUP(E170,'3B-Prestaties vloeren'!$A$3:$H$24,8,FALSE),0)*P170,0)</f>
        <v>0</v>
      </c>
    </row>
    <row r="171" spans="1:23" ht="15" hidden="1">
      <c r="A171" s="378" t="s">
        <v>671</v>
      </c>
      <c r="B171" s="378" t="s">
        <v>672</v>
      </c>
      <c r="C171" s="378">
        <v>1</v>
      </c>
      <c r="D171" s="378" t="s">
        <v>343</v>
      </c>
      <c r="E171" s="378" t="s">
        <v>4</v>
      </c>
      <c r="F171" s="378" t="s">
        <v>64</v>
      </c>
      <c r="G171" s="378" t="str">
        <f>VLOOKUP(F171,'3B-Prestaties vloeren'!$A$28:$B$118,2,0)</f>
        <v>Hard behandeld</v>
      </c>
      <c r="H171" s="378" t="s">
        <v>676</v>
      </c>
      <c r="I171" s="378">
        <v>2.15</v>
      </c>
      <c r="J171" s="421" t="s">
        <v>511</v>
      </c>
      <c r="K171" s="426">
        <v>52</v>
      </c>
      <c r="L171" s="378">
        <f t="shared" si="6"/>
        <v>111.8</v>
      </c>
      <c r="M171" s="380" t="str">
        <f>IF(K171=0,0,IF(COUNTBLANK('3A-Prestatie'!$B$2:$I$22)=0,L171/VLOOKUP(E171,'3A-Prestatie'!$A$1:$M$22,VLOOKUP(K171,'3A-Prestatie'!$A$28:$B$34,2,FALSE),FALSE),"3A prestatie invullen"))</f>
        <v>3A prestatie invullen</v>
      </c>
      <c r="N171" s="380">
        <f t="shared" si="8"/>
        <v>0</v>
      </c>
      <c r="O171" s="381" t="str">
        <f>VLOOKUP(E171,'3A-Prestatie'!A:M,13,FALSE)</f>
        <v>S</v>
      </c>
      <c r="P171" s="382">
        <v>12</v>
      </c>
      <c r="Q171" s="383">
        <f t="shared" si="7"/>
        <v>0</v>
      </c>
      <c r="R171" s="384" t="str">
        <f>IF(K171=0,"Niet van toepassing",IF(G171='3B-Prestaties vloeren'!$B$2,"Schrobben",IF(G171='3B-Prestaties vloeren'!$C$2,"Sprayen/conserveren",IF(G171='3B-Prestaties vloeren'!$D$2,"Sproei-extractie",0))))</f>
        <v>Sprayen/conserveren</v>
      </c>
      <c r="S171" s="385">
        <f>IF('2-Tarieven'!$B$28=0,0,IF(M171=0,0,'2-Tarieven'!$B$28*M171))</f>
        <v>0</v>
      </c>
      <c r="T171" s="386">
        <f>IF(AND(COUNTBLANK('3B-Prestaties vloeren'!$F$3:$H$24)=0,COUNTBLANK('3B-Prestaties vloeren'!$L$3:$M$24)=0),IF(R171="Sprayen/conserveren",I171/VLOOKUP(E171,'3B-Prestaties vloeren'!$A$3:$M$24,12,FALSE),0)*(P171-1),0)</f>
        <v>0</v>
      </c>
      <c r="U171" s="386">
        <f>IF(AND(COUNTBLANK('3B-Prestaties vloeren'!$F$3:$H$24)=0,COUNTBLANK('3B-Prestaties vloeren'!$L$3:$M$24)=0),IF(R171="Sprayen/conserveren",I171/VLOOKUP(E171,'3B-Prestaties vloeren'!$A$3:$M$24,13,FALSE),0),0)</f>
        <v>0</v>
      </c>
      <c r="V171" s="386">
        <f>IF(AND(COUNTBLANK('3B-Prestaties vloeren'!$F$3:$H$24)=0,COUNTBLANK('3B-Prestaties vloeren'!$L$3:$M$24)=0),IF(R171="schrobben",I171/VLOOKUP(E171,'3B-Prestaties vloeren'!$A$3:$H$24,6,FALSE),0)*P171,0)</f>
        <v>0</v>
      </c>
      <c r="W171" s="386">
        <f>IF(AND(COUNTBLANK('3B-Prestaties vloeren'!$F$3:$H$24)=0,COUNTBLANK('3B-Prestaties vloeren'!$L$3:$M$24)=0),IF(R171="sproei-extractie",I171/VLOOKUP(E171,'3B-Prestaties vloeren'!$A$3:$H$24,8,FALSE),0)*P171,0)</f>
        <v>0</v>
      </c>
    </row>
    <row r="172" spans="1:23" ht="15" hidden="1">
      <c r="A172" s="378" t="s">
        <v>677</v>
      </c>
      <c r="B172" s="378" t="s">
        <v>678</v>
      </c>
      <c r="C172" s="378">
        <v>0</v>
      </c>
      <c r="D172" s="378" t="s">
        <v>288</v>
      </c>
      <c r="E172" s="378" t="s">
        <v>334</v>
      </c>
      <c r="F172" s="378" t="s">
        <v>647</v>
      </c>
      <c r="G172" s="378" t="str">
        <f>VLOOKUP(F172,'3B-Prestaties vloeren'!$A$28:$B$118,2,0)</f>
        <v>Hard onbehandeld</v>
      </c>
      <c r="H172" s="378"/>
      <c r="I172" s="378">
        <v>27.2</v>
      </c>
      <c r="J172" s="420" t="s">
        <v>749</v>
      </c>
      <c r="K172" s="426">
        <v>255</v>
      </c>
      <c r="L172" s="378">
        <f t="shared" si="6"/>
        <v>6936</v>
      </c>
      <c r="M172" s="380" t="str">
        <f>IF(K172=0,0,IF(COUNTBLANK('3A-Prestatie'!$B$2:$I$22)=0,L172/VLOOKUP(E172,'3A-Prestatie'!$A$1:$M$22,VLOOKUP(K172,'3A-Prestatie'!$A$28:$B$34,2,FALSE),FALSE),"3A prestatie invullen"))</f>
        <v>3A prestatie invullen</v>
      </c>
      <c r="N172" s="380">
        <f t="shared" si="8"/>
        <v>0</v>
      </c>
      <c r="O172" s="381" t="str">
        <f>VLOOKUP(E172,'3A-Prestatie'!A:M,13,FALSE)</f>
        <v>V</v>
      </c>
      <c r="P172" s="382">
        <f>IF(R172="Niet van toepassing",0,VLOOKUP(E172,'3B-Prestaties vloeren'!$A$3:$D$24,IF(G172="Hard onbehandeld",2,IF(G172="Hard behandeld",3,4)),FALSE))</f>
        <v>12</v>
      </c>
      <c r="Q172" s="383">
        <f t="shared" si="7"/>
        <v>0</v>
      </c>
      <c r="R172" s="384" t="str">
        <f>IF(K172=0,"Niet van toepassing",IF(G172='3B-Prestaties vloeren'!$B$2,"Schrobben",IF(G172='3B-Prestaties vloeren'!$C$2,"Sprayen/conserveren",IF(G172='3B-Prestaties vloeren'!$D$2,"Sproei-extractie",0))))</f>
        <v>Schrobben</v>
      </c>
      <c r="S172" s="385">
        <f>IF('2-Tarieven'!$B$28=0,0,IF(M172=0,0,'2-Tarieven'!$B$28*M172))</f>
        <v>0</v>
      </c>
      <c r="T172" s="386">
        <f>IF(AND(COUNTBLANK('3B-Prestaties vloeren'!$F$3:$H$24)=0,COUNTBLANK('3B-Prestaties vloeren'!$L$3:$M$24)=0),IF(R172="Sprayen/conserveren",I172/VLOOKUP(E172,'3B-Prestaties vloeren'!$A$3:$M$24,12,FALSE),0)*(P172-1),0)</f>
        <v>0</v>
      </c>
      <c r="U172" s="386">
        <f>IF(AND(COUNTBLANK('3B-Prestaties vloeren'!$F$3:$H$24)=0,COUNTBLANK('3B-Prestaties vloeren'!$L$3:$M$24)=0),IF(R172="Sprayen/conserveren",I172/VLOOKUP(E172,'3B-Prestaties vloeren'!$A$3:$M$24,13,FALSE),0),0)</f>
        <v>0</v>
      </c>
      <c r="V172" s="386">
        <f>IF(AND(COUNTBLANK('3B-Prestaties vloeren'!$F$3:$H$24)=0,COUNTBLANK('3B-Prestaties vloeren'!$L$3:$M$24)=0),IF(R172="schrobben",I172/VLOOKUP(E172,'3B-Prestaties vloeren'!$A$3:$H$24,6,FALSE),0)*P172,0)</f>
        <v>0</v>
      </c>
      <c r="W172" s="386">
        <f>IF(AND(COUNTBLANK('3B-Prestaties vloeren'!$F$3:$H$24)=0,COUNTBLANK('3B-Prestaties vloeren'!$L$3:$M$24)=0),IF(R172="sproei-extractie",I172/VLOOKUP(E172,'3B-Prestaties vloeren'!$A$3:$H$24,8,FALSE),0)*P172,0)</f>
        <v>0</v>
      </c>
    </row>
    <row r="173" spans="1:23" ht="15" hidden="1">
      <c r="A173" s="378" t="s">
        <v>677</v>
      </c>
      <c r="B173" s="378" t="s">
        <v>678</v>
      </c>
      <c r="C173" s="378">
        <v>0</v>
      </c>
      <c r="D173" s="378" t="s">
        <v>289</v>
      </c>
      <c r="E173" s="378" t="s">
        <v>728</v>
      </c>
      <c r="F173" s="378" t="s">
        <v>648</v>
      </c>
      <c r="G173" s="378" t="str">
        <f>VLOOKUP(F173,'3B-Prestaties vloeren'!$A$28:$B$118,2,0)</f>
        <v>Hard onbehandeld</v>
      </c>
      <c r="H173" s="378" t="s">
        <v>467</v>
      </c>
      <c r="I173" s="378">
        <v>118.1</v>
      </c>
      <c r="J173" s="419"/>
      <c r="K173" s="426">
        <v>0</v>
      </c>
      <c r="L173" s="378">
        <f t="shared" si="6"/>
        <v>0</v>
      </c>
      <c r="M173" s="380">
        <f>IF(K173=0,0,IF(COUNTBLANK('3A-Prestatie'!$B$2:$I$22)=0,L173/VLOOKUP(E173,'3A-Prestatie'!$A$1:$M$22,VLOOKUP(K173,'3A-Prestatie'!$A$28:$B$34,2,FALSE),FALSE),"3A prestatie invullen"))</f>
        <v>0</v>
      </c>
      <c r="N173" s="380">
        <f t="shared" si="8"/>
        <v>0</v>
      </c>
      <c r="O173" s="381" t="str">
        <f>VLOOKUP(E173,'3A-Prestatie'!A:M,13,FALSE)</f>
        <v>N.v.t.</v>
      </c>
      <c r="P173" s="382">
        <f>IF(R173="Niet van toepassing",0,VLOOKUP(E173,'3B-Prestaties vloeren'!$A$3:$D$24,IF(G173="Hard onbehandeld",2,IF(G173="Hard behandeld",3,4)),FALSE))</f>
        <v>0</v>
      </c>
      <c r="Q173" s="383">
        <f t="shared" si="7"/>
        <v>0</v>
      </c>
      <c r="R173" s="384" t="str">
        <f>IF(K173=0,"Niet van toepassing",IF(G173='3B-Prestaties vloeren'!$B$2,"Schrobben",IF(G173='3B-Prestaties vloeren'!$C$2,"Sprayen/conserveren",IF(G173='3B-Prestaties vloeren'!$D$2,"Sproei-extractie",0))))</f>
        <v>Niet van toepassing</v>
      </c>
      <c r="S173" s="385">
        <f>IF('2-Tarieven'!$B$28=0,0,IF(M173=0,0,'2-Tarieven'!$B$28*M173))</f>
        <v>0</v>
      </c>
      <c r="T173" s="386">
        <f>IF(AND(COUNTBLANK('3B-Prestaties vloeren'!$F$3:$H$24)=0,COUNTBLANK('3B-Prestaties vloeren'!$L$3:$M$24)=0),IF(R173="Sprayen/conserveren",I173/VLOOKUP(E173,'3B-Prestaties vloeren'!$A$3:$M$24,12,FALSE),0)*(P173-1),0)</f>
        <v>0</v>
      </c>
      <c r="U173" s="386">
        <f>IF(AND(COUNTBLANK('3B-Prestaties vloeren'!$F$3:$H$24)=0,COUNTBLANK('3B-Prestaties vloeren'!$L$3:$M$24)=0),IF(R173="Sprayen/conserveren",I173/VLOOKUP(E173,'3B-Prestaties vloeren'!$A$3:$M$24,13,FALSE),0),0)</f>
        <v>0</v>
      </c>
      <c r="V173" s="386">
        <f>IF(AND(COUNTBLANK('3B-Prestaties vloeren'!$F$3:$H$24)=0,COUNTBLANK('3B-Prestaties vloeren'!$L$3:$M$24)=0),IF(R173="schrobben",I173/VLOOKUP(E173,'3B-Prestaties vloeren'!$A$3:$H$24,6,FALSE),0)*P173,0)</f>
        <v>0</v>
      </c>
      <c r="W173" s="386">
        <f>IF(AND(COUNTBLANK('3B-Prestaties vloeren'!$F$3:$H$24)=0,COUNTBLANK('3B-Prestaties vloeren'!$L$3:$M$24)=0),IF(R173="sproei-extractie",I173/VLOOKUP(E173,'3B-Prestaties vloeren'!$A$3:$H$24,8,FALSE),0)*P173,0)</f>
        <v>0</v>
      </c>
    </row>
    <row r="174" spans="1:23" ht="15" hidden="1">
      <c r="A174" s="378" t="s">
        <v>677</v>
      </c>
      <c r="B174" s="378" t="s">
        <v>678</v>
      </c>
      <c r="C174" s="378">
        <v>0</v>
      </c>
      <c r="D174" s="378" t="s">
        <v>290</v>
      </c>
      <c r="E174" s="378" t="s">
        <v>728</v>
      </c>
      <c r="F174" s="378" t="s">
        <v>648</v>
      </c>
      <c r="G174" s="378" t="str">
        <f>VLOOKUP(F174,'3B-Prestaties vloeren'!$A$28:$B$118,2,0)</f>
        <v>Hard onbehandeld</v>
      </c>
      <c r="H174" s="378" t="s">
        <v>467</v>
      </c>
      <c r="I174" s="378">
        <v>100</v>
      </c>
      <c r="J174" s="419"/>
      <c r="K174" s="426">
        <v>0</v>
      </c>
      <c r="L174" s="378">
        <f t="shared" si="6"/>
        <v>0</v>
      </c>
      <c r="M174" s="380">
        <f>IF(K174=0,0,IF(COUNTBLANK('3A-Prestatie'!$B$2:$I$22)=0,L174/VLOOKUP(E174,'3A-Prestatie'!$A$1:$M$22,VLOOKUP(K174,'3A-Prestatie'!$A$28:$B$34,2,FALSE),FALSE),"3A prestatie invullen"))</f>
        <v>0</v>
      </c>
      <c r="N174" s="380">
        <f t="shared" si="8"/>
        <v>0</v>
      </c>
      <c r="O174" s="381" t="str">
        <f>VLOOKUP(E174,'3A-Prestatie'!A:M,13,FALSE)</f>
        <v>N.v.t.</v>
      </c>
      <c r="P174" s="382">
        <f>IF(R174="Niet van toepassing",0,VLOOKUP(E174,'3B-Prestaties vloeren'!$A$3:$D$24,IF(G174="Hard onbehandeld",2,IF(G174="Hard behandeld",3,4)),FALSE))</f>
        <v>0</v>
      </c>
      <c r="Q174" s="383">
        <f t="shared" si="7"/>
        <v>0</v>
      </c>
      <c r="R174" s="384" t="str">
        <f>IF(K174=0,"Niet van toepassing",IF(G174='3B-Prestaties vloeren'!$B$2,"Schrobben",IF(G174='3B-Prestaties vloeren'!$C$2,"Sprayen/conserveren",IF(G174='3B-Prestaties vloeren'!$D$2,"Sproei-extractie",0))))</f>
        <v>Niet van toepassing</v>
      </c>
      <c r="S174" s="385">
        <f>IF('2-Tarieven'!$B$28=0,0,IF(M174=0,0,'2-Tarieven'!$B$28*M174))</f>
        <v>0</v>
      </c>
      <c r="T174" s="386">
        <f>IF(AND(COUNTBLANK('3B-Prestaties vloeren'!$F$3:$H$24)=0,COUNTBLANK('3B-Prestaties vloeren'!$L$3:$M$24)=0),IF(R174="Sprayen/conserveren",I174/VLOOKUP(E174,'3B-Prestaties vloeren'!$A$3:$M$24,12,FALSE),0)*(P174-1),0)</f>
        <v>0</v>
      </c>
      <c r="U174" s="386">
        <f>IF(AND(COUNTBLANK('3B-Prestaties vloeren'!$F$3:$H$24)=0,COUNTBLANK('3B-Prestaties vloeren'!$L$3:$M$24)=0),IF(R174="Sprayen/conserveren",I174/VLOOKUP(E174,'3B-Prestaties vloeren'!$A$3:$M$24,13,FALSE),0),0)</f>
        <v>0</v>
      </c>
      <c r="V174" s="386">
        <f>IF(AND(COUNTBLANK('3B-Prestaties vloeren'!$F$3:$H$24)=0,COUNTBLANK('3B-Prestaties vloeren'!$L$3:$M$24)=0),IF(R174="schrobben",I174/VLOOKUP(E174,'3B-Prestaties vloeren'!$A$3:$H$24,6,FALSE),0)*P174,0)</f>
        <v>0</v>
      </c>
      <c r="W174" s="386">
        <f>IF(AND(COUNTBLANK('3B-Prestaties vloeren'!$F$3:$H$24)=0,COUNTBLANK('3B-Prestaties vloeren'!$L$3:$M$24)=0),IF(R174="sproei-extractie",I174/VLOOKUP(E174,'3B-Prestaties vloeren'!$A$3:$H$24,8,FALSE),0)*P174,0)</f>
        <v>0</v>
      </c>
    </row>
    <row r="175" spans="1:23" ht="15" hidden="1">
      <c r="A175" s="378" t="s">
        <v>677</v>
      </c>
      <c r="B175" s="378" t="s">
        <v>678</v>
      </c>
      <c r="C175" s="378">
        <v>0</v>
      </c>
      <c r="D175" s="378" t="s">
        <v>290</v>
      </c>
      <c r="E175" s="378" t="s">
        <v>728</v>
      </c>
      <c r="F175" s="378" t="s">
        <v>648</v>
      </c>
      <c r="G175" s="378" t="str">
        <f>VLOOKUP(F175,'3B-Prestaties vloeren'!$A$28:$B$118,2,0)</f>
        <v>Hard onbehandeld</v>
      </c>
      <c r="H175" s="378" t="s">
        <v>467</v>
      </c>
      <c r="I175" s="378">
        <v>15.3</v>
      </c>
      <c r="J175" s="419"/>
      <c r="K175" s="426">
        <v>0</v>
      </c>
      <c r="L175" s="378">
        <f t="shared" si="6"/>
        <v>0</v>
      </c>
      <c r="M175" s="380">
        <f>IF(K175=0,0,IF(COUNTBLANK('3A-Prestatie'!$B$2:$I$22)=0,L175/VLOOKUP(E175,'3A-Prestatie'!$A$1:$M$22,VLOOKUP(K175,'3A-Prestatie'!$A$28:$B$34,2,FALSE),FALSE),"3A prestatie invullen"))</f>
        <v>0</v>
      </c>
      <c r="N175" s="380">
        <f t="shared" si="8"/>
        <v>0</v>
      </c>
      <c r="O175" s="381" t="str">
        <f>VLOOKUP(E175,'3A-Prestatie'!A:M,13,FALSE)</f>
        <v>N.v.t.</v>
      </c>
      <c r="P175" s="382">
        <f>IF(R175="Niet van toepassing",0,VLOOKUP(E175,'3B-Prestaties vloeren'!$A$3:$D$24,IF(G175="Hard onbehandeld",2,IF(G175="Hard behandeld",3,4)),FALSE))</f>
        <v>0</v>
      </c>
      <c r="Q175" s="383">
        <f t="shared" si="7"/>
        <v>0</v>
      </c>
      <c r="R175" s="384" t="str">
        <f>IF(K175=0,"Niet van toepassing",IF(G175='3B-Prestaties vloeren'!$B$2,"Schrobben",IF(G175='3B-Prestaties vloeren'!$C$2,"Sprayen/conserveren",IF(G175='3B-Prestaties vloeren'!$D$2,"Sproei-extractie",0))))</f>
        <v>Niet van toepassing</v>
      </c>
      <c r="S175" s="385">
        <f>IF('2-Tarieven'!$B$28=0,0,IF(M175=0,0,'2-Tarieven'!$B$28*M175))</f>
        <v>0</v>
      </c>
      <c r="T175" s="386">
        <f>IF(AND(COUNTBLANK('3B-Prestaties vloeren'!$F$3:$H$24)=0,COUNTBLANK('3B-Prestaties vloeren'!$L$3:$M$24)=0),IF(R175="Sprayen/conserveren",I175/VLOOKUP(E175,'3B-Prestaties vloeren'!$A$3:$M$24,12,FALSE),0)*(P175-1),0)</f>
        <v>0</v>
      </c>
      <c r="U175" s="386">
        <f>IF(AND(COUNTBLANK('3B-Prestaties vloeren'!$F$3:$H$24)=0,COUNTBLANK('3B-Prestaties vloeren'!$L$3:$M$24)=0),IF(R175="Sprayen/conserveren",I175/VLOOKUP(E175,'3B-Prestaties vloeren'!$A$3:$M$24,13,FALSE),0),0)</f>
        <v>0</v>
      </c>
      <c r="V175" s="386">
        <f>IF(AND(COUNTBLANK('3B-Prestaties vloeren'!$F$3:$H$24)=0,COUNTBLANK('3B-Prestaties vloeren'!$L$3:$M$24)=0),IF(R175="schrobben",I175/VLOOKUP(E175,'3B-Prestaties vloeren'!$A$3:$H$24,6,FALSE),0)*P175,0)</f>
        <v>0</v>
      </c>
      <c r="W175" s="386">
        <f>IF(AND(COUNTBLANK('3B-Prestaties vloeren'!$F$3:$H$24)=0,COUNTBLANK('3B-Prestaties vloeren'!$L$3:$M$24)=0),IF(R175="sproei-extractie",I175/VLOOKUP(E175,'3B-Prestaties vloeren'!$A$3:$H$24,8,FALSE),0)*P175,0)</f>
        <v>0</v>
      </c>
    </row>
    <row r="176" spans="1:23" ht="15" hidden="1">
      <c r="A176" s="378" t="s">
        <v>677</v>
      </c>
      <c r="B176" s="378" t="s">
        <v>678</v>
      </c>
      <c r="C176" s="378">
        <v>0</v>
      </c>
      <c r="D176" s="378" t="s">
        <v>291</v>
      </c>
      <c r="E176" s="378" t="s">
        <v>728</v>
      </c>
      <c r="F176" s="378" t="s">
        <v>648</v>
      </c>
      <c r="G176" s="378" t="str">
        <f>VLOOKUP(F176,'3B-Prestaties vloeren'!$A$28:$B$118,2,0)</f>
        <v>Hard onbehandeld</v>
      </c>
      <c r="H176" s="378" t="s">
        <v>467</v>
      </c>
      <c r="I176" s="378">
        <v>1716.2</v>
      </c>
      <c r="J176" s="419"/>
      <c r="K176" s="426">
        <v>0</v>
      </c>
      <c r="L176" s="378">
        <f t="shared" si="6"/>
        <v>0</v>
      </c>
      <c r="M176" s="380">
        <f>IF(K176=0,0,IF(COUNTBLANK('3A-Prestatie'!$B$2:$I$22)=0,L176/VLOOKUP(E176,'3A-Prestatie'!$A$1:$M$22,VLOOKUP(K176,'3A-Prestatie'!$A$28:$B$34,2,FALSE),FALSE),"3A prestatie invullen"))</f>
        <v>0</v>
      </c>
      <c r="N176" s="380">
        <f t="shared" si="8"/>
        <v>0</v>
      </c>
      <c r="O176" s="381" t="str">
        <f>VLOOKUP(E176,'3A-Prestatie'!A:M,13,FALSE)</f>
        <v>N.v.t.</v>
      </c>
      <c r="P176" s="382">
        <f>IF(R176="Niet van toepassing",0,VLOOKUP(E176,'3B-Prestaties vloeren'!$A$3:$D$24,IF(G176="Hard onbehandeld",2,IF(G176="Hard behandeld",3,4)),FALSE))</f>
        <v>0</v>
      </c>
      <c r="Q176" s="383">
        <f t="shared" si="7"/>
        <v>0</v>
      </c>
      <c r="R176" s="384" t="str">
        <f>IF(K176=0,"Niet van toepassing",IF(G176='3B-Prestaties vloeren'!$B$2,"Schrobben",IF(G176='3B-Prestaties vloeren'!$C$2,"Sprayen/conserveren",IF(G176='3B-Prestaties vloeren'!$D$2,"Sproei-extractie",0))))</f>
        <v>Niet van toepassing</v>
      </c>
      <c r="S176" s="385">
        <f>IF('2-Tarieven'!$B$28=0,0,IF(M176=0,0,'2-Tarieven'!$B$28*M176))</f>
        <v>0</v>
      </c>
      <c r="T176" s="386">
        <f>IF(AND(COUNTBLANK('3B-Prestaties vloeren'!$F$3:$H$24)=0,COUNTBLANK('3B-Prestaties vloeren'!$L$3:$M$24)=0),IF(R176="Sprayen/conserveren",I176/VLOOKUP(E176,'3B-Prestaties vloeren'!$A$3:$M$24,12,FALSE),0)*(P176-1),0)</f>
        <v>0</v>
      </c>
      <c r="U176" s="386">
        <f>IF(AND(COUNTBLANK('3B-Prestaties vloeren'!$F$3:$H$24)=0,COUNTBLANK('3B-Prestaties vloeren'!$L$3:$M$24)=0),IF(R176="Sprayen/conserveren",I176/VLOOKUP(E176,'3B-Prestaties vloeren'!$A$3:$M$24,13,FALSE),0),0)</f>
        <v>0</v>
      </c>
      <c r="V176" s="386">
        <f>IF(AND(COUNTBLANK('3B-Prestaties vloeren'!$F$3:$H$24)=0,COUNTBLANK('3B-Prestaties vloeren'!$L$3:$M$24)=0),IF(R176="schrobben",I176/VLOOKUP(E176,'3B-Prestaties vloeren'!$A$3:$H$24,6,FALSE),0)*P176,0)</f>
        <v>0</v>
      </c>
      <c r="W176" s="386">
        <f>IF(AND(COUNTBLANK('3B-Prestaties vloeren'!$F$3:$H$24)=0,COUNTBLANK('3B-Prestaties vloeren'!$L$3:$M$24)=0),IF(R176="sproei-extractie",I176/VLOOKUP(E176,'3B-Prestaties vloeren'!$A$3:$H$24,8,FALSE),0)*P176,0)</f>
        <v>0</v>
      </c>
    </row>
    <row r="177" spans="1:23" ht="15" hidden="1">
      <c r="A177" s="378" t="s">
        <v>677</v>
      </c>
      <c r="B177" s="378" t="s">
        <v>678</v>
      </c>
      <c r="C177" s="378">
        <v>0</v>
      </c>
      <c r="D177" s="378" t="s">
        <v>292</v>
      </c>
      <c r="E177" s="378" t="s">
        <v>334</v>
      </c>
      <c r="F177" s="378" t="s">
        <v>65</v>
      </c>
      <c r="G177" s="378" t="str">
        <f>VLOOKUP(F177,'3B-Prestaties vloeren'!$A$28:$B$118,2,0)</f>
        <v>Zacht onbehandeld</v>
      </c>
      <c r="H177" s="378"/>
      <c r="I177" s="378">
        <v>11.37</v>
      </c>
      <c r="J177" s="420" t="s">
        <v>749</v>
      </c>
      <c r="K177" s="426">
        <v>52</v>
      </c>
      <c r="L177" s="378">
        <f t="shared" si="6"/>
        <v>591.24</v>
      </c>
      <c r="M177" s="380" t="str">
        <f>IF(K177=0,0,IF(COUNTBLANK('3A-Prestatie'!$B$2:$I$22)=0,L177/VLOOKUP(E177,'3A-Prestatie'!$A$1:$M$22,VLOOKUP(K177,'3A-Prestatie'!$A$28:$B$34,2,FALSE),FALSE),"3A prestatie invullen"))</f>
        <v>3A prestatie invullen</v>
      </c>
      <c r="N177" s="380">
        <f t="shared" si="8"/>
        <v>0</v>
      </c>
      <c r="O177" s="381" t="str">
        <f>VLOOKUP(E177,'3A-Prestatie'!A:M,13,FALSE)</f>
        <v>V</v>
      </c>
      <c r="P177" s="382">
        <f>IF(R177="Niet van toepassing",0,VLOOKUP(E177,'3B-Prestaties vloeren'!$A$3:$D$24,IF(G177="Hard onbehandeld",2,IF(G177="Hard behandeld",3,4)),FALSE))</f>
        <v>1</v>
      </c>
      <c r="Q177" s="383">
        <f t="shared" si="7"/>
        <v>0</v>
      </c>
      <c r="R177" s="384" t="str">
        <f>IF(K177=0,"Niet van toepassing",IF(G177='3B-Prestaties vloeren'!$B$2,"Schrobben",IF(G177='3B-Prestaties vloeren'!$C$2,"Sprayen/conserveren",IF(G177='3B-Prestaties vloeren'!$D$2,"Sproei-extractie",0))))</f>
        <v>Sproei-extractie</v>
      </c>
      <c r="S177" s="385">
        <f>IF('2-Tarieven'!$B$28=0,0,IF(M177=0,0,'2-Tarieven'!$B$28*M177))</f>
        <v>0</v>
      </c>
      <c r="T177" s="386">
        <f>IF(AND(COUNTBLANK('3B-Prestaties vloeren'!$F$3:$H$24)=0,COUNTBLANK('3B-Prestaties vloeren'!$L$3:$M$24)=0),IF(R177="Sprayen/conserveren",I177/VLOOKUP(E177,'3B-Prestaties vloeren'!$A$3:$M$24,12,FALSE),0)*(P177-1),0)</f>
        <v>0</v>
      </c>
      <c r="U177" s="386">
        <f>IF(AND(COUNTBLANK('3B-Prestaties vloeren'!$F$3:$H$24)=0,COUNTBLANK('3B-Prestaties vloeren'!$L$3:$M$24)=0),IF(R177="Sprayen/conserveren",I177/VLOOKUP(E177,'3B-Prestaties vloeren'!$A$3:$M$24,13,FALSE),0),0)</f>
        <v>0</v>
      </c>
      <c r="V177" s="386">
        <f>IF(AND(COUNTBLANK('3B-Prestaties vloeren'!$F$3:$H$24)=0,COUNTBLANK('3B-Prestaties vloeren'!$L$3:$M$24)=0),IF(R177="schrobben",I177/VLOOKUP(E177,'3B-Prestaties vloeren'!$A$3:$H$24,6,FALSE),0)*P177,0)</f>
        <v>0</v>
      </c>
      <c r="W177" s="386">
        <f>IF(AND(COUNTBLANK('3B-Prestaties vloeren'!$F$3:$H$24)=0,COUNTBLANK('3B-Prestaties vloeren'!$L$3:$M$24)=0),IF(R177="sproei-extractie",I177/VLOOKUP(E177,'3B-Prestaties vloeren'!$A$3:$H$24,8,FALSE),0)*P177,0)</f>
        <v>0</v>
      </c>
    </row>
    <row r="178" spans="1:23" ht="15" hidden="1">
      <c r="A178" s="378" t="s">
        <v>677</v>
      </c>
      <c r="B178" s="378" t="s">
        <v>678</v>
      </c>
      <c r="C178" s="378">
        <v>0</v>
      </c>
      <c r="D178" s="378" t="s">
        <v>293</v>
      </c>
      <c r="E178" s="378" t="s">
        <v>653</v>
      </c>
      <c r="F178" s="378" t="s">
        <v>647</v>
      </c>
      <c r="G178" s="378" t="str">
        <f>VLOOKUP(F178,'3B-Prestaties vloeren'!$A$28:$B$118,2,0)</f>
        <v>Hard onbehandeld</v>
      </c>
      <c r="H178" s="378" t="s">
        <v>330</v>
      </c>
      <c r="I178" s="378">
        <v>2.2000000000000002</v>
      </c>
      <c r="J178" s="421" t="s">
        <v>511</v>
      </c>
      <c r="K178" s="426">
        <v>255</v>
      </c>
      <c r="L178" s="378">
        <f t="shared" si="6"/>
        <v>561</v>
      </c>
      <c r="M178" s="380" t="str">
        <f>IF(K178=0,0,IF(COUNTBLANK('3A-Prestatie'!$B$2:$I$22)=0,L178/VLOOKUP(E178,'3A-Prestatie'!$A$1:$M$22,VLOOKUP(K178,'3A-Prestatie'!$A$28:$B$34,2,FALSE),FALSE),"3A prestatie invullen"))</f>
        <v>3A prestatie invullen</v>
      </c>
      <c r="N178" s="380">
        <f t="shared" si="8"/>
        <v>0</v>
      </c>
      <c r="O178" s="381" t="str">
        <f>VLOOKUP(E178,'3A-Prestatie'!A:M,13,FALSE)</f>
        <v>S</v>
      </c>
      <c r="P178" s="382">
        <f>IF(R178="Niet van toepassing",0,VLOOKUP(E178,'3B-Prestaties vloeren'!$A$3:$D$24,IF(G178="Hard onbehandeld",2,IF(G178="Hard behandeld",3,4)),FALSE))</f>
        <v>52</v>
      </c>
      <c r="Q178" s="383">
        <f t="shared" si="7"/>
        <v>0</v>
      </c>
      <c r="R178" s="384" t="str">
        <f>IF(K178=0,"Niet van toepassing",IF(G178='3B-Prestaties vloeren'!$B$2,"Schrobben",IF(G178='3B-Prestaties vloeren'!$C$2,"Sprayen/conserveren",IF(G178='3B-Prestaties vloeren'!$D$2,"Sproei-extractie",0))))</f>
        <v>Schrobben</v>
      </c>
      <c r="S178" s="385">
        <f>IF('2-Tarieven'!$B$28=0,0,IF(M178=0,0,'2-Tarieven'!$B$28*M178))</f>
        <v>0</v>
      </c>
      <c r="T178" s="386">
        <f>IF(AND(COUNTBLANK('3B-Prestaties vloeren'!$F$3:$H$24)=0,COUNTBLANK('3B-Prestaties vloeren'!$L$3:$M$24)=0),IF(R178="Sprayen/conserveren",I178/VLOOKUP(E178,'3B-Prestaties vloeren'!$A$3:$M$24,12,FALSE),0)*(P178-1),0)</f>
        <v>0</v>
      </c>
      <c r="U178" s="386">
        <f>IF(AND(COUNTBLANK('3B-Prestaties vloeren'!$F$3:$H$24)=0,COUNTBLANK('3B-Prestaties vloeren'!$L$3:$M$24)=0),IF(R178="Sprayen/conserveren",I178/VLOOKUP(E178,'3B-Prestaties vloeren'!$A$3:$M$24,13,FALSE),0),0)</f>
        <v>0</v>
      </c>
      <c r="V178" s="386">
        <f>IF(AND(COUNTBLANK('3B-Prestaties vloeren'!$F$3:$H$24)=0,COUNTBLANK('3B-Prestaties vloeren'!$L$3:$M$24)=0),IF(R178="schrobben",I178/VLOOKUP(E178,'3B-Prestaties vloeren'!$A$3:$H$24,6,FALSE),0)*P178,0)</f>
        <v>0</v>
      </c>
      <c r="W178" s="386">
        <f>IF(AND(COUNTBLANK('3B-Prestaties vloeren'!$F$3:$H$24)=0,COUNTBLANK('3B-Prestaties vloeren'!$L$3:$M$24)=0),IF(R178="sproei-extractie",I178/VLOOKUP(E178,'3B-Prestaties vloeren'!$A$3:$H$24,8,FALSE),0)*P178,0)</f>
        <v>0</v>
      </c>
    </row>
    <row r="179" spans="1:23" ht="15" hidden="1">
      <c r="A179" s="378" t="s">
        <v>677</v>
      </c>
      <c r="B179" s="378" t="s">
        <v>678</v>
      </c>
      <c r="C179" s="378">
        <v>0</v>
      </c>
      <c r="D179" s="378" t="s">
        <v>294</v>
      </c>
      <c r="E179" s="378" t="s">
        <v>6</v>
      </c>
      <c r="F179" s="378" t="s">
        <v>648</v>
      </c>
      <c r="G179" s="378" t="str">
        <f>VLOOKUP(F179,'3B-Prestaties vloeren'!$A$28:$B$118,2,0)</f>
        <v>Hard onbehandeld</v>
      </c>
      <c r="H179" s="378"/>
      <c r="I179" s="378">
        <v>17.87</v>
      </c>
      <c r="J179" s="420" t="s">
        <v>749</v>
      </c>
      <c r="K179" s="426">
        <v>52</v>
      </c>
      <c r="L179" s="378">
        <f t="shared" si="6"/>
        <v>929.24</v>
      </c>
      <c r="M179" s="380" t="str">
        <f>IF(K179=0,0,IF(COUNTBLANK('3A-Prestatie'!$B$2:$I$22)=0,L179/VLOOKUP(E179,'3A-Prestatie'!$A$1:$M$22,VLOOKUP(K179,'3A-Prestatie'!$A$28:$B$34,2,FALSE),FALSE),"3A prestatie invullen"))</f>
        <v>3A prestatie invullen</v>
      </c>
      <c r="N179" s="380">
        <f t="shared" si="8"/>
        <v>0</v>
      </c>
      <c r="O179" s="381" t="str">
        <f>VLOOKUP(E179,'3A-Prestatie'!A:M,13,FALSE)</f>
        <v>V</v>
      </c>
      <c r="P179" s="382">
        <f>IF(R179="Niet van toepassing",0,VLOOKUP(E179,'3B-Prestaties vloeren'!$A$3:$D$24,IF(G179="Hard onbehandeld",2,IF(G179="Hard behandeld",3,4)),FALSE))</f>
        <v>4</v>
      </c>
      <c r="Q179" s="383">
        <f t="shared" si="7"/>
        <v>0</v>
      </c>
      <c r="R179" s="384" t="str">
        <f>IF(K179=0,"Niet van toepassing",IF(G179='3B-Prestaties vloeren'!$B$2,"Schrobben",IF(G179='3B-Prestaties vloeren'!$C$2,"Sprayen/conserveren",IF(G179='3B-Prestaties vloeren'!$D$2,"Sproei-extractie",0))))</f>
        <v>Schrobben</v>
      </c>
      <c r="S179" s="385">
        <f>IF('2-Tarieven'!$B$28=0,0,IF(M179=0,0,'2-Tarieven'!$B$28*M179))</f>
        <v>0</v>
      </c>
      <c r="T179" s="386">
        <f>IF(AND(COUNTBLANK('3B-Prestaties vloeren'!$F$3:$H$24)=0,COUNTBLANK('3B-Prestaties vloeren'!$L$3:$M$24)=0),IF(R179="Sprayen/conserveren",I179/VLOOKUP(E179,'3B-Prestaties vloeren'!$A$3:$M$24,12,FALSE),0)*(P179-1),0)</f>
        <v>0</v>
      </c>
      <c r="U179" s="386">
        <f>IF(AND(COUNTBLANK('3B-Prestaties vloeren'!$F$3:$H$24)=0,COUNTBLANK('3B-Prestaties vloeren'!$L$3:$M$24)=0),IF(R179="Sprayen/conserveren",I179/VLOOKUP(E179,'3B-Prestaties vloeren'!$A$3:$M$24,13,FALSE),0),0)</f>
        <v>0</v>
      </c>
      <c r="V179" s="386">
        <f>IF(AND(COUNTBLANK('3B-Prestaties vloeren'!$F$3:$H$24)=0,COUNTBLANK('3B-Prestaties vloeren'!$L$3:$M$24)=0),IF(R179="schrobben",I179/VLOOKUP(E179,'3B-Prestaties vloeren'!$A$3:$H$24,6,FALSE),0)*P179,0)</f>
        <v>0</v>
      </c>
      <c r="W179" s="386">
        <f>IF(AND(COUNTBLANK('3B-Prestaties vloeren'!$F$3:$H$24)=0,COUNTBLANK('3B-Prestaties vloeren'!$L$3:$M$24)=0),IF(R179="sproei-extractie",I179/VLOOKUP(E179,'3B-Prestaties vloeren'!$A$3:$H$24,8,FALSE),0)*P179,0)</f>
        <v>0</v>
      </c>
    </row>
    <row r="180" spans="1:23" ht="15" hidden="1">
      <c r="A180" s="378" t="s">
        <v>677</v>
      </c>
      <c r="B180" s="378" t="s">
        <v>678</v>
      </c>
      <c r="C180" s="378">
        <v>0</v>
      </c>
      <c r="D180" s="378" t="s">
        <v>295</v>
      </c>
      <c r="E180" s="378" t="s">
        <v>5</v>
      </c>
      <c r="F180" s="378" t="s">
        <v>64</v>
      </c>
      <c r="G180" s="378" t="str">
        <f>VLOOKUP(F180,'3B-Prestaties vloeren'!$A$28:$B$118,2,0)</f>
        <v>Hard behandeld</v>
      </c>
      <c r="H180" s="378"/>
      <c r="I180" s="378">
        <v>38.590000000000003</v>
      </c>
      <c r="J180" s="420" t="s">
        <v>749</v>
      </c>
      <c r="K180" s="426">
        <v>52</v>
      </c>
      <c r="L180" s="378">
        <f t="shared" si="6"/>
        <v>2006.6800000000003</v>
      </c>
      <c r="M180" s="380" t="str">
        <f>IF(K180=0,0,IF(COUNTBLANK('3A-Prestatie'!$B$2:$I$22)=0,L180/VLOOKUP(E180,'3A-Prestatie'!$A$1:$M$22,VLOOKUP(K180,'3A-Prestatie'!$A$28:$B$34,2,FALSE),FALSE),"3A prestatie invullen"))</f>
        <v>3A prestatie invullen</v>
      </c>
      <c r="N180" s="380">
        <f t="shared" si="8"/>
        <v>0</v>
      </c>
      <c r="O180" s="381" t="str">
        <f>VLOOKUP(E180,'3A-Prestatie'!A:M,13,FALSE)</f>
        <v>B</v>
      </c>
      <c r="P180" s="382">
        <f>IF(R180="Niet van toepassing",0,VLOOKUP(E180,'3B-Prestaties vloeren'!$A$3:$D$24,IF(G180="Hard onbehandeld",2,IF(G180="Hard behandeld",3,4)),FALSE))</f>
        <v>4</v>
      </c>
      <c r="Q180" s="383">
        <f t="shared" si="7"/>
        <v>0</v>
      </c>
      <c r="R180" s="384" t="str">
        <f>IF(K180=0,"Niet van toepassing",IF(G180='3B-Prestaties vloeren'!$B$2,"Schrobben",IF(G180='3B-Prestaties vloeren'!$C$2,"Sprayen/conserveren",IF(G180='3B-Prestaties vloeren'!$D$2,"Sproei-extractie",0))))</f>
        <v>Sprayen/conserveren</v>
      </c>
      <c r="S180" s="385">
        <f>IF('2-Tarieven'!$B$28=0,0,IF(M180=0,0,'2-Tarieven'!$B$28*M180))</f>
        <v>0</v>
      </c>
      <c r="T180" s="386">
        <f>IF(AND(COUNTBLANK('3B-Prestaties vloeren'!$F$3:$H$24)=0,COUNTBLANK('3B-Prestaties vloeren'!$L$3:$M$24)=0),IF(R180="Sprayen/conserveren",I180/VLOOKUP(E180,'3B-Prestaties vloeren'!$A$3:$M$24,12,FALSE),0)*(P180-1),0)</f>
        <v>0</v>
      </c>
      <c r="U180" s="386">
        <f>IF(AND(COUNTBLANK('3B-Prestaties vloeren'!$F$3:$H$24)=0,COUNTBLANK('3B-Prestaties vloeren'!$L$3:$M$24)=0),IF(R180="Sprayen/conserveren",I180/VLOOKUP(E180,'3B-Prestaties vloeren'!$A$3:$M$24,13,FALSE),0),0)</f>
        <v>0</v>
      </c>
      <c r="V180" s="386">
        <f>IF(AND(COUNTBLANK('3B-Prestaties vloeren'!$F$3:$H$24)=0,COUNTBLANK('3B-Prestaties vloeren'!$L$3:$M$24)=0),IF(R180="schrobben",I180/VLOOKUP(E180,'3B-Prestaties vloeren'!$A$3:$H$24,6,FALSE),0)*P180,0)</f>
        <v>0</v>
      </c>
      <c r="W180" s="386">
        <f>IF(AND(COUNTBLANK('3B-Prestaties vloeren'!$F$3:$H$24)=0,COUNTBLANK('3B-Prestaties vloeren'!$L$3:$M$24)=0),IF(R180="sproei-extractie",I180/VLOOKUP(E180,'3B-Prestaties vloeren'!$A$3:$H$24,8,FALSE),0)*P180,0)</f>
        <v>0</v>
      </c>
    </row>
    <row r="181" spans="1:23" ht="15" hidden="1">
      <c r="A181" s="378" t="s">
        <v>677</v>
      </c>
      <c r="B181" s="378" t="s">
        <v>678</v>
      </c>
      <c r="C181" s="378">
        <v>0</v>
      </c>
      <c r="D181" s="378" t="s">
        <v>296</v>
      </c>
      <c r="E181" s="378" t="s">
        <v>474</v>
      </c>
      <c r="F181" s="378" t="s">
        <v>648</v>
      </c>
      <c r="G181" s="378" t="str">
        <f>VLOOKUP(F181,'3B-Prestaties vloeren'!$A$28:$B$118,2,0)</f>
        <v>Hard onbehandeld</v>
      </c>
      <c r="H181" s="378"/>
      <c r="I181" s="378">
        <v>30.06</v>
      </c>
      <c r="J181" s="420" t="s">
        <v>749</v>
      </c>
      <c r="K181" s="426">
        <v>52</v>
      </c>
      <c r="L181" s="378">
        <f t="shared" si="6"/>
        <v>1563.12</v>
      </c>
      <c r="M181" s="380" t="str">
        <f>IF(K181=0,0,IF(COUNTBLANK('3A-Prestatie'!$B$2:$I$22)=0,L181/VLOOKUP(E181,'3A-Prestatie'!$A$1:$M$22,VLOOKUP(K181,'3A-Prestatie'!$A$28:$B$34,2,FALSE),FALSE),"3A prestatie invullen"))</f>
        <v>3A prestatie invullen</v>
      </c>
      <c r="N181" s="380">
        <f t="shared" si="8"/>
        <v>0</v>
      </c>
      <c r="O181" s="381" t="str">
        <f>VLOOKUP(E181,'3A-Prestatie'!A:M,13,FALSE)</f>
        <v>V</v>
      </c>
      <c r="P181" s="382">
        <f>IF(R181="Niet van toepassing",0,VLOOKUP(E181,'3B-Prestaties vloeren'!$A$3:$D$24,IF(G181="Hard onbehandeld",2,IF(G181="Hard behandeld",3,4)),FALSE))</f>
        <v>4</v>
      </c>
      <c r="Q181" s="383">
        <f t="shared" si="7"/>
        <v>0</v>
      </c>
      <c r="R181" s="384" t="str">
        <f>IF(K181=0,"Niet van toepassing",IF(G181='3B-Prestaties vloeren'!$B$2,"Schrobben",IF(G181='3B-Prestaties vloeren'!$C$2,"Sprayen/conserveren",IF(G181='3B-Prestaties vloeren'!$D$2,"Sproei-extractie",0))))</f>
        <v>Schrobben</v>
      </c>
      <c r="S181" s="385">
        <f>IF('2-Tarieven'!$B$28=0,0,IF(M181=0,0,'2-Tarieven'!$B$28*M181))</f>
        <v>0</v>
      </c>
      <c r="T181" s="386">
        <f>IF(AND(COUNTBLANK('3B-Prestaties vloeren'!$F$3:$H$24)=0,COUNTBLANK('3B-Prestaties vloeren'!$L$3:$M$24)=0),IF(R181="Sprayen/conserveren",I181/VLOOKUP(E181,'3B-Prestaties vloeren'!$A$3:$M$24,12,FALSE),0)*(P181-1),0)</f>
        <v>0</v>
      </c>
      <c r="U181" s="386">
        <f>IF(AND(COUNTBLANK('3B-Prestaties vloeren'!$F$3:$H$24)=0,COUNTBLANK('3B-Prestaties vloeren'!$L$3:$M$24)=0),IF(R181="Sprayen/conserveren",I181/VLOOKUP(E181,'3B-Prestaties vloeren'!$A$3:$M$24,13,FALSE),0),0)</f>
        <v>0</v>
      </c>
      <c r="V181" s="386">
        <f>IF(AND(COUNTBLANK('3B-Prestaties vloeren'!$F$3:$H$24)=0,COUNTBLANK('3B-Prestaties vloeren'!$L$3:$M$24)=0),IF(R181="schrobben",I181/VLOOKUP(E181,'3B-Prestaties vloeren'!$A$3:$H$24,6,FALSE),0)*P181,0)</f>
        <v>0</v>
      </c>
      <c r="W181" s="386">
        <f>IF(AND(COUNTBLANK('3B-Prestaties vloeren'!$F$3:$H$24)=0,COUNTBLANK('3B-Prestaties vloeren'!$L$3:$M$24)=0),IF(R181="sproei-extractie",I181/VLOOKUP(E181,'3B-Prestaties vloeren'!$A$3:$H$24,8,FALSE),0)*P181,0)</f>
        <v>0</v>
      </c>
    </row>
    <row r="182" spans="1:23" ht="15" hidden="1">
      <c r="A182" s="378" t="s">
        <v>677</v>
      </c>
      <c r="B182" s="378" t="s">
        <v>678</v>
      </c>
      <c r="C182" s="378">
        <v>0</v>
      </c>
      <c r="D182" s="378" t="s">
        <v>297</v>
      </c>
      <c r="E182" s="378" t="s">
        <v>334</v>
      </c>
      <c r="F182" s="378" t="s">
        <v>65</v>
      </c>
      <c r="G182" s="378" t="str">
        <f>VLOOKUP(F182,'3B-Prestaties vloeren'!$A$28:$B$118,2,0)</f>
        <v>Zacht onbehandeld</v>
      </c>
      <c r="H182" s="378"/>
      <c r="I182" s="378">
        <v>3</v>
      </c>
      <c r="J182" s="420" t="s">
        <v>749</v>
      </c>
      <c r="K182" s="426">
        <v>255</v>
      </c>
      <c r="L182" s="378">
        <f t="shared" si="6"/>
        <v>765</v>
      </c>
      <c r="M182" s="380" t="str">
        <f>IF(K182=0,0,IF(COUNTBLANK('3A-Prestatie'!$B$2:$I$22)=0,L182/VLOOKUP(E182,'3A-Prestatie'!$A$1:$M$22,VLOOKUP(K182,'3A-Prestatie'!$A$28:$B$34,2,FALSE),FALSE),"3A prestatie invullen"))</f>
        <v>3A prestatie invullen</v>
      </c>
      <c r="N182" s="380">
        <f t="shared" si="8"/>
        <v>0</v>
      </c>
      <c r="O182" s="381" t="str">
        <f>VLOOKUP(E182,'3A-Prestatie'!A:M,13,FALSE)</f>
        <v>V</v>
      </c>
      <c r="P182" s="382">
        <f>IF(R182="Niet van toepassing",0,VLOOKUP(E182,'3B-Prestaties vloeren'!$A$3:$D$24,IF(G182="Hard onbehandeld",2,IF(G182="Hard behandeld",3,4)),FALSE))</f>
        <v>1</v>
      </c>
      <c r="Q182" s="383">
        <f t="shared" si="7"/>
        <v>0</v>
      </c>
      <c r="R182" s="384" t="str">
        <f>IF(K182=0,"Niet van toepassing",IF(G182='3B-Prestaties vloeren'!$B$2,"Schrobben",IF(G182='3B-Prestaties vloeren'!$C$2,"Sprayen/conserveren",IF(G182='3B-Prestaties vloeren'!$D$2,"Sproei-extractie",0))))</f>
        <v>Sproei-extractie</v>
      </c>
      <c r="S182" s="385">
        <f>IF('2-Tarieven'!$B$28=0,0,IF(M182=0,0,'2-Tarieven'!$B$28*M182))</f>
        <v>0</v>
      </c>
      <c r="T182" s="386">
        <f>IF(AND(COUNTBLANK('3B-Prestaties vloeren'!$F$3:$H$24)=0,COUNTBLANK('3B-Prestaties vloeren'!$L$3:$M$24)=0),IF(R182="Sprayen/conserveren",I182/VLOOKUP(E182,'3B-Prestaties vloeren'!$A$3:$M$24,12,FALSE),0)*(P182-1),0)</f>
        <v>0</v>
      </c>
      <c r="U182" s="386">
        <f>IF(AND(COUNTBLANK('3B-Prestaties vloeren'!$F$3:$H$24)=0,COUNTBLANK('3B-Prestaties vloeren'!$L$3:$M$24)=0),IF(R182="Sprayen/conserveren",I182/VLOOKUP(E182,'3B-Prestaties vloeren'!$A$3:$M$24,13,FALSE),0),0)</f>
        <v>0</v>
      </c>
      <c r="V182" s="386">
        <f>IF(AND(COUNTBLANK('3B-Prestaties vloeren'!$F$3:$H$24)=0,COUNTBLANK('3B-Prestaties vloeren'!$L$3:$M$24)=0),IF(R182="schrobben",I182/VLOOKUP(E182,'3B-Prestaties vloeren'!$A$3:$H$24,6,FALSE),0)*P182,0)</f>
        <v>0</v>
      </c>
      <c r="W182" s="386">
        <f>IF(AND(COUNTBLANK('3B-Prestaties vloeren'!$F$3:$H$24)=0,COUNTBLANK('3B-Prestaties vloeren'!$L$3:$M$24)=0),IF(R182="sproei-extractie",I182/VLOOKUP(E182,'3B-Prestaties vloeren'!$A$3:$H$24,8,FALSE),0)*P182,0)</f>
        <v>0</v>
      </c>
    </row>
    <row r="183" spans="1:23" ht="15" hidden="1">
      <c r="A183" s="378" t="s">
        <v>677</v>
      </c>
      <c r="B183" s="378" t="s">
        <v>678</v>
      </c>
      <c r="C183" s="378">
        <v>0</v>
      </c>
      <c r="D183" s="378" t="s">
        <v>0</v>
      </c>
      <c r="E183" s="378" t="s">
        <v>728</v>
      </c>
      <c r="F183" s="378" t="s">
        <v>648</v>
      </c>
      <c r="G183" s="378" t="str">
        <f>VLOOKUP(F183,'3B-Prestaties vloeren'!$A$28:$B$118,2,0)</f>
        <v>Hard onbehandeld</v>
      </c>
      <c r="H183" s="378" t="s">
        <v>284</v>
      </c>
      <c r="I183" s="378">
        <v>713.81</v>
      </c>
      <c r="J183" s="419"/>
      <c r="K183" s="426">
        <v>0</v>
      </c>
      <c r="L183" s="378">
        <f t="shared" si="6"/>
        <v>0</v>
      </c>
      <c r="M183" s="380">
        <f>IF(K183=0,0,IF(COUNTBLANK('3A-Prestatie'!$B$2:$I$22)=0,L183/VLOOKUP(E183,'3A-Prestatie'!$A$1:$M$22,VLOOKUP(K183,'3A-Prestatie'!$A$28:$B$34,2,FALSE),FALSE),"3A prestatie invullen"))</f>
        <v>0</v>
      </c>
      <c r="N183" s="380">
        <f t="shared" si="8"/>
        <v>0</v>
      </c>
      <c r="O183" s="381" t="str">
        <f>VLOOKUP(E183,'3A-Prestatie'!A:M,13,FALSE)</f>
        <v>N.v.t.</v>
      </c>
      <c r="P183" s="382">
        <f>IF(R183="Niet van toepassing",0,VLOOKUP(E183,'3B-Prestaties vloeren'!$A$3:$D$24,IF(G183="Hard onbehandeld",2,IF(G183="Hard behandeld",3,4)),FALSE))</f>
        <v>0</v>
      </c>
      <c r="Q183" s="383">
        <f t="shared" si="7"/>
        <v>0</v>
      </c>
      <c r="R183" s="384" t="str">
        <f>IF(K183=0,"Niet van toepassing",IF(G183='3B-Prestaties vloeren'!$B$2,"Schrobben",IF(G183='3B-Prestaties vloeren'!$C$2,"Sprayen/conserveren",IF(G183='3B-Prestaties vloeren'!$D$2,"Sproei-extractie",0))))</f>
        <v>Niet van toepassing</v>
      </c>
      <c r="S183" s="385">
        <f>IF('2-Tarieven'!$B$28=0,0,IF(M183=0,0,'2-Tarieven'!$B$28*M183))</f>
        <v>0</v>
      </c>
      <c r="T183" s="386">
        <f>IF(AND(COUNTBLANK('3B-Prestaties vloeren'!$F$3:$H$24)=0,COUNTBLANK('3B-Prestaties vloeren'!$L$3:$M$24)=0),IF(R183="Sprayen/conserveren",I183/VLOOKUP(E183,'3B-Prestaties vloeren'!$A$3:$M$24,12,FALSE),0)*(P183-1),0)</f>
        <v>0</v>
      </c>
      <c r="U183" s="386">
        <f>IF(AND(COUNTBLANK('3B-Prestaties vloeren'!$F$3:$H$24)=0,COUNTBLANK('3B-Prestaties vloeren'!$L$3:$M$24)=0),IF(R183="Sprayen/conserveren",I183/VLOOKUP(E183,'3B-Prestaties vloeren'!$A$3:$M$24,13,FALSE),0),0)</f>
        <v>0</v>
      </c>
      <c r="V183" s="386">
        <f>IF(AND(COUNTBLANK('3B-Prestaties vloeren'!$F$3:$H$24)=0,COUNTBLANK('3B-Prestaties vloeren'!$L$3:$M$24)=0),IF(R183="schrobben",I183/VLOOKUP(E183,'3B-Prestaties vloeren'!$A$3:$H$24,6,FALSE),0)*P183,0)</f>
        <v>0</v>
      </c>
      <c r="W183" s="386">
        <f>IF(AND(COUNTBLANK('3B-Prestaties vloeren'!$F$3:$H$24)=0,COUNTBLANK('3B-Prestaties vloeren'!$L$3:$M$24)=0),IF(R183="sproei-extractie",I183/VLOOKUP(E183,'3B-Prestaties vloeren'!$A$3:$H$24,8,FALSE),0)*P183,0)</f>
        <v>0</v>
      </c>
    </row>
    <row r="184" spans="1:23" ht="15" hidden="1">
      <c r="A184" s="378" t="s">
        <v>677</v>
      </c>
      <c r="B184" s="378" t="s">
        <v>678</v>
      </c>
      <c r="C184" s="378">
        <v>0</v>
      </c>
      <c r="D184" s="378" t="s">
        <v>298</v>
      </c>
      <c r="E184" s="378" t="s">
        <v>728</v>
      </c>
      <c r="F184" s="378" t="s">
        <v>647</v>
      </c>
      <c r="G184" s="378" t="str">
        <f>VLOOKUP(F184,'3B-Prestaties vloeren'!$A$28:$B$118,2,0)</f>
        <v>Hard onbehandeld</v>
      </c>
      <c r="H184" s="378" t="s">
        <v>283</v>
      </c>
      <c r="I184" s="378">
        <v>16.329999999999998</v>
      </c>
      <c r="J184" s="419"/>
      <c r="K184" s="426">
        <v>0</v>
      </c>
      <c r="L184" s="378">
        <f t="shared" si="6"/>
        <v>0</v>
      </c>
      <c r="M184" s="380">
        <f>IF(K184=0,0,IF(COUNTBLANK('3A-Prestatie'!$B$2:$I$22)=0,L184/VLOOKUP(E184,'3A-Prestatie'!$A$1:$M$22,VLOOKUP(K184,'3A-Prestatie'!$A$28:$B$34,2,FALSE),FALSE),"3A prestatie invullen"))</f>
        <v>0</v>
      </c>
      <c r="N184" s="380">
        <f t="shared" si="8"/>
        <v>0</v>
      </c>
      <c r="O184" s="381" t="str">
        <f>VLOOKUP(E184,'3A-Prestatie'!A:M,13,FALSE)</f>
        <v>N.v.t.</v>
      </c>
      <c r="P184" s="382">
        <f>IF(R184="Niet van toepassing",0,VLOOKUP(E184,'3B-Prestaties vloeren'!$A$3:$D$24,IF(G184="Hard onbehandeld",2,IF(G184="Hard behandeld",3,4)),FALSE))</f>
        <v>0</v>
      </c>
      <c r="Q184" s="383">
        <f t="shared" si="7"/>
        <v>0</v>
      </c>
      <c r="R184" s="384" t="str">
        <f>IF(K184=0,"Niet van toepassing",IF(G184='3B-Prestaties vloeren'!$B$2,"Schrobben",IF(G184='3B-Prestaties vloeren'!$C$2,"Sprayen/conserveren",IF(G184='3B-Prestaties vloeren'!$D$2,"Sproei-extractie",0))))</f>
        <v>Niet van toepassing</v>
      </c>
      <c r="S184" s="385">
        <f>IF('2-Tarieven'!$B$28=0,0,IF(M184=0,0,'2-Tarieven'!$B$28*M184))</f>
        <v>0</v>
      </c>
      <c r="T184" s="386">
        <f>IF(AND(COUNTBLANK('3B-Prestaties vloeren'!$F$3:$H$24)=0,COUNTBLANK('3B-Prestaties vloeren'!$L$3:$M$24)=0),IF(R184="Sprayen/conserveren",I184/VLOOKUP(E184,'3B-Prestaties vloeren'!$A$3:$M$24,12,FALSE),0)*(P184-1),0)</f>
        <v>0</v>
      </c>
      <c r="U184" s="386">
        <f>IF(AND(COUNTBLANK('3B-Prestaties vloeren'!$F$3:$H$24)=0,COUNTBLANK('3B-Prestaties vloeren'!$L$3:$M$24)=0),IF(R184="Sprayen/conserveren",I184/VLOOKUP(E184,'3B-Prestaties vloeren'!$A$3:$M$24,13,FALSE),0),0)</f>
        <v>0</v>
      </c>
      <c r="V184" s="386">
        <f>IF(AND(COUNTBLANK('3B-Prestaties vloeren'!$F$3:$H$24)=0,COUNTBLANK('3B-Prestaties vloeren'!$L$3:$M$24)=0),IF(R184="schrobben",I184/VLOOKUP(E184,'3B-Prestaties vloeren'!$A$3:$H$24,6,FALSE),0)*P184,0)</f>
        <v>0</v>
      </c>
      <c r="W184" s="386">
        <f>IF(AND(COUNTBLANK('3B-Prestaties vloeren'!$F$3:$H$24)=0,COUNTBLANK('3B-Prestaties vloeren'!$L$3:$M$24)=0),IF(R184="sproei-extractie",I184/VLOOKUP(E184,'3B-Prestaties vloeren'!$A$3:$H$24,8,FALSE),0)*P184,0)</f>
        <v>0</v>
      </c>
    </row>
    <row r="185" spans="1:23" ht="15" hidden="1">
      <c r="A185" s="378" t="s">
        <v>677</v>
      </c>
      <c r="B185" s="378" t="s">
        <v>678</v>
      </c>
      <c r="C185" s="378">
        <v>0</v>
      </c>
      <c r="D185" s="378" t="s">
        <v>299</v>
      </c>
      <c r="E185" s="378" t="s">
        <v>302</v>
      </c>
      <c r="F185" s="378" t="s">
        <v>647</v>
      </c>
      <c r="G185" s="378" t="str">
        <f>VLOOKUP(F185,'3B-Prestaties vloeren'!$A$28:$B$118,2,0)</f>
        <v>Hard onbehandeld</v>
      </c>
      <c r="H185" s="378"/>
      <c r="I185" s="378">
        <v>3.2</v>
      </c>
      <c r="J185" s="419"/>
      <c r="K185" s="426">
        <v>0</v>
      </c>
      <c r="L185" s="378">
        <f t="shared" si="6"/>
        <v>0</v>
      </c>
      <c r="M185" s="380">
        <f>IF(K185=0,0,IF(COUNTBLANK('3A-Prestatie'!$B$2:$I$22)=0,L185/VLOOKUP(E185,'3A-Prestatie'!$A$1:$M$22,VLOOKUP(K185,'3A-Prestatie'!$A$28:$B$34,2,FALSE),FALSE),"3A prestatie invullen"))</f>
        <v>0</v>
      </c>
      <c r="N185" s="380">
        <f t="shared" si="8"/>
        <v>0</v>
      </c>
      <c r="O185" s="381" t="str">
        <f>VLOOKUP(E185,'3A-Prestatie'!A:M,13,FALSE)</f>
        <v>S</v>
      </c>
      <c r="P185" s="382">
        <f>IF(R185="Niet van toepassing",0,VLOOKUP(E185,'3B-Prestaties vloeren'!$A$3:$D$24,IF(G185="Hard onbehandeld",2,IF(G185="Hard behandeld",3,4)),FALSE))</f>
        <v>0</v>
      </c>
      <c r="Q185" s="383">
        <f t="shared" si="7"/>
        <v>0</v>
      </c>
      <c r="R185" s="384" t="str">
        <f>IF(K185=0,"Niet van toepassing",IF(G185='3B-Prestaties vloeren'!$B$2,"Schrobben",IF(G185='3B-Prestaties vloeren'!$C$2,"Sprayen/conserveren",IF(G185='3B-Prestaties vloeren'!$D$2,"Sproei-extractie",0))))</f>
        <v>Niet van toepassing</v>
      </c>
      <c r="S185" s="385">
        <f>IF('2-Tarieven'!$B$28=0,0,IF(M185=0,0,'2-Tarieven'!$B$28*M185))</f>
        <v>0</v>
      </c>
      <c r="T185" s="386">
        <f>IF(AND(COUNTBLANK('3B-Prestaties vloeren'!$F$3:$H$24)=0,COUNTBLANK('3B-Prestaties vloeren'!$L$3:$M$24)=0),IF(R185="Sprayen/conserveren",I185/VLOOKUP(E185,'3B-Prestaties vloeren'!$A$3:$M$24,12,FALSE),0)*(P185-1),0)</f>
        <v>0</v>
      </c>
      <c r="U185" s="386">
        <f>IF(AND(COUNTBLANK('3B-Prestaties vloeren'!$F$3:$H$24)=0,COUNTBLANK('3B-Prestaties vloeren'!$L$3:$M$24)=0),IF(R185="Sprayen/conserveren",I185/VLOOKUP(E185,'3B-Prestaties vloeren'!$A$3:$M$24,13,FALSE),0),0)</f>
        <v>0</v>
      </c>
      <c r="V185" s="386">
        <f>IF(AND(COUNTBLANK('3B-Prestaties vloeren'!$F$3:$H$24)=0,COUNTBLANK('3B-Prestaties vloeren'!$L$3:$M$24)=0),IF(R185="schrobben",I185/VLOOKUP(E185,'3B-Prestaties vloeren'!$A$3:$H$24,6,FALSE),0)*P185,0)</f>
        <v>0</v>
      </c>
      <c r="W185" s="386">
        <f>IF(AND(COUNTBLANK('3B-Prestaties vloeren'!$F$3:$H$24)=0,COUNTBLANK('3B-Prestaties vloeren'!$L$3:$M$24)=0),IF(R185="sproei-extractie",I185/VLOOKUP(E185,'3B-Prestaties vloeren'!$A$3:$H$24,8,FALSE),0)*P185,0)</f>
        <v>0</v>
      </c>
    </row>
    <row r="186" spans="1:23" ht="15" hidden="1">
      <c r="A186" s="378" t="s">
        <v>677</v>
      </c>
      <c r="B186" s="378" t="s">
        <v>678</v>
      </c>
      <c r="C186" s="378">
        <v>0</v>
      </c>
      <c r="D186" s="378" t="s">
        <v>300</v>
      </c>
      <c r="E186" s="378" t="s">
        <v>335</v>
      </c>
      <c r="F186" s="378" t="s">
        <v>65</v>
      </c>
      <c r="G186" s="378" t="str">
        <f>VLOOKUP(F186,'3B-Prestaties vloeren'!$A$28:$B$118,2,0)</f>
        <v>Zacht onbehandeld</v>
      </c>
      <c r="H186" s="378"/>
      <c r="I186" s="378">
        <v>2.97</v>
      </c>
      <c r="J186" s="420" t="s">
        <v>749</v>
      </c>
      <c r="K186" s="426">
        <v>52</v>
      </c>
      <c r="L186" s="378">
        <f t="shared" si="6"/>
        <v>154.44</v>
      </c>
      <c r="M186" s="380" t="str">
        <f>IF(K186=0,0,IF(COUNTBLANK('3A-Prestatie'!$B$2:$I$22)=0,L186/VLOOKUP(E186,'3A-Prestatie'!$A$1:$M$22,VLOOKUP(K186,'3A-Prestatie'!$A$28:$B$34,2,FALSE),FALSE),"3A prestatie invullen"))</f>
        <v>3A prestatie invullen</v>
      </c>
      <c r="N186" s="380">
        <f t="shared" si="8"/>
        <v>0</v>
      </c>
      <c r="O186" s="381" t="str">
        <f>VLOOKUP(E186,'3A-Prestatie'!A:M,13,FALSE)</f>
        <v>V</v>
      </c>
      <c r="P186" s="382">
        <f>IF(R186="Niet van toepassing",0,VLOOKUP(E186,'3B-Prestaties vloeren'!$A$3:$D$24,IF(G186="Hard onbehandeld",2,IF(G186="Hard behandeld",3,4)),FALSE))</f>
        <v>1</v>
      </c>
      <c r="Q186" s="383">
        <f t="shared" si="7"/>
        <v>0</v>
      </c>
      <c r="R186" s="384" t="str">
        <f>IF(K186=0,"Niet van toepassing",IF(G186='3B-Prestaties vloeren'!$B$2,"Schrobben",IF(G186='3B-Prestaties vloeren'!$C$2,"Sprayen/conserveren",IF(G186='3B-Prestaties vloeren'!$D$2,"Sproei-extractie",0))))</f>
        <v>Sproei-extractie</v>
      </c>
      <c r="S186" s="385">
        <f>IF('2-Tarieven'!$B$28=0,0,IF(M186=0,0,'2-Tarieven'!$B$28*M186))</f>
        <v>0</v>
      </c>
      <c r="T186" s="386">
        <f>IF(AND(COUNTBLANK('3B-Prestaties vloeren'!$F$3:$H$24)=0,COUNTBLANK('3B-Prestaties vloeren'!$L$3:$M$24)=0),IF(R186="Sprayen/conserveren",I186/VLOOKUP(E186,'3B-Prestaties vloeren'!$A$3:$M$24,12,FALSE),0)*(P186-1),0)</f>
        <v>0</v>
      </c>
      <c r="U186" s="386">
        <f>IF(AND(COUNTBLANK('3B-Prestaties vloeren'!$F$3:$H$24)=0,COUNTBLANK('3B-Prestaties vloeren'!$L$3:$M$24)=0),IF(R186="Sprayen/conserveren",I186/VLOOKUP(E186,'3B-Prestaties vloeren'!$A$3:$M$24,13,FALSE),0),0)</f>
        <v>0</v>
      </c>
      <c r="V186" s="386">
        <f>IF(AND(COUNTBLANK('3B-Prestaties vloeren'!$F$3:$H$24)=0,COUNTBLANK('3B-Prestaties vloeren'!$L$3:$M$24)=0),IF(R186="schrobben",I186/VLOOKUP(E186,'3B-Prestaties vloeren'!$A$3:$H$24,6,FALSE),0)*P186,0)</f>
        <v>0</v>
      </c>
      <c r="W186" s="386">
        <f>IF(AND(COUNTBLANK('3B-Prestaties vloeren'!$F$3:$H$24)=0,COUNTBLANK('3B-Prestaties vloeren'!$L$3:$M$24)=0),IF(R186="sproei-extractie",I186/VLOOKUP(E186,'3B-Prestaties vloeren'!$A$3:$H$24,8,FALSE),0)*P186,0)</f>
        <v>0</v>
      </c>
    </row>
    <row r="187" spans="1:23" ht="15" hidden="1">
      <c r="A187" s="378" t="s">
        <v>677</v>
      </c>
      <c r="B187" s="378" t="s">
        <v>678</v>
      </c>
      <c r="C187" s="378">
        <v>0</v>
      </c>
      <c r="D187" s="378" t="s">
        <v>301</v>
      </c>
      <c r="E187" s="378" t="s">
        <v>653</v>
      </c>
      <c r="F187" s="378" t="s">
        <v>647</v>
      </c>
      <c r="G187" s="378" t="str">
        <f>VLOOKUP(F187,'3B-Prestaties vloeren'!$A$28:$B$118,2,0)</f>
        <v>Hard onbehandeld</v>
      </c>
      <c r="H187" s="378" t="s">
        <v>330</v>
      </c>
      <c r="I187" s="378">
        <v>4.3499999999999996</v>
      </c>
      <c r="J187" s="421" t="s">
        <v>511</v>
      </c>
      <c r="K187" s="426">
        <v>255</v>
      </c>
      <c r="L187" s="378">
        <f t="shared" si="6"/>
        <v>1109.25</v>
      </c>
      <c r="M187" s="380" t="str">
        <f>IF(K187=0,0,IF(COUNTBLANK('3A-Prestatie'!$B$2:$I$22)=0,L187/VLOOKUP(E187,'3A-Prestatie'!$A$1:$M$22,VLOOKUP(K187,'3A-Prestatie'!$A$28:$B$34,2,FALSE),FALSE),"3A prestatie invullen"))</f>
        <v>3A prestatie invullen</v>
      </c>
      <c r="N187" s="380">
        <f t="shared" si="8"/>
        <v>0</v>
      </c>
      <c r="O187" s="381" t="str">
        <f>VLOOKUP(E187,'3A-Prestatie'!A:M,13,FALSE)</f>
        <v>S</v>
      </c>
      <c r="P187" s="382">
        <f>IF(R187="Niet van toepassing",0,VLOOKUP(E187,'3B-Prestaties vloeren'!$A$3:$D$24,IF(G187="Hard onbehandeld",2,IF(G187="Hard behandeld",3,4)),FALSE))</f>
        <v>52</v>
      </c>
      <c r="Q187" s="383">
        <f t="shared" si="7"/>
        <v>0</v>
      </c>
      <c r="R187" s="384" t="str">
        <f>IF(K187=0,"Niet van toepassing",IF(G187='3B-Prestaties vloeren'!$B$2,"Schrobben",IF(G187='3B-Prestaties vloeren'!$C$2,"Sprayen/conserveren",IF(G187='3B-Prestaties vloeren'!$D$2,"Sproei-extractie",0))))</f>
        <v>Schrobben</v>
      </c>
      <c r="S187" s="385">
        <f>IF('2-Tarieven'!$B$28=0,0,IF(M187=0,0,'2-Tarieven'!$B$28*M187))</f>
        <v>0</v>
      </c>
      <c r="T187" s="386">
        <f>IF(AND(COUNTBLANK('3B-Prestaties vloeren'!$F$3:$H$24)=0,COUNTBLANK('3B-Prestaties vloeren'!$L$3:$M$24)=0),IF(R187="Sprayen/conserveren",I187/VLOOKUP(E187,'3B-Prestaties vloeren'!$A$3:$M$24,12,FALSE),0)*(P187-1),0)</f>
        <v>0</v>
      </c>
      <c r="U187" s="386">
        <f>IF(AND(COUNTBLANK('3B-Prestaties vloeren'!$F$3:$H$24)=0,COUNTBLANK('3B-Prestaties vloeren'!$L$3:$M$24)=0),IF(R187="Sprayen/conserveren",I187/VLOOKUP(E187,'3B-Prestaties vloeren'!$A$3:$M$24,13,FALSE),0),0)</f>
        <v>0</v>
      </c>
      <c r="V187" s="386">
        <f>IF(AND(COUNTBLANK('3B-Prestaties vloeren'!$F$3:$H$24)=0,COUNTBLANK('3B-Prestaties vloeren'!$L$3:$M$24)=0),IF(R187="schrobben",I187/VLOOKUP(E187,'3B-Prestaties vloeren'!$A$3:$H$24,6,FALSE),0)*P187,0)</f>
        <v>0</v>
      </c>
      <c r="W187" s="386">
        <f>IF(AND(COUNTBLANK('3B-Prestaties vloeren'!$F$3:$H$24)=0,COUNTBLANK('3B-Prestaties vloeren'!$L$3:$M$24)=0),IF(R187="sproei-extractie",I187/VLOOKUP(E187,'3B-Prestaties vloeren'!$A$3:$H$24,8,FALSE),0)*P187,0)</f>
        <v>0</v>
      </c>
    </row>
    <row r="188" spans="1:23" ht="15" hidden="1">
      <c r="A188" s="378" t="s">
        <v>677</v>
      </c>
      <c r="B188" s="378" t="s">
        <v>678</v>
      </c>
      <c r="C188" s="378">
        <v>0</v>
      </c>
      <c r="D188" s="378" t="s">
        <v>303</v>
      </c>
      <c r="E188" s="378" t="s">
        <v>728</v>
      </c>
      <c r="F188" s="378" t="s">
        <v>648</v>
      </c>
      <c r="G188" s="378" t="str">
        <f>VLOOKUP(F188,'3B-Prestaties vloeren'!$A$28:$B$118,2,0)</f>
        <v>Hard onbehandeld</v>
      </c>
      <c r="H188" s="378" t="s">
        <v>287</v>
      </c>
      <c r="I188" s="378">
        <v>2.2799999999999998</v>
      </c>
      <c r="J188" s="419"/>
      <c r="K188" s="426">
        <v>0</v>
      </c>
      <c r="L188" s="378">
        <f t="shared" si="6"/>
        <v>0</v>
      </c>
      <c r="M188" s="380">
        <f>IF(K188=0,0,IF(COUNTBLANK('3A-Prestatie'!$B$2:$I$22)=0,L188/VLOOKUP(E188,'3A-Prestatie'!$A$1:$M$22,VLOOKUP(K188,'3A-Prestatie'!$A$28:$B$34,2,FALSE),FALSE),"3A prestatie invullen"))</f>
        <v>0</v>
      </c>
      <c r="N188" s="380">
        <f t="shared" si="8"/>
        <v>0</v>
      </c>
      <c r="O188" s="381" t="str">
        <f>VLOOKUP(E188,'3A-Prestatie'!A:M,13,FALSE)</f>
        <v>N.v.t.</v>
      </c>
      <c r="P188" s="382">
        <f>IF(R188="Niet van toepassing",0,VLOOKUP(E188,'3B-Prestaties vloeren'!$A$3:$D$24,IF(G188="Hard onbehandeld",2,IF(G188="Hard behandeld",3,4)),FALSE))</f>
        <v>0</v>
      </c>
      <c r="Q188" s="383">
        <f t="shared" si="7"/>
        <v>0</v>
      </c>
      <c r="R188" s="384" t="str">
        <f>IF(K188=0,"Niet van toepassing",IF(G188='3B-Prestaties vloeren'!$B$2,"Schrobben",IF(G188='3B-Prestaties vloeren'!$C$2,"Sprayen/conserveren",IF(G188='3B-Prestaties vloeren'!$D$2,"Sproei-extractie",0))))</f>
        <v>Niet van toepassing</v>
      </c>
      <c r="S188" s="385">
        <f>IF('2-Tarieven'!$B$28=0,0,IF(M188=0,0,'2-Tarieven'!$B$28*M188))</f>
        <v>0</v>
      </c>
      <c r="T188" s="386">
        <f>IF(AND(COUNTBLANK('3B-Prestaties vloeren'!$F$3:$H$24)=0,COUNTBLANK('3B-Prestaties vloeren'!$L$3:$M$24)=0),IF(R188="Sprayen/conserveren",I188/VLOOKUP(E188,'3B-Prestaties vloeren'!$A$3:$M$24,12,FALSE),0)*(P188-1),0)</f>
        <v>0</v>
      </c>
      <c r="U188" s="386">
        <f>IF(AND(COUNTBLANK('3B-Prestaties vloeren'!$F$3:$H$24)=0,COUNTBLANK('3B-Prestaties vloeren'!$L$3:$M$24)=0),IF(R188="Sprayen/conserveren",I188/VLOOKUP(E188,'3B-Prestaties vloeren'!$A$3:$M$24,13,FALSE),0),0)</f>
        <v>0</v>
      </c>
      <c r="V188" s="386">
        <f>IF(AND(COUNTBLANK('3B-Prestaties vloeren'!$F$3:$H$24)=0,COUNTBLANK('3B-Prestaties vloeren'!$L$3:$M$24)=0),IF(R188="schrobben",I188/VLOOKUP(E188,'3B-Prestaties vloeren'!$A$3:$H$24,6,FALSE),0)*P188,0)</f>
        <v>0</v>
      </c>
      <c r="W188" s="386">
        <f>IF(AND(COUNTBLANK('3B-Prestaties vloeren'!$F$3:$H$24)=0,COUNTBLANK('3B-Prestaties vloeren'!$L$3:$M$24)=0),IF(R188="sproei-extractie",I188/VLOOKUP(E188,'3B-Prestaties vloeren'!$A$3:$H$24,8,FALSE),0)*P188,0)</f>
        <v>0</v>
      </c>
    </row>
    <row r="189" spans="1:23" ht="15" hidden="1">
      <c r="A189" s="378" t="s">
        <v>677</v>
      </c>
      <c r="B189" s="378" t="s">
        <v>678</v>
      </c>
      <c r="C189" s="378">
        <v>0</v>
      </c>
      <c r="D189" s="378" t="s">
        <v>304</v>
      </c>
      <c r="E189" s="378" t="s">
        <v>6</v>
      </c>
      <c r="F189" s="378" t="s">
        <v>647</v>
      </c>
      <c r="G189" s="378" t="str">
        <f>VLOOKUP(F189,'3B-Prestaties vloeren'!$A$28:$B$118,2,0)</f>
        <v>Hard onbehandeld</v>
      </c>
      <c r="H189" s="378"/>
      <c r="I189" s="378">
        <v>12.69</v>
      </c>
      <c r="J189" s="420" t="s">
        <v>749</v>
      </c>
      <c r="K189" s="426">
        <v>52</v>
      </c>
      <c r="L189" s="378">
        <f t="shared" si="6"/>
        <v>659.88</v>
      </c>
      <c r="M189" s="380" t="str">
        <f>IF(K189=0,0,IF(COUNTBLANK('3A-Prestatie'!$B$2:$I$22)=0,L189/VLOOKUP(E189,'3A-Prestatie'!$A$1:$M$22,VLOOKUP(K189,'3A-Prestatie'!$A$28:$B$34,2,FALSE),FALSE),"3A prestatie invullen"))</f>
        <v>3A prestatie invullen</v>
      </c>
      <c r="N189" s="380">
        <f t="shared" si="8"/>
        <v>0</v>
      </c>
      <c r="O189" s="381" t="str">
        <f>VLOOKUP(E189,'3A-Prestatie'!A:M,13,FALSE)</f>
        <v>V</v>
      </c>
      <c r="P189" s="382">
        <f>IF(R189="Niet van toepassing",0,VLOOKUP(E189,'3B-Prestaties vloeren'!$A$3:$D$24,IF(G189="Hard onbehandeld",2,IF(G189="Hard behandeld",3,4)),FALSE))</f>
        <v>4</v>
      </c>
      <c r="Q189" s="383">
        <f t="shared" si="7"/>
        <v>0</v>
      </c>
      <c r="R189" s="384" t="str">
        <f>IF(K189=0,"Niet van toepassing",IF(G189='3B-Prestaties vloeren'!$B$2,"Schrobben",IF(G189='3B-Prestaties vloeren'!$C$2,"Sprayen/conserveren",IF(G189='3B-Prestaties vloeren'!$D$2,"Sproei-extractie",0))))</f>
        <v>Schrobben</v>
      </c>
      <c r="S189" s="385">
        <f>IF('2-Tarieven'!$B$28=0,0,IF(M189=0,0,'2-Tarieven'!$B$28*M189))</f>
        <v>0</v>
      </c>
      <c r="T189" s="386">
        <f>IF(AND(COUNTBLANK('3B-Prestaties vloeren'!$F$3:$H$24)=0,COUNTBLANK('3B-Prestaties vloeren'!$L$3:$M$24)=0),IF(R189="Sprayen/conserveren",I189/VLOOKUP(E189,'3B-Prestaties vloeren'!$A$3:$M$24,12,FALSE),0)*(P189-1),0)</f>
        <v>0</v>
      </c>
      <c r="U189" s="386">
        <f>IF(AND(COUNTBLANK('3B-Prestaties vloeren'!$F$3:$H$24)=0,COUNTBLANK('3B-Prestaties vloeren'!$L$3:$M$24)=0),IF(R189="Sprayen/conserveren",I189/VLOOKUP(E189,'3B-Prestaties vloeren'!$A$3:$M$24,13,FALSE),0),0)</f>
        <v>0</v>
      </c>
      <c r="V189" s="386">
        <f>IF(AND(COUNTBLANK('3B-Prestaties vloeren'!$F$3:$H$24)=0,COUNTBLANK('3B-Prestaties vloeren'!$L$3:$M$24)=0),IF(R189="schrobben",I189/VLOOKUP(E189,'3B-Prestaties vloeren'!$A$3:$H$24,6,FALSE),0)*P189,0)</f>
        <v>0</v>
      </c>
      <c r="W189" s="386">
        <f>IF(AND(COUNTBLANK('3B-Prestaties vloeren'!$F$3:$H$24)=0,COUNTBLANK('3B-Prestaties vloeren'!$L$3:$M$24)=0),IF(R189="sproei-extractie",I189/VLOOKUP(E189,'3B-Prestaties vloeren'!$A$3:$H$24,8,FALSE),0)*P189,0)</f>
        <v>0</v>
      </c>
    </row>
    <row r="190" spans="1:23" ht="15" hidden="1">
      <c r="A190" s="378" t="s">
        <v>677</v>
      </c>
      <c r="B190" s="378" t="s">
        <v>678</v>
      </c>
      <c r="C190" s="378">
        <v>0</v>
      </c>
      <c r="D190" s="378" t="s">
        <v>305</v>
      </c>
      <c r="E190" s="378" t="s">
        <v>5</v>
      </c>
      <c r="F190" s="378" t="s">
        <v>65</v>
      </c>
      <c r="G190" s="378" t="str">
        <f>VLOOKUP(F190,'3B-Prestaties vloeren'!$A$28:$B$118,2,0)</f>
        <v>Zacht onbehandeld</v>
      </c>
      <c r="H190" s="378"/>
      <c r="I190" s="378">
        <v>25.22</v>
      </c>
      <c r="J190" s="420" t="s">
        <v>749</v>
      </c>
      <c r="K190" s="426">
        <v>52</v>
      </c>
      <c r="L190" s="378">
        <f t="shared" si="6"/>
        <v>1311.44</v>
      </c>
      <c r="M190" s="380" t="str">
        <f>IF(K190=0,0,IF(COUNTBLANK('3A-Prestatie'!$B$2:$I$22)=0,L190/VLOOKUP(E190,'3A-Prestatie'!$A$1:$M$22,VLOOKUP(K190,'3A-Prestatie'!$A$28:$B$34,2,FALSE),FALSE),"3A prestatie invullen"))</f>
        <v>3A prestatie invullen</v>
      </c>
      <c r="N190" s="380">
        <f t="shared" si="8"/>
        <v>0</v>
      </c>
      <c r="O190" s="381" t="str">
        <f>VLOOKUP(E190,'3A-Prestatie'!A:M,13,FALSE)</f>
        <v>B</v>
      </c>
      <c r="P190" s="382">
        <f>IF(R190="Niet van toepassing",0,VLOOKUP(E190,'3B-Prestaties vloeren'!$A$3:$D$24,IF(G190="Hard onbehandeld",2,IF(G190="Hard behandeld",3,4)),FALSE))</f>
        <v>1</v>
      </c>
      <c r="Q190" s="383">
        <f t="shared" si="7"/>
        <v>0</v>
      </c>
      <c r="R190" s="384" t="str">
        <f>IF(K190=0,"Niet van toepassing",IF(G190='3B-Prestaties vloeren'!$B$2,"Schrobben",IF(G190='3B-Prestaties vloeren'!$C$2,"Sprayen/conserveren",IF(G190='3B-Prestaties vloeren'!$D$2,"Sproei-extractie",0))))</f>
        <v>Sproei-extractie</v>
      </c>
      <c r="S190" s="385">
        <f>IF('2-Tarieven'!$B$28=0,0,IF(M190=0,0,'2-Tarieven'!$B$28*M190))</f>
        <v>0</v>
      </c>
      <c r="T190" s="386">
        <f>IF(AND(COUNTBLANK('3B-Prestaties vloeren'!$F$3:$H$24)=0,COUNTBLANK('3B-Prestaties vloeren'!$L$3:$M$24)=0),IF(R190="Sprayen/conserveren",I190/VLOOKUP(E190,'3B-Prestaties vloeren'!$A$3:$M$24,12,FALSE),0)*(P190-1),0)</f>
        <v>0</v>
      </c>
      <c r="U190" s="386">
        <f>IF(AND(COUNTBLANK('3B-Prestaties vloeren'!$F$3:$H$24)=0,COUNTBLANK('3B-Prestaties vloeren'!$L$3:$M$24)=0),IF(R190="Sprayen/conserveren",I190/VLOOKUP(E190,'3B-Prestaties vloeren'!$A$3:$M$24,13,FALSE),0),0)</f>
        <v>0</v>
      </c>
      <c r="V190" s="386">
        <f>IF(AND(COUNTBLANK('3B-Prestaties vloeren'!$F$3:$H$24)=0,COUNTBLANK('3B-Prestaties vloeren'!$L$3:$M$24)=0),IF(R190="schrobben",I190/VLOOKUP(E190,'3B-Prestaties vloeren'!$A$3:$H$24,6,FALSE),0)*P190,0)</f>
        <v>0</v>
      </c>
      <c r="W190" s="386">
        <f>IF(AND(COUNTBLANK('3B-Prestaties vloeren'!$F$3:$H$24)=0,COUNTBLANK('3B-Prestaties vloeren'!$L$3:$M$24)=0),IF(R190="sproei-extractie",I190/VLOOKUP(E190,'3B-Prestaties vloeren'!$A$3:$H$24,8,FALSE),0)*P190,0)</f>
        <v>0</v>
      </c>
    </row>
    <row r="191" spans="1:23" ht="15" hidden="1">
      <c r="A191" s="378" t="s">
        <v>677</v>
      </c>
      <c r="B191" s="378" t="s">
        <v>678</v>
      </c>
      <c r="C191" s="378">
        <v>0</v>
      </c>
      <c r="D191" s="378" t="s">
        <v>2</v>
      </c>
      <c r="E191" s="378" t="s">
        <v>474</v>
      </c>
      <c r="F191" s="378" t="s">
        <v>647</v>
      </c>
      <c r="G191" s="378" t="str">
        <f>VLOOKUP(F191,'3B-Prestaties vloeren'!$A$28:$B$118,2,0)</f>
        <v>Hard onbehandeld</v>
      </c>
      <c r="H191" s="378"/>
      <c r="I191" s="378">
        <v>77.7</v>
      </c>
      <c r="J191" s="420" t="s">
        <v>749</v>
      </c>
      <c r="K191" s="426">
        <v>255</v>
      </c>
      <c r="L191" s="378">
        <f t="shared" si="6"/>
        <v>19813.5</v>
      </c>
      <c r="M191" s="380" t="str">
        <f>IF(K191=0,0,IF(COUNTBLANK('3A-Prestatie'!$B$2:$I$22)=0,L191/VLOOKUP(E191,'3A-Prestatie'!$A$1:$M$22,VLOOKUP(K191,'3A-Prestatie'!$A$28:$B$34,2,FALSE),FALSE),"3A prestatie invullen"))</f>
        <v>3A prestatie invullen</v>
      </c>
      <c r="N191" s="380">
        <f t="shared" si="8"/>
        <v>0</v>
      </c>
      <c r="O191" s="381" t="str">
        <f>VLOOKUP(E191,'3A-Prestatie'!A:M,13,FALSE)</f>
        <v>V</v>
      </c>
      <c r="P191" s="382">
        <f>IF(R191="Niet van toepassing",0,VLOOKUP(E191,'3B-Prestaties vloeren'!$A$3:$D$24,IF(G191="Hard onbehandeld",2,IF(G191="Hard behandeld",3,4)),FALSE))</f>
        <v>4</v>
      </c>
      <c r="Q191" s="383">
        <f t="shared" si="7"/>
        <v>0</v>
      </c>
      <c r="R191" s="384" t="str">
        <f>IF(K191=0,"Niet van toepassing",IF(G191='3B-Prestaties vloeren'!$B$2,"Schrobben",IF(G191='3B-Prestaties vloeren'!$C$2,"Sprayen/conserveren",IF(G191='3B-Prestaties vloeren'!$D$2,"Sproei-extractie",0))))</f>
        <v>Schrobben</v>
      </c>
      <c r="S191" s="385">
        <f>IF('2-Tarieven'!$B$28=0,0,IF(M191=0,0,'2-Tarieven'!$B$28*M191))</f>
        <v>0</v>
      </c>
      <c r="T191" s="386">
        <f>IF(AND(COUNTBLANK('3B-Prestaties vloeren'!$F$3:$H$24)=0,COUNTBLANK('3B-Prestaties vloeren'!$L$3:$M$24)=0),IF(R191="Sprayen/conserveren",I191/VLOOKUP(E191,'3B-Prestaties vloeren'!$A$3:$M$24,12,FALSE),0)*(P191-1),0)</f>
        <v>0</v>
      </c>
      <c r="U191" s="386">
        <f>IF(AND(COUNTBLANK('3B-Prestaties vloeren'!$F$3:$H$24)=0,COUNTBLANK('3B-Prestaties vloeren'!$L$3:$M$24)=0),IF(R191="Sprayen/conserveren",I191/VLOOKUP(E191,'3B-Prestaties vloeren'!$A$3:$M$24,13,FALSE),0),0)</f>
        <v>0</v>
      </c>
      <c r="V191" s="386">
        <f>IF(AND(COUNTBLANK('3B-Prestaties vloeren'!$F$3:$H$24)=0,COUNTBLANK('3B-Prestaties vloeren'!$L$3:$M$24)=0),IF(R191="schrobben",I191/VLOOKUP(E191,'3B-Prestaties vloeren'!$A$3:$H$24,6,FALSE),0)*P191,0)</f>
        <v>0</v>
      </c>
      <c r="W191" s="386">
        <f>IF(AND(COUNTBLANK('3B-Prestaties vloeren'!$F$3:$H$24)=0,COUNTBLANK('3B-Prestaties vloeren'!$L$3:$M$24)=0),IF(R191="sproei-extractie",I191/VLOOKUP(E191,'3B-Prestaties vloeren'!$A$3:$H$24,8,FALSE),0)*P191,0)</f>
        <v>0</v>
      </c>
    </row>
    <row r="192" spans="1:23" ht="15" hidden="1">
      <c r="A192" s="378" t="s">
        <v>677</v>
      </c>
      <c r="B192" s="378" t="s">
        <v>678</v>
      </c>
      <c r="C192" s="378">
        <v>0</v>
      </c>
      <c r="D192" s="378" t="s">
        <v>3</v>
      </c>
      <c r="E192" s="378" t="s">
        <v>334</v>
      </c>
      <c r="F192" s="378" t="s">
        <v>65</v>
      </c>
      <c r="G192" s="378" t="str">
        <f>VLOOKUP(F192,'3B-Prestaties vloeren'!$A$28:$B$118,2,0)</f>
        <v>Zacht onbehandeld</v>
      </c>
      <c r="H192" s="378"/>
      <c r="I192" s="378">
        <v>6</v>
      </c>
      <c r="J192" s="420" t="s">
        <v>749</v>
      </c>
      <c r="K192" s="426">
        <v>255</v>
      </c>
      <c r="L192" s="378">
        <f t="shared" si="6"/>
        <v>1530</v>
      </c>
      <c r="M192" s="380" t="str">
        <f>IF(K192=0,0,IF(COUNTBLANK('3A-Prestatie'!$B$2:$I$22)=0,L192/VLOOKUP(E192,'3A-Prestatie'!$A$1:$M$22,VLOOKUP(K192,'3A-Prestatie'!$A$28:$B$34,2,FALSE),FALSE),"3A prestatie invullen"))</f>
        <v>3A prestatie invullen</v>
      </c>
      <c r="N192" s="380">
        <f t="shared" si="8"/>
        <v>0</v>
      </c>
      <c r="O192" s="381" t="str">
        <f>VLOOKUP(E192,'3A-Prestatie'!A:M,13,FALSE)</f>
        <v>V</v>
      </c>
      <c r="P192" s="382">
        <f>IF(R192="Niet van toepassing",0,VLOOKUP(E192,'3B-Prestaties vloeren'!$A$3:$D$24,IF(G192="Hard onbehandeld",2,IF(G192="Hard behandeld",3,4)),FALSE))</f>
        <v>1</v>
      </c>
      <c r="Q192" s="383">
        <f t="shared" si="7"/>
        <v>0</v>
      </c>
      <c r="R192" s="384" t="str">
        <f>IF(K192=0,"Niet van toepassing",IF(G192='3B-Prestaties vloeren'!$B$2,"Schrobben",IF(G192='3B-Prestaties vloeren'!$C$2,"Sprayen/conserveren",IF(G192='3B-Prestaties vloeren'!$D$2,"Sproei-extractie",0))))</f>
        <v>Sproei-extractie</v>
      </c>
      <c r="S192" s="385">
        <f>IF('2-Tarieven'!$B$28=0,0,IF(M192=0,0,'2-Tarieven'!$B$28*M192))</f>
        <v>0</v>
      </c>
      <c r="T192" s="386">
        <f>IF(AND(COUNTBLANK('3B-Prestaties vloeren'!$F$3:$H$24)=0,COUNTBLANK('3B-Prestaties vloeren'!$L$3:$M$24)=0),IF(R192="Sprayen/conserveren",I192/VLOOKUP(E192,'3B-Prestaties vloeren'!$A$3:$M$24,12,FALSE),0)*(P192-1),0)</f>
        <v>0</v>
      </c>
      <c r="U192" s="386">
        <f>IF(AND(COUNTBLANK('3B-Prestaties vloeren'!$F$3:$H$24)=0,COUNTBLANK('3B-Prestaties vloeren'!$L$3:$M$24)=0),IF(R192="Sprayen/conserveren",I192/VLOOKUP(E192,'3B-Prestaties vloeren'!$A$3:$M$24,13,FALSE),0),0)</f>
        <v>0</v>
      </c>
      <c r="V192" s="386">
        <f>IF(AND(COUNTBLANK('3B-Prestaties vloeren'!$F$3:$H$24)=0,COUNTBLANK('3B-Prestaties vloeren'!$L$3:$M$24)=0),IF(R192="schrobben",I192/VLOOKUP(E192,'3B-Prestaties vloeren'!$A$3:$H$24,6,FALSE),0)*P192,0)</f>
        <v>0</v>
      </c>
      <c r="W192" s="386">
        <f>IF(AND(COUNTBLANK('3B-Prestaties vloeren'!$F$3:$H$24)=0,COUNTBLANK('3B-Prestaties vloeren'!$L$3:$M$24)=0),IF(R192="sproei-extractie",I192/VLOOKUP(E192,'3B-Prestaties vloeren'!$A$3:$H$24,8,FALSE),0)*P192,0)</f>
        <v>0</v>
      </c>
    </row>
    <row r="193" spans="1:23" ht="15" hidden="1">
      <c r="A193" s="378" t="s">
        <v>677</v>
      </c>
      <c r="B193" s="378" t="s">
        <v>678</v>
      </c>
      <c r="C193" s="378">
        <v>0</v>
      </c>
      <c r="D193" s="378" t="s">
        <v>308</v>
      </c>
      <c r="E193" s="378" t="s">
        <v>728</v>
      </c>
      <c r="F193" s="378" t="s">
        <v>648</v>
      </c>
      <c r="G193" s="378" t="str">
        <f>VLOOKUP(F193,'3B-Prestaties vloeren'!$A$28:$B$118,2,0)</f>
        <v>Hard onbehandeld</v>
      </c>
      <c r="H193" s="378" t="s">
        <v>287</v>
      </c>
      <c r="I193" s="378">
        <v>6.4</v>
      </c>
      <c r="J193" s="419"/>
      <c r="K193" s="426">
        <v>0</v>
      </c>
      <c r="L193" s="378">
        <f t="shared" si="6"/>
        <v>0</v>
      </c>
      <c r="M193" s="380">
        <f>IF(K193=0,0,IF(COUNTBLANK('3A-Prestatie'!$B$2:$I$22)=0,L193/VLOOKUP(E193,'3A-Prestatie'!$A$1:$M$22,VLOOKUP(K193,'3A-Prestatie'!$A$28:$B$34,2,FALSE),FALSE),"3A prestatie invullen"))</f>
        <v>0</v>
      </c>
      <c r="N193" s="380">
        <f t="shared" si="8"/>
        <v>0</v>
      </c>
      <c r="O193" s="381" t="str">
        <f>VLOOKUP(E193,'3A-Prestatie'!A:M,13,FALSE)</f>
        <v>N.v.t.</v>
      </c>
      <c r="P193" s="382">
        <f>IF(R193="Niet van toepassing",0,VLOOKUP(E193,'3B-Prestaties vloeren'!$A$3:$D$24,IF(G193="Hard onbehandeld",2,IF(G193="Hard behandeld",3,4)),FALSE))</f>
        <v>0</v>
      </c>
      <c r="Q193" s="383">
        <f t="shared" si="7"/>
        <v>0</v>
      </c>
      <c r="R193" s="384" t="str">
        <f>IF(K193=0,"Niet van toepassing",IF(G193='3B-Prestaties vloeren'!$B$2,"Schrobben",IF(G193='3B-Prestaties vloeren'!$C$2,"Sprayen/conserveren",IF(G193='3B-Prestaties vloeren'!$D$2,"Sproei-extractie",0))))</f>
        <v>Niet van toepassing</v>
      </c>
      <c r="S193" s="385">
        <f>IF('2-Tarieven'!$B$28=0,0,IF(M193=0,0,'2-Tarieven'!$B$28*M193))</f>
        <v>0</v>
      </c>
      <c r="T193" s="386">
        <f>IF(AND(COUNTBLANK('3B-Prestaties vloeren'!$F$3:$H$24)=0,COUNTBLANK('3B-Prestaties vloeren'!$L$3:$M$24)=0),IF(R193="Sprayen/conserveren",I193/VLOOKUP(E193,'3B-Prestaties vloeren'!$A$3:$M$24,12,FALSE),0)*(P193-1),0)</f>
        <v>0</v>
      </c>
      <c r="U193" s="386">
        <f>IF(AND(COUNTBLANK('3B-Prestaties vloeren'!$F$3:$H$24)=0,COUNTBLANK('3B-Prestaties vloeren'!$L$3:$M$24)=0),IF(R193="Sprayen/conserveren",I193/VLOOKUP(E193,'3B-Prestaties vloeren'!$A$3:$M$24,13,FALSE),0),0)</f>
        <v>0</v>
      </c>
      <c r="V193" s="386">
        <f>IF(AND(COUNTBLANK('3B-Prestaties vloeren'!$F$3:$H$24)=0,COUNTBLANK('3B-Prestaties vloeren'!$L$3:$M$24)=0),IF(R193="schrobben",I193/VLOOKUP(E193,'3B-Prestaties vloeren'!$A$3:$H$24,6,FALSE),0)*P193,0)</f>
        <v>0</v>
      </c>
      <c r="W193" s="386">
        <f>IF(AND(COUNTBLANK('3B-Prestaties vloeren'!$F$3:$H$24)=0,COUNTBLANK('3B-Prestaties vloeren'!$L$3:$M$24)=0),IF(R193="sproei-extractie",I193/VLOOKUP(E193,'3B-Prestaties vloeren'!$A$3:$H$24,8,FALSE),0)*P193,0)</f>
        <v>0</v>
      </c>
    </row>
    <row r="194" spans="1:23" ht="15" hidden="1">
      <c r="A194" s="378" t="s">
        <v>677</v>
      </c>
      <c r="B194" s="378" t="s">
        <v>678</v>
      </c>
      <c r="C194" s="378">
        <v>0</v>
      </c>
      <c r="D194" s="378" t="s">
        <v>309</v>
      </c>
      <c r="E194" s="378" t="s">
        <v>728</v>
      </c>
      <c r="F194" s="378" t="s">
        <v>648</v>
      </c>
      <c r="G194" s="378" t="str">
        <f>VLOOKUP(F194,'3B-Prestaties vloeren'!$A$28:$B$118,2,0)</f>
        <v>Hard onbehandeld</v>
      </c>
      <c r="H194" s="378" t="s">
        <v>287</v>
      </c>
      <c r="I194" s="378">
        <v>15.77</v>
      </c>
      <c r="J194" s="419"/>
      <c r="K194" s="426">
        <v>0</v>
      </c>
      <c r="L194" s="378">
        <f t="shared" ref="L194:L257" si="9">IF(K194=0,0,K194*I194)</f>
        <v>0</v>
      </c>
      <c r="M194" s="380">
        <f>IF(K194=0,0,IF(COUNTBLANK('3A-Prestatie'!$B$2:$I$22)=0,L194/VLOOKUP(E194,'3A-Prestatie'!$A$1:$M$22,VLOOKUP(K194,'3A-Prestatie'!$A$28:$B$34,2,FALSE),FALSE),"3A prestatie invullen"))</f>
        <v>0</v>
      </c>
      <c r="N194" s="380">
        <f t="shared" si="8"/>
        <v>0</v>
      </c>
      <c r="O194" s="381" t="str">
        <f>VLOOKUP(E194,'3A-Prestatie'!A:M,13,FALSE)</f>
        <v>N.v.t.</v>
      </c>
      <c r="P194" s="382">
        <f>IF(R194="Niet van toepassing",0,VLOOKUP(E194,'3B-Prestaties vloeren'!$A$3:$D$24,IF(G194="Hard onbehandeld",2,IF(G194="Hard behandeld",3,4)),FALSE))</f>
        <v>0</v>
      </c>
      <c r="Q194" s="383">
        <f t="shared" ref="Q194:Q257" si="10">SUM(T194:W194)</f>
        <v>0</v>
      </c>
      <c r="R194" s="384" t="str">
        <f>IF(K194=0,"Niet van toepassing",IF(G194='3B-Prestaties vloeren'!$B$2,"Schrobben",IF(G194='3B-Prestaties vloeren'!$C$2,"Sprayen/conserveren",IF(G194='3B-Prestaties vloeren'!$D$2,"Sproei-extractie",0))))</f>
        <v>Niet van toepassing</v>
      </c>
      <c r="S194" s="385">
        <f>IF('2-Tarieven'!$B$28=0,0,IF(M194=0,0,'2-Tarieven'!$B$28*M194))</f>
        <v>0</v>
      </c>
      <c r="T194" s="386">
        <f>IF(AND(COUNTBLANK('3B-Prestaties vloeren'!$F$3:$H$24)=0,COUNTBLANK('3B-Prestaties vloeren'!$L$3:$M$24)=0),IF(R194="Sprayen/conserveren",I194/VLOOKUP(E194,'3B-Prestaties vloeren'!$A$3:$M$24,12,FALSE),0)*(P194-1),0)</f>
        <v>0</v>
      </c>
      <c r="U194" s="386">
        <f>IF(AND(COUNTBLANK('3B-Prestaties vloeren'!$F$3:$H$24)=0,COUNTBLANK('3B-Prestaties vloeren'!$L$3:$M$24)=0),IF(R194="Sprayen/conserveren",I194/VLOOKUP(E194,'3B-Prestaties vloeren'!$A$3:$M$24,13,FALSE),0),0)</f>
        <v>0</v>
      </c>
      <c r="V194" s="386">
        <f>IF(AND(COUNTBLANK('3B-Prestaties vloeren'!$F$3:$H$24)=0,COUNTBLANK('3B-Prestaties vloeren'!$L$3:$M$24)=0),IF(R194="schrobben",I194/VLOOKUP(E194,'3B-Prestaties vloeren'!$A$3:$H$24,6,FALSE),0)*P194,0)</f>
        <v>0</v>
      </c>
      <c r="W194" s="386">
        <f>IF(AND(COUNTBLANK('3B-Prestaties vloeren'!$F$3:$H$24)=0,COUNTBLANK('3B-Prestaties vloeren'!$L$3:$M$24)=0),IF(R194="sproei-extractie",I194/VLOOKUP(E194,'3B-Prestaties vloeren'!$A$3:$H$24,8,FALSE),0)*P194,0)</f>
        <v>0</v>
      </c>
    </row>
    <row r="195" spans="1:23" ht="15" hidden="1">
      <c r="A195" s="378" t="s">
        <v>677</v>
      </c>
      <c r="B195" s="378" t="s">
        <v>678</v>
      </c>
      <c r="C195" s="378">
        <v>0</v>
      </c>
      <c r="D195" s="378" t="s">
        <v>310</v>
      </c>
      <c r="E195" s="378" t="s">
        <v>1</v>
      </c>
      <c r="F195" s="378" t="s">
        <v>647</v>
      </c>
      <c r="G195" s="378" t="str">
        <f>VLOOKUP(F195,'3B-Prestaties vloeren'!$A$28:$B$118,2,0)</f>
        <v>Hard onbehandeld</v>
      </c>
      <c r="H195" s="378"/>
      <c r="I195" s="378">
        <v>184.44</v>
      </c>
      <c r="J195" s="421" t="s">
        <v>511</v>
      </c>
      <c r="K195" s="426">
        <v>255</v>
      </c>
      <c r="L195" s="378">
        <f t="shared" si="9"/>
        <v>47032.2</v>
      </c>
      <c r="M195" s="380" t="str">
        <f>IF(K195=0,0,IF(COUNTBLANK('3A-Prestatie'!$B$2:$I$22)=0,L195/VLOOKUP(E195,'3A-Prestatie'!$A$1:$M$22,VLOOKUP(K195,'3A-Prestatie'!$A$28:$B$34,2,FALSE),FALSE),"3A prestatie invullen"))</f>
        <v>3A prestatie invullen</v>
      </c>
      <c r="N195" s="380">
        <f t="shared" ref="N195:N258" si="11">IF(M195="3A prestatie invullen",0,IF(K195&lt;&gt;0,L195/M195,0))</f>
        <v>0</v>
      </c>
      <c r="O195" s="381" t="str">
        <f>VLOOKUP(E195,'3A-Prestatie'!A:M,13,FALSE)</f>
        <v>S</v>
      </c>
      <c r="P195" s="382">
        <f>IF(R195="Niet van toepassing",0,VLOOKUP(E195,'3B-Prestaties vloeren'!$A$3:$D$24,IF(G195="Hard onbehandeld",2,IF(G195="Hard behandeld",3,4)),FALSE))</f>
        <v>255</v>
      </c>
      <c r="Q195" s="383">
        <f t="shared" si="10"/>
        <v>0</v>
      </c>
      <c r="R195" s="384" t="str">
        <f>IF(K195=0,"Niet van toepassing",IF(G195='3B-Prestaties vloeren'!$B$2,"Schrobben",IF(G195='3B-Prestaties vloeren'!$C$2,"Sprayen/conserveren",IF(G195='3B-Prestaties vloeren'!$D$2,"Sproei-extractie",0))))</f>
        <v>Schrobben</v>
      </c>
      <c r="S195" s="385">
        <f>IF('2-Tarieven'!$B$28=0,0,IF(M195=0,0,'2-Tarieven'!$B$28*M195))</f>
        <v>0</v>
      </c>
      <c r="T195" s="386">
        <f>IF(AND(COUNTBLANK('3B-Prestaties vloeren'!$F$3:$H$24)=0,COUNTBLANK('3B-Prestaties vloeren'!$L$3:$M$24)=0),IF(R195="Sprayen/conserveren",I195/VLOOKUP(E195,'3B-Prestaties vloeren'!$A$3:$M$24,12,FALSE),0)*(P195-1),0)</f>
        <v>0</v>
      </c>
      <c r="U195" s="386">
        <f>IF(AND(COUNTBLANK('3B-Prestaties vloeren'!$F$3:$H$24)=0,COUNTBLANK('3B-Prestaties vloeren'!$L$3:$M$24)=0),IF(R195="Sprayen/conserveren",I195/VLOOKUP(E195,'3B-Prestaties vloeren'!$A$3:$M$24,13,FALSE),0),0)</f>
        <v>0</v>
      </c>
      <c r="V195" s="386">
        <f>IF(AND(COUNTBLANK('3B-Prestaties vloeren'!$F$3:$H$24)=0,COUNTBLANK('3B-Prestaties vloeren'!$L$3:$M$24)=0),IF(R195="schrobben",I195/VLOOKUP(E195,'3B-Prestaties vloeren'!$A$3:$H$24,6,FALSE),0)*P195,0)</f>
        <v>0</v>
      </c>
      <c r="W195" s="386">
        <f>IF(AND(COUNTBLANK('3B-Prestaties vloeren'!$F$3:$H$24)=0,COUNTBLANK('3B-Prestaties vloeren'!$L$3:$M$24)=0),IF(R195="sproei-extractie",I195/VLOOKUP(E195,'3B-Prestaties vloeren'!$A$3:$H$24,8,FALSE),0)*P195,0)</f>
        <v>0</v>
      </c>
    </row>
    <row r="196" spans="1:23" ht="15" hidden="1">
      <c r="A196" s="378" t="s">
        <v>677</v>
      </c>
      <c r="B196" s="378" t="s">
        <v>678</v>
      </c>
      <c r="C196" s="378">
        <v>0</v>
      </c>
      <c r="D196" s="378" t="s">
        <v>311</v>
      </c>
      <c r="E196" s="378" t="s">
        <v>653</v>
      </c>
      <c r="F196" s="378" t="s">
        <v>647</v>
      </c>
      <c r="G196" s="378" t="str">
        <f>VLOOKUP(F196,'3B-Prestaties vloeren'!$A$28:$B$118,2,0)</f>
        <v>Hard onbehandeld</v>
      </c>
      <c r="H196" s="378"/>
      <c r="I196" s="378">
        <v>83.4</v>
      </c>
      <c r="J196" s="421" t="s">
        <v>511</v>
      </c>
      <c r="K196" s="426">
        <v>510</v>
      </c>
      <c r="L196" s="378">
        <f t="shared" si="9"/>
        <v>42534</v>
      </c>
      <c r="M196" s="380" t="str">
        <f>IF(K196=0,0,IF(COUNTBLANK('3A-Prestatie'!$B$2:$I$22)=0,L196/VLOOKUP(E196,'3A-Prestatie'!$A$1:$M$22,VLOOKUP(K196,'3A-Prestatie'!$A$28:$B$34,2,FALSE),FALSE),"3A prestatie invullen"))</f>
        <v>3A prestatie invullen</v>
      </c>
      <c r="N196" s="380">
        <f t="shared" si="11"/>
        <v>0</v>
      </c>
      <c r="O196" s="381" t="str">
        <f>VLOOKUP(E196,'3A-Prestatie'!A:M,13,FALSE)</f>
        <v>S</v>
      </c>
      <c r="P196" s="382">
        <f>IF(R196="Niet van toepassing",0,VLOOKUP(E196,'3B-Prestaties vloeren'!$A$3:$D$24,IF(G196="Hard onbehandeld",2,IF(G196="Hard behandeld",3,4)),FALSE))</f>
        <v>52</v>
      </c>
      <c r="Q196" s="383">
        <f t="shared" si="10"/>
        <v>0</v>
      </c>
      <c r="R196" s="384" t="str">
        <f>IF(K196=0,"Niet van toepassing",IF(G196='3B-Prestaties vloeren'!$B$2,"Schrobben",IF(G196='3B-Prestaties vloeren'!$C$2,"Sprayen/conserveren",IF(G196='3B-Prestaties vloeren'!$D$2,"Sproei-extractie",0))))</f>
        <v>Schrobben</v>
      </c>
      <c r="S196" s="385">
        <f>IF('2-Tarieven'!$B$28=0,0,IF(M196=0,0,'2-Tarieven'!$B$28*M196))</f>
        <v>0</v>
      </c>
      <c r="T196" s="386">
        <f>IF(AND(COUNTBLANK('3B-Prestaties vloeren'!$F$3:$H$24)=0,COUNTBLANK('3B-Prestaties vloeren'!$L$3:$M$24)=0),IF(R196="Sprayen/conserveren",I196/VLOOKUP(E196,'3B-Prestaties vloeren'!$A$3:$M$24,12,FALSE),0)*(P196-1),0)</f>
        <v>0</v>
      </c>
      <c r="U196" s="386">
        <f>IF(AND(COUNTBLANK('3B-Prestaties vloeren'!$F$3:$H$24)=0,COUNTBLANK('3B-Prestaties vloeren'!$L$3:$M$24)=0),IF(R196="Sprayen/conserveren",I196/VLOOKUP(E196,'3B-Prestaties vloeren'!$A$3:$M$24,13,FALSE),0),0)</f>
        <v>0</v>
      </c>
      <c r="V196" s="386">
        <f>IF(AND(COUNTBLANK('3B-Prestaties vloeren'!$F$3:$H$24)=0,COUNTBLANK('3B-Prestaties vloeren'!$L$3:$M$24)=0),IF(R196="schrobben",I196/VLOOKUP(E196,'3B-Prestaties vloeren'!$A$3:$H$24,6,FALSE),0)*P196,0)</f>
        <v>0</v>
      </c>
      <c r="W196" s="386">
        <f>IF(AND(COUNTBLANK('3B-Prestaties vloeren'!$F$3:$H$24)=0,COUNTBLANK('3B-Prestaties vloeren'!$L$3:$M$24)=0),IF(R196="sproei-extractie",I196/VLOOKUP(E196,'3B-Prestaties vloeren'!$A$3:$H$24,8,FALSE),0)*P196,0)</f>
        <v>0</v>
      </c>
    </row>
    <row r="197" spans="1:23" ht="15" hidden="1">
      <c r="A197" s="378" t="s">
        <v>677</v>
      </c>
      <c r="B197" s="378" t="s">
        <v>678</v>
      </c>
      <c r="C197" s="378">
        <v>0</v>
      </c>
      <c r="D197" s="378" t="s">
        <v>679</v>
      </c>
      <c r="E197" s="378" t="s">
        <v>728</v>
      </c>
      <c r="F197" s="378" t="s">
        <v>647</v>
      </c>
      <c r="G197" s="378" t="str">
        <f>VLOOKUP(F197,'3B-Prestaties vloeren'!$A$28:$B$118,2,0)</f>
        <v>Hard onbehandeld</v>
      </c>
      <c r="H197" s="378" t="s">
        <v>330</v>
      </c>
      <c r="I197" s="416" t="s">
        <v>657</v>
      </c>
      <c r="J197" s="422"/>
      <c r="K197" s="426">
        <v>0</v>
      </c>
      <c r="L197" s="378">
        <f t="shared" si="9"/>
        <v>0</v>
      </c>
      <c r="M197" s="380">
        <f>IF(K197=0,0,IF(COUNTBLANK('3A-Prestatie'!$B$2:$I$22)=0,L197/VLOOKUP(E197,'3A-Prestatie'!$A$1:$M$22,VLOOKUP(K197,'3A-Prestatie'!$A$28:$B$34,2,FALSE),FALSE),"3A prestatie invullen"))</f>
        <v>0</v>
      </c>
      <c r="N197" s="380">
        <f t="shared" si="11"/>
        <v>0</v>
      </c>
      <c r="O197" s="381" t="str">
        <f>VLOOKUP(E197,'3A-Prestatie'!A:M,13,FALSE)</f>
        <v>N.v.t.</v>
      </c>
      <c r="P197" s="382">
        <f>IF(R197="Niet van toepassing",0,VLOOKUP(E197,'3B-Prestaties vloeren'!$A$3:$D$24,IF(G197="Hard onbehandeld",2,IF(G197="Hard behandeld",3,4)),FALSE))</f>
        <v>0</v>
      </c>
      <c r="Q197" s="383">
        <f t="shared" si="10"/>
        <v>0</v>
      </c>
      <c r="R197" s="384" t="str">
        <f>IF(K197=0,"Niet van toepassing",IF(G197='3B-Prestaties vloeren'!$B$2,"Schrobben",IF(G197='3B-Prestaties vloeren'!$C$2,"Sprayen/conserveren",IF(G197='3B-Prestaties vloeren'!$D$2,"Sproei-extractie",0))))</f>
        <v>Niet van toepassing</v>
      </c>
      <c r="S197" s="385">
        <f>IF('2-Tarieven'!$B$28=0,0,IF(M197=0,0,'2-Tarieven'!$B$28*M197))</f>
        <v>0</v>
      </c>
      <c r="T197" s="386">
        <f>IF(AND(COUNTBLANK('3B-Prestaties vloeren'!$F$3:$H$24)=0,COUNTBLANK('3B-Prestaties vloeren'!$L$3:$M$24)=0),IF(R197="Sprayen/conserveren",I197/VLOOKUP(E197,'3B-Prestaties vloeren'!$A$3:$M$24,12,FALSE),0)*(P197-1),0)</f>
        <v>0</v>
      </c>
      <c r="U197" s="386">
        <f>IF(AND(COUNTBLANK('3B-Prestaties vloeren'!$F$3:$H$24)=0,COUNTBLANK('3B-Prestaties vloeren'!$L$3:$M$24)=0),IF(R197="Sprayen/conserveren",I197/VLOOKUP(E197,'3B-Prestaties vloeren'!$A$3:$M$24,13,FALSE),0),0)</f>
        <v>0</v>
      </c>
      <c r="V197" s="386">
        <f>IF(AND(COUNTBLANK('3B-Prestaties vloeren'!$F$3:$H$24)=0,COUNTBLANK('3B-Prestaties vloeren'!$L$3:$M$24)=0),IF(R197="schrobben",I197/VLOOKUP(E197,'3B-Prestaties vloeren'!$A$3:$H$24,6,FALSE),0)*P197,0)</f>
        <v>0</v>
      </c>
      <c r="W197" s="386">
        <f>IF(AND(COUNTBLANK('3B-Prestaties vloeren'!$F$3:$H$24)=0,COUNTBLANK('3B-Prestaties vloeren'!$L$3:$M$24)=0),IF(R197="sproei-extractie",I197/VLOOKUP(E197,'3B-Prestaties vloeren'!$A$3:$H$24,8,FALSE),0)*P197,0)</f>
        <v>0</v>
      </c>
    </row>
    <row r="198" spans="1:23" ht="15" hidden="1">
      <c r="A198" s="378" t="s">
        <v>677</v>
      </c>
      <c r="B198" s="378" t="s">
        <v>678</v>
      </c>
      <c r="C198" s="378">
        <v>0</v>
      </c>
      <c r="D198" s="378" t="s">
        <v>680</v>
      </c>
      <c r="E198" s="378" t="s">
        <v>728</v>
      </c>
      <c r="F198" s="378" t="s">
        <v>647</v>
      </c>
      <c r="G198" s="378" t="str">
        <f>VLOOKUP(F198,'3B-Prestaties vloeren'!$A$28:$B$118,2,0)</f>
        <v>Hard onbehandeld</v>
      </c>
      <c r="H198" s="378" t="s">
        <v>330</v>
      </c>
      <c r="I198" s="416" t="s">
        <v>657</v>
      </c>
      <c r="J198" s="422"/>
      <c r="K198" s="426">
        <v>0</v>
      </c>
      <c r="L198" s="378">
        <f t="shared" si="9"/>
        <v>0</v>
      </c>
      <c r="M198" s="380">
        <f>IF(K198=0,0,IF(COUNTBLANK('3A-Prestatie'!$B$2:$I$22)=0,L198/VLOOKUP(E198,'3A-Prestatie'!$A$1:$M$22,VLOOKUP(K198,'3A-Prestatie'!$A$28:$B$34,2,FALSE),FALSE),"3A prestatie invullen"))</f>
        <v>0</v>
      </c>
      <c r="N198" s="380">
        <f t="shared" si="11"/>
        <v>0</v>
      </c>
      <c r="O198" s="381" t="str">
        <f>VLOOKUP(E198,'3A-Prestatie'!A:M,13,FALSE)</f>
        <v>N.v.t.</v>
      </c>
      <c r="P198" s="382">
        <f>IF(R198="Niet van toepassing",0,VLOOKUP(E198,'3B-Prestaties vloeren'!$A$3:$D$24,IF(G198="Hard onbehandeld",2,IF(G198="Hard behandeld",3,4)),FALSE))</f>
        <v>0</v>
      </c>
      <c r="Q198" s="383">
        <f t="shared" si="10"/>
        <v>0</v>
      </c>
      <c r="R198" s="384" t="str">
        <f>IF(K198=0,"Niet van toepassing",IF(G198='3B-Prestaties vloeren'!$B$2,"Schrobben",IF(G198='3B-Prestaties vloeren'!$C$2,"Sprayen/conserveren",IF(G198='3B-Prestaties vloeren'!$D$2,"Sproei-extractie",0))))</f>
        <v>Niet van toepassing</v>
      </c>
      <c r="S198" s="385">
        <f>IF('2-Tarieven'!$B$28=0,0,IF(M198=0,0,'2-Tarieven'!$B$28*M198))</f>
        <v>0</v>
      </c>
      <c r="T198" s="386">
        <f>IF(AND(COUNTBLANK('3B-Prestaties vloeren'!$F$3:$H$24)=0,COUNTBLANK('3B-Prestaties vloeren'!$L$3:$M$24)=0),IF(R198="Sprayen/conserveren",I198/VLOOKUP(E198,'3B-Prestaties vloeren'!$A$3:$M$24,12,FALSE),0)*(P198-1),0)</f>
        <v>0</v>
      </c>
      <c r="U198" s="386">
        <f>IF(AND(COUNTBLANK('3B-Prestaties vloeren'!$F$3:$H$24)=0,COUNTBLANK('3B-Prestaties vloeren'!$L$3:$M$24)=0),IF(R198="Sprayen/conserveren",I198/VLOOKUP(E198,'3B-Prestaties vloeren'!$A$3:$M$24,13,FALSE),0),0)</f>
        <v>0</v>
      </c>
      <c r="V198" s="386">
        <f>IF(AND(COUNTBLANK('3B-Prestaties vloeren'!$F$3:$H$24)=0,COUNTBLANK('3B-Prestaties vloeren'!$L$3:$M$24)=0),IF(R198="schrobben",I198/VLOOKUP(E198,'3B-Prestaties vloeren'!$A$3:$H$24,6,FALSE),0)*P198,0)</f>
        <v>0</v>
      </c>
      <c r="W198" s="386">
        <f>IF(AND(COUNTBLANK('3B-Prestaties vloeren'!$F$3:$H$24)=0,COUNTBLANK('3B-Prestaties vloeren'!$L$3:$M$24)=0),IF(R198="sproei-extractie",I198/VLOOKUP(E198,'3B-Prestaties vloeren'!$A$3:$H$24,8,FALSE),0)*P198,0)</f>
        <v>0</v>
      </c>
    </row>
    <row r="199" spans="1:23" ht="15" hidden="1">
      <c r="A199" s="378" t="s">
        <v>677</v>
      </c>
      <c r="B199" s="378" t="s">
        <v>678</v>
      </c>
      <c r="C199" s="378">
        <v>0</v>
      </c>
      <c r="D199" s="378" t="s">
        <v>681</v>
      </c>
      <c r="E199" s="378" t="s">
        <v>728</v>
      </c>
      <c r="F199" s="378" t="s">
        <v>647</v>
      </c>
      <c r="G199" s="378" t="str">
        <f>VLOOKUP(F199,'3B-Prestaties vloeren'!$A$28:$B$118,2,0)</f>
        <v>Hard onbehandeld</v>
      </c>
      <c r="H199" s="378" t="s">
        <v>4</v>
      </c>
      <c r="I199" s="416" t="s">
        <v>657</v>
      </c>
      <c r="J199" s="422"/>
      <c r="K199" s="426">
        <v>0</v>
      </c>
      <c r="L199" s="378">
        <f t="shared" si="9"/>
        <v>0</v>
      </c>
      <c r="M199" s="380">
        <f>IF(K199=0,0,IF(COUNTBLANK('3A-Prestatie'!$B$2:$I$22)=0,L199/VLOOKUP(E199,'3A-Prestatie'!$A$1:$M$22,VLOOKUP(K199,'3A-Prestatie'!$A$28:$B$34,2,FALSE),FALSE),"3A prestatie invullen"))</f>
        <v>0</v>
      </c>
      <c r="N199" s="380">
        <f t="shared" si="11"/>
        <v>0</v>
      </c>
      <c r="O199" s="381" t="str">
        <f>VLOOKUP(E199,'3A-Prestatie'!A:M,13,FALSE)</f>
        <v>N.v.t.</v>
      </c>
      <c r="P199" s="382">
        <f>IF(R199="Niet van toepassing",0,VLOOKUP(E199,'3B-Prestaties vloeren'!$A$3:$D$24,IF(G199="Hard onbehandeld",2,IF(G199="Hard behandeld",3,4)),FALSE))</f>
        <v>0</v>
      </c>
      <c r="Q199" s="383">
        <f t="shared" si="10"/>
        <v>0</v>
      </c>
      <c r="R199" s="384" t="str">
        <f>IF(K199=0,"Niet van toepassing",IF(G199='3B-Prestaties vloeren'!$B$2,"Schrobben",IF(G199='3B-Prestaties vloeren'!$C$2,"Sprayen/conserveren",IF(G199='3B-Prestaties vloeren'!$D$2,"Sproei-extractie",0))))</f>
        <v>Niet van toepassing</v>
      </c>
      <c r="S199" s="385">
        <f>IF('2-Tarieven'!$B$28=0,0,IF(M199=0,0,'2-Tarieven'!$B$28*M199))</f>
        <v>0</v>
      </c>
      <c r="T199" s="386">
        <f>IF(AND(COUNTBLANK('3B-Prestaties vloeren'!$F$3:$H$24)=0,COUNTBLANK('3B-Prestaties vloeren'!$L$3:$M$24)=0),IF(R199="Sprayen/conserveren",I199/VLOOKUP(E199,'3B-Prestaties vloeren'!$A$3:$M$24,12,FALSE),0)*(P199-1),0)</f>
        <v>0</v>
      </c>
      <c r="U199" s="386">
        <f>IF(AND(COUNTBLANK('3B-Prestaties vloeren'!$F$3:$H$24)=0,COUNTBLANK('3B-Prestaties vloeren'!$L$3:$M$24)=0),IF(R199="Sprayen/conserveren",I199/VLOOKUP(E199,'3B-Prestaties vloeren'!$A$3:$M$24,13,FALSE),0),0)</f>
        <v>0</v>
      </c>
      <c r="V199" s="386">
        <f>IF(AND(COUNTBLANK('3B-Prestaties vloeren'!$F$3:$H$24)=0,COUNTBLANK('3B-Prestaties vloeren'!$L$3:$M$24)=0),IF(R199="schrobben",I199/VLOOKUP(E199,'3B-Prestaties vloeren'!$A$3:$H$24,6,FALSE),0)*P199,0)</f>
        <v>0</v>
      </c>
      <c r="W199" s="386">
        <f>IF(AND(COUNTBLANK('3B-Prestaties vloeren'!$F$3:$H$24)=0,COUNTBLANK('3B-Prestaties vloeren'!$L$3:$M$24)=0),IF(R199="sproei-extractie",I199/VLOOKUP(E199,'3B-Prestaties vloeren'!$A$3:$H$24,8,FALSE),0)*P199,0)</f>
        <v>0</v>
      </c>
    </row>
    <row r="200" spans="1:23" ht="15" hidden="1">
      <c r="A200" s="378" t="s">
        <v>677</v>
      </c>
      <c r="B200" s="378" t="s">
        <v>678</v>
      </c>
      <c r="C200" s="378">
        <v>0</v>
      </c>
      <c r="D200" s="378" t="s">
        <v>312</v>
      </c>
      <c r="E200" s="378" t="s">
        <v>6</v>
      </c>
      <c r="F200" s="378" t="s">
        <v>647</v>
      </c>
      <c r="G200" s="378" t="str">
        <f>VLOOKUP(F200,'3B-Prestaties vloeren'!$A$28:$B$118,2,0)</f>
        <v>Hard onbehandeld</v>
      </c>
      <c r="H200" s="378"/>
      <c r="I200" s="378">
        <v>62.3</v>
      </c>
      <c r="J200" s="420" t="s">
        <v>749</v>
      </c>
      <c r="K200" s="426">
        <v>52</v>
      </c>
      <c r="L200" s="378">
        <f t="shared" si="9"/>
        <v>3239.6</v>
      </c>
      <c r="M200" s="380" t="str">
        <f>IF(K200=0,0,IF(COUNTBLANK('3A-Prestatie'!$B$2:$I$22)=0,L200/VLOOKUP(E200,'3A-Prestatie'!$A$1:$M$22,VLOOKUP(K200,'3A-Prestatie'!$A$28:$B$34,2,FALSE),FALSE),"3A prestatie invullen"))</f>
        <v>3A prestatie invullen</v>
      </c>
      <c r="N200" s="380">
        <f t="shared" si="11"/>
        <v>0</v>
      </c>
      <c r="O200" s="381" t="str">
        <f>VLOOKUP(E200,'3A-Prestatie'!A:M,13,FALSE)</f>
        <v>V</v>
      </c>
      <c r="P200" s="382">
        <f>IF(R200="Niet van toepassing",0,VLOOKUP(E200,'3B-Prestaties vloeren'!$A$3:$D$24,IF(G200="Hard onbehandeld",2,IF(G200="Hard behandeld",3,4)),FALSE))</f>
        <v>4</v>
      </c>
      <c r="Q200" s="383">
        <f t="shared" si="10"/>
        <v>0</v>
      </c>
      <c r="R200" s="384" t="str">
        <f>IF(K200=0,"Niet van toepassing",IF(G200='3B-Prestaties vloeren'!$B$2,"Schrobben",IF(G200='3B-Prestaties vloeren'!$C$2,"Sprayen/conserveren",IF(G200='3B-Prestaties vloeren'!$D$2,"Sproei-extractie",0))))</f>
        <v>Schrobben</v>
      </c>
      <c r="S200" s="385">
        <f>IF('2-Tarieven'!$B$28=0,0,IF(M200=0,0,'2-Tarieven'!$B$28*M200))</f>
        <v>0</v>
      </c>
      <c r="T200" s="386">
        <f>IF(AND(COUNTBLANK('3B-Prestaties vloeren'!$F$3:$H$24)=0,COUNTBLANK('3B-Prestaties vloeren'!$L$3:$M$24)=0),IF(R200="Sprayen/conserveren",I200/VLOOKUP(E200,'3B-Prestaties vloeren'!$A$3:$M$24,12,FALSE),0)*(P200-1),0)</f>
        <v>0</v>
      </c>
      <c r="U200" s="386">
        <f>IF(AND(COUNTBLANK('3B-Prestaties vloeren'!$F$3:$H$24)=0,COUNTBLANK('3B-Prestaties vloeren'!$L$3:$M$24)=0),IF(R200="Sprayen/conserveren",I200/VLOOKUP(E200,'3B-Prestaties vloeren'!$A$3:$M$24,13,FALSE),0),0)</f>
        <v>0</v>
      </c>
      <c r="V200" s="386">
        <f>IF(AND(COUNTBLANK('3B-Prestaties vloeren'!$F$3:$H$24)=0,COUNTBLANK('3B-Prestaties vloeren'!$L$3:$M$24)=0),IF(R200="schrobben",I200/VLOOKUP(E200,'3B-Prestaties vloeren'!$A$3:$H$24,6,FALSE),0)*P200,0)</f>
        <v>0</v>
      </c>
      <c r="W200" s="386">
        <f>IF(AND(COUNTBLANK('3B-Prestaties vloeren'!$F$3:$H$24)=0,COUNTBLANK('3B-Prestaties vloeren'!$L$3:$M$24)=0),IF(R200="sproei-extractie",I200/VLOOKUP(E200,'3B-Prestaties vloeren'!$A$3:$H$24,8,FALSE),0)*P200,0)</f>
        <v>0</v>
      </c>
    </row>
    <row r="201" spans="1:23" ht="15" hidden="1">
      <c r="A201" s="378" t="s">
        <v>677</v>
      </c>
      <c r="B201" s="378" t="s">
        <v>678</v>
      </c>
      <c r="C201" s="378">
        <v>0</v>
      </c>
      <c r="D201" s="378" t="s">
        <v>313</v>
      </c>
      <c r="E201" s="378" t="s">
        <v>1</v>
      </c>
      <c r="F201" s="378" t="s">
        <v>647</v>
      </c>
      <c r="G201" s="378" t="str">
        <f>VLOOKUP(F201,'3B-Prestaties vloeren'!$A$28:$B$118,2,0)</f>
        <v>Hard onbehandeld</v>
      </c>
      <c r="H201" s="378"/>
      <c r="I201" s="378">
        <v>26.43</v>
      </c>
      <c r="J201" s="421" t="s">
        <v>511</v>
      </c>
      <c r="K201" s="426">
        <v>255</v>
      </c>
      <c r="L201" s="378">
        <f t="shared" si="9"/>
        <v>6739.65</v>
      </c>
      <c r="M201" s="380" t="str">
        <f>IF(K201=0,0,IF(COUNTBLANK('3A-Prestatie'!$B$2:$I$22)=0,L201/VLOOKUP(E201,'3A-Prestatie'!$A$1:$M$22,VLOOKUP(K201,'3A-Prestatie'!$A$28:$B$34,2,FALSE),FALSE),"3A prestatie invullen"))</f>
        <v>3A prestatie invullen</v>
      </c>
      <c r="N201" s="380">
        <f t="shared" si="11"/>
        <v>0</v>
      </c>
      <c r="O201" s="381" t="str">
        <f>VLOOKUP(E201,'3A-Prestatie'!A:M,13,FALSE)</f>
        <v>S</v>
      </c>
      <c r="P201" s="382">
        <f>IF(R201="Niet van toepassing",0,VLOOKUP(E201,'3B-Prestaties vloeren'!$A$3:$D$24,IF(G201="Hard onbehandeld",2,IF(G201="Hard behandeld",3,4)),FALSE))</f>
        <v>255</v>
      </c>
      <c r="Q201" s="383">
        <f t="shared" si="10"/>
        <v>0</v>
      </c>
      <c r="R201" s="384" t="str">
        <f>IF(K201=0,"Niet van toepassing",IF(G201='3B-Prestaties vloeren'!$B$2,"Schrobben",IF(G201='3B-Prestaties vloeren'!$C$2,"Sprayen/conserveren",IF(G201='3B-Prestaties vloeren'!$D$2,"Sproei-extractie",0))))</f>
        <v>Schrobben</v>
      </c>
      <c r="S201" s="385">
        <f>IF('2-Tarieven'!$B$28=0,0,IF(M201=0,0,'2-Tarieven'!$B$28*M201))</f>
        <v>0</v>
      </c>
      <c r="T201" s="386">
        <f>IF(AND(COUNTBLANK('3B-Prestaties vloeren'!$F$3:$H$24)=0,COUNTBLANK('3B-Prestaties vloeren'!$L$3:$M$24)=0),IF(R201="Sprayen/conserveren",I201/VLOOKUP(E201,'3B-Prestaties vloeren'!$A$3:$M$24,12,FALSE),0)*(P201-1),0)</f>
        <v>0</v>
      </c>
      <c r="U201" s="386">
        <f>IF(AND(COUNTBLANK('3B-Prestaties vloeren'!$F$3:$H$24)=0,COUNTBLANK('3B-Prestaties vloeren'!$L$3:$M$24)=0),IF(R201="Sprayen/conserveren",I201/VLOOKUP(E201,'3B-Prestaties vloeren'!$A$3:$M$24,13,FALSE),0),0)</f>
        <v>0</v>
      </c>
      <c r="V201" s="386">
        <f>IF(AND(COUNTBLANK('3B-Prestaties vloeren'!$F$3:$H$24)=0,COUNTBLANK('3B-Prestaties vloeren'!$L$3:$M$24)=0),IF(R201="schrobben",I201/VLOOKUP(E201,'3B-Prestaties vloeren'!$A$3:$H$24,6,FALSE),0)*P201,0)</f>
        <v>0</v>
      </c>
      <c r="W201" s="386">
        <f>IF(AND(COUNTBLANK('3B-Prestaties vloeren'!$F$3:$H$24)=0,COUNTBLANK('3B-Prestaties vloeren'!$L$3:$M$24)=0),IF(R201="sproei-extractie",I201/VLOOKUP(E201,'3B-Prestaties vloeren'!$A$3:$H$24,8,FALSE),0)*P201,0)</f>
        <v>0</v>
      </c>
    </row>
    <row r="202" spans="1:23" ht="15" hidden="1">
      <c r="A202" s="378" t="s">
        <v>677</v>
      </c>
      <c r="B202" s="378" t="s">
        <v>678</v>
      </c>
      <c r="C202" s="378">
        <v>0</v>
      </c>
      <c r="D202" s="378" t="s">
        <v>682</v>
      </c>
      <c r="E202" s="378" t="s">
        <v>728</v>
      </c>
      <c r="F202" s="378" t="s">
        <v>647</v>
      </c>
      <c r="G202" s="378" t="str">
        <f>VLOOKUP(F202,'3B-Prestaties vloeren'!$A$28:$B$118,2,0)</f>
        <v>Hard onbehandeld</v>
      </c>
      <c r="H202" s="378" t="s">
        <v>4</v>
      </c>
      <c r="I202" s="416" t="s">
        <v>657</v>
      </c>
      <c r="J202" s="422"/>
      <c r="K202" s="426">
        <v>0</v>
      </c>
      <c r="L202" s="378">
        <f t="shared" si="9"/>
        <v>0</v>
      </c>
      <c r="M202" s="380">
        <f>IF(K202=0,0,IF(COUNTBLANK('3A-Prestatie'!$B$2:$I$22)=0,L202/VLOOKUP(E202,'3A-Prestatie'!$A$1:$M$22,VLOOKUP(K202,'3A-Prestatie'!$A$28:$B$34,2,FALSE),FALSE),"3A prestatie invullen"))</f>
        <v>0</v>
      </c>
      <c r="N202" s="380">
        <f t="shared" si="11"/>
        <v>0</v>
      </c>
      <c r="O202" s="381" t="str">
        <f>VLOOKUP(E202,'3A-Prestatie'!A:M,13,FALSE)</f>
        <v>N.v.t.</v>
      </c>
      <c r="P202" s="382">
        <f>IF(R202="Niet van toepassing",0,VLOOKUP(E202,'3B-Prestaties vloeren'!$A$3:$D$24,IF(G202="Hard onbehandeld",2,IF(G202="Hard behandeld",3,4)),FALSE))</f>
        <v>0</v>
      </c>
      <c r="Q202" s="383">
        <f t="shared" si="10"/>
        <v>0</v>
      </c>
      <c r="R202" s="384" t="str">
        <f>IF(K202=0,"Niet van toepassing",IF(G202='3B-Prestaties vloeren'!$B$2,"Schrobben",IF(G202='3B-Prestaties vloeren'!$C$2,"Sprayen/conserveren",IF(G202='3B-Prestaties vloeren'!$D$2,"Sproei-extractie",0))))</f>
        <v>Niet van toepassing</v>
      </c>
      <c r="S202" s="385">
        <f>IF('2-Tarieven'!$B$28=0,0,IF(M202=0,0,'2-Tarieven'!$B$28*M202))</f>
        <v>0</v>
      </c>
      <c r="T202" s="386">
        <f>IF(AND(COUNTBLANK('3B-Prestaties vloeren'!$F$3:$H$24)=0,COUNTBLANK('3B-Prestaties vloeren'!$L$3:$M$24)=0),IF(R202="Sprayen/conserveren",I202/VLOOKUP(E202,'3B-Prestaties vloeren'!$A$3:$M$24,12,FALSE),0)*(P202-1),0)</f>
        <v>0</v>
      </c>
      <c r="U202" s="386">
        <f>IF(AND(COUNTBLANK('3B-Prestaties vloeren'!$F$3:$H$24)=0,COUNTBLANK('3B-Prestaties vloeren'!$L$3:$M$24)=0),IF(R202="Sprayen/conserveren",I202/VLOOKUP(E202,'3B-Prestaties vloeren'!$A$3:$M$24,13,FALSE),0),0)</f>
        <v>0</v>
      </c>
      <c r="V202" s="386">
        <f>IF(AND(COUNTBLANK('3B-Prestaties vloeren'!$F$3:$H$24)=0,COUNTBLANK('3B-Prestaties vloeren'!$L$3:$M$24)=0),IF(R202="schrobben",I202/VLOOKUP(E202,'3B-Prestaties vloeren'!$A$3:$H$24,6,FALSE),0)*P202,0)</f>
        <v>0</v>
      </c>
      <c r="W202" s="386">
        <f>IF(AND(COUNTBLANK('3B-Prestaties vloeren'!$F$3:$H$24)=0,COUNTBLANK('3B-Prestaties vloeren'!$L$3:$M$24)=0),IF(R202="sproei-extractie",I202/VLOOKUP(E202,'3B-Prestaties vloeren'!$A$3:$H$24,8,FALSE),0)*P202,0)</f>
        <v>0</v>
      </c>
    </row>
    <row r="203" spans="1:23" ht="15" hidden="1">
      <c r="A203" s="378" t="s">
        <v>677</v>
      </c>
      <c r="B203" s="378" t="s">
        <v>678</v>
      </c>
      <c r="C203" s="378">
        <v>0</v>
      </c>
      <c r="D203" s="378" t="s">
        <v>683</v>
      </c>
      <c r="E203" s="378" t="s">
        <v>728</v>
      </c>
      <c r="F203" s="378" t="s">
        <v>647</v>
      </c>
      <c r="G203" s="378" t="str">
        <f>VLOOKUP(F203,'3B-Prestaties vloeren'!$A$28:$B$118,2,0)</f>
        <v>Hard onbehandeld</v>
      </c>
      <c r="H203" s="378" t="s">
        <v>330</v>
      </c>
      <c r="I203" s="416" t="s">
        <v>657</v>
      </c>
      <c r="J203" s="422"/>
      <c r="K203" s="426">
        <v>0</v>
      </c>
      <c r="L203" s="378">
        <f t="shared" si="9"/>
        <v>0</v>
      </c>
      <c r="M203" s="380">
        <f>IF(K203=0,0,IF(COUNTBLANK('3A-Prestatie'!$B$2:$I$22)=0,L203/VLOOKUP(E203,'3A-Prestatie'!$A$1:$M$22,VLOOKUP(K203,'3A-Prestatie'!$A$28:$B$34,2,FALSE),FALSE),"3A prestatie invullen"))</f>
        <v>0</v>
      </c>
      <c r="N203" s="380">
        <f t="shared" si="11"/>
        <v>0</v>
      </c>
      <c r="O203" s="381" t="str">
        <f>VLOOKUP(E203,'3A-Prestatie'!A:M,13,FALSE)</f>
        <v>N.v.t.</v>
      </c>
      <c r="P203" s="382">
        <f>IF(R203="Niet van toepassing",0,VLOOKUP(E203,'3B-Prestaties vloeren'!$A$3:$D$24,IF(G203="Hard onbehandeld",2,IF(G203="Hard behandeld",3,4)),FALSE))</f>
        <v>0</v>
      </c>
      <c r="Q203" s="383">
        <f t="shared" si="10"/>
        <v>0</v>
      </c>
      <c r="R203" s="384" t="str">
        <f>IF(K203=0,"Niet van toepassing",IF(G203='3B-Prestaties vloeren'!$B$2,"Schrobben",IF(G203='3B-Prestaties vloeren'!$C$2,"Sprayen/conserveren",IF(G203='3B-Prestaties vloeren'!$D$2,"Sproei-extractie",0))))</f>
        <v>Niet van toepassing</v>
      </c>
      <c r="S203" s="385">
        <f>IF('2-Tarieven'!$B$28=0,0,IF(M203=0,0,'2-Tarieven'!$B$28*M203))</f>
        <v>0</v>
      </c>
      <c r="T203" s="386">
        <f>IF(AND(COUNTBLANK('3B-Prestaties vloeren'!$F$3:$H$24)=0,COUNTBLANK('3B-Prestaties vloeren'!$L$3:$M$24)=0),IF(R203="Sprayen/conserveren",I203/VLOOKUP(E203,'3B-Prestaties vloeren'!$A$3:$M$24,12,FALSE),0)*(P203-1),0)</f>
        <v>0</v>
      </c>
      <c r="U203" s="386">
        <f>IF(AND(COUNTBLANK('3B-Prestaties vloeren'!$F$3:$H$24)=0,COUNTBLANK('3B-Prestaties vloeren'!$L$3:$M$24)=0),IF(R203="Sprayen/conserveren",I203/VLOOKUP(E203,'3B-Prestaties vloeren'!$A$3:$M$24,13,FALSE),0),0)</f>
        <v>0</v>
      </c>
      <c r="V203" s="386">
        <f>IF(AND(COUNTBLANK('3B-Prestaties vloeren'!$F$3:$H$24)=0,COUNTBLANK('3B-Prestaties vloeren'!$L$3:$M$24)=0),IF(R203="schrobben",I203/VLOOKUP(E203,'3B-Prestaties vloeren'!$A$3:$H$24,6,FALSE),0)*P203,0)</f>
        <v>0</v>
      </c>
      <c r="W203" s="386">
        <f>IF(AND(COUNTBLANK('3B-Prestaties vloeren'!$F$3:$H$24)=0,COUNTBLANK('3B-Prestaties vloeren'!$L$3:$M$24)=0),IF(R203="sproei-extractie",I203/VLOOKUP(E203,'3B-Prestaties vloeren'!$A$3:$H$24,8,FALSE),0)*P203,0)</f>
        <v>0</v>
      </c>
    </row>
    <row r="204" spans="1:23" ht="15" hidden="1">
      <c r="A204" s="378" t="s">
        <v>677</v>
      </c>
      <c r="B204" s="378" t="s">
        <v>678</v>
      </c>
      <c r="C204" s="378">
        <v>0</v>
      </c>
      <c r="D204" s="378" t="s">
        <v>314</v>
      </c>
      <c r="E204" s="378" t="s">
        <v>302</v>
      </c>
      <c r="F204" s="378" t="s">
        <v>647</v>
      </c>
      <c r="G204" s="378" t="str">
        <f>VLOOKUP(F204,'3B-Prestaties vloeren'!$A$28:$B$118,2,0)</f>
        <v>Hard onbehandeld</v>
      </c>
      <c r="H204" s="378"/>
      <c r="I204" s="378">
        <v>2.2999999999999998</v>
      </c>
      <c r="J204" s="419"/>
      <c r="K204" s="426">
        <v>0</v>
      </c>
      <c r="L204" s="378">
        <f t="shared" si="9"/>
        <v>0</v>
      </c>
      <c r="M204" s="380">
        <f>IF(K204=0,0,IF(COUNTBLANK('3A-Prestatie'!$B$2:$I$22)=0,L204/VLOOKUP(E204,'3A-Prestatie'!$A$1:$M$22,VLOOKUP(K204,'3A-Prestatie'!$A$28:$B$34,2,FALSE),FALSE),"3A prestatie invullen"))</f>
        <v>0</v>
      </c>
      <c r="N204" s="380">
        <f t="shared" si="11"/>
        <v>0</v>
      </c>
      <c r="O204" s="381" t="str">
        <f>VLOOKUP(E204,'3A-Prestatie'!A:M,13,FALSE)</f>
        <v>S</v>
      </c>
      <c r="P204" s="382">
        <f>IF(R204="Niet van toepassing",0,VLOOKUP(E204,'3B-Prestaties vloeren'!$A$3:$D$24,IF(G204="Hard onbehandeld",2,IF(G204="Hard behandeld",3,4)),FALSE))</f>
        <v>0</v>
      </c>
      <c r="Q204" s="383">
        <f t="shared" si="10"/>
        <v>0</v>
      </c>
      <c r="R204" s="384" t="str">
        <f>IF(K204=0,"Niet van toepassing",IF(G204='3B-Prestaties vloeren'!$B$2,"Schrobben",IF(G204='3B-Prestaties vloeren'!$C$2,"Sprayen/conserveren",IF(G204='3B-Prestaties vloeren'!$D$2,"Sproei-extractie",0))))</f>
        <v>Niet van toepassing</v>
      </c>
      <c r="S204" s="385">
        <f>IF('2-Tarieven'!$B$28=0,0,IF(M204=0,0,'2-Tarieven'!$B$28*M204))</f>
        <v>0</v>
      </c>
      <c r="T204" s="386">
        <f>IF(AND(COUNTBLANK('3B-Prestaties vloeren'!$F$3:$H$24)=0,COUNTBLANK('3B-Prestaties vloeren'!$L$3:$M$24)=0),IF(R204="Sprayen/conserveren",I204/VLOOKUP(E204,'3B-Prestaties vloeren'!$A$3:$M$24,12,FALSE),0)*(P204-1),0)</f>
        <v>0</v>
      </c>
      <c r="U204" s="386">
        <f>IF(AND(COUNTBLANK('3B-Prestaties vloeren'!$F$3:$H$24)=0,COUNTBLANK('3B-Prestaties vloeren'!$L$3:$M$24)=0),IF(R204="Sprayen/conserveren",I204/VLOOKUP(E204,'3B-Prestaties vloeren'!$A$3:$M$24,13,FALSE),0),0)</f>
        <v>0</v>
      </c>
      <c r="V204" s="386">
        <f>IF(AND(COUNTBLANK('3B-Prestaties vloeren'!$F$3:$H$24)=0,COUNTBLANK('3B-Prestaties vloeren'!$L$3:$M$24)=0),IF(R204="schrobben",I204/VLOOKUP(E204,'3B-Prestaties vloeren'!$A$3:$H$24,6,FALSE),0)*P204,0)</f>
        <v>0</v>
      </c>
      <c r="W204" s="386">
        <f>IF(AND(COUNTBLANK('3B-Prestaties vloeren'!$F$3:$H$24)=0,COUNTBLANK('3B-Prestaties vloeren'!$L$3:$M$24)=0),IF(R204="sproei-extractie",I204/VLOOKUP(E204,'3B-Prestaties vloeren'!$A$3:$H$24,8,FALSE),0)*P204,0)</f>
        <v>0</v>
      </c>
    </row>
    <row r="205" spans="1:23" ht="15" hidden="1">
      <c r="A205" s="378" t="s">
        <v>677</v>
      </c>
      <c r="B205" s="378" t="s">
        <v>678</v>
      </c>
      <c r="C205" s="378">
        <v>0</v>
      </c>
      <c r="D205" s="378" t="s">
        <v>315</v>
      </c>
      <c r="E205" s="378" t="s">
        <v>335</v>
      </c>
      <c r="F205" s="378" t="s">
        <v>670</v>
      </c>
      <c r="G205" s="378" t="str">
        <f>VLOOKUP(F205,'3B-Prestaties vloeren'!$A$28:$B$118,2,0)</f>
        <v>Hard onbehandeld</v>
      </c>
      <c r="H205" s="378"/>
      <c r="I205" s="378">
        <v>2.5</v>
      </c>
      <c r="J205" s="419"/>
      <c r="K205" s="426">
        <v>0</v>
      </c>
      <c r="L205" s="378">
        <f t="shared" si="9"/>
        <v>0</v>
      </c>
      <c r="M205" s="380">
        <f>IF(K205=0,0,IF(COUNTBLANK('3A-Prestatie'!$B$2:$I$22)=0,L205/VLOOKUP(E205,'3A-Prestatie'!$A$1:$M$22,VLOOKUP(K205,'3A-Prestatie'!$A$28:$B$34,2,FALSE),FALSE),"3A prestatie invullen"))</f>
        <v>0</v>
      </c>
      <c r="N205" s="380">
        <f t="shared" si="11"/>
        <v>0</v>
      </c>
      <c r="O205" s="381" t="str">
        <f>VLOOKUP(E205,'3A-Prestatie'!A:M,13,FALSE)</f>
        <v>V</v>
      </c>
      <c r="P205" s="382">
        <f>IF(R205="Niet van toepassing",0,VLOOKUP(E205,'3B-Prestaties vloeren'!$A$3:$D$24,IF(G205="Hard onbehandeld",2,IF(G205="Hard behandeld",3,4)),FALSE))</f>
        <v>0</v>
      </c>
      <c r="Q205" s="383">
        <f t="shared" si="10"/>
        <v>0</v>
      </c>
      <c r="R205" s="384" t="str">
        <f>IF(K205=0,"Niet van toepassing",IF(G205='3B-Prestaties vloeren'!$B$2,"Schrobben",IF(G205='3B-Prestaties vloeren'!$C$2,"Sprayen/conserveren",IF(G205='3B-Prestaties vloeren'!$D$2,"Sproei-extractie",0))))</f>
        <v>Niet van toepassing</v>
      </c>
      <c r="S205" s="385">
        <f>IF('2-Tarieven'!$B$28=0,0,IF(M205=0,0,'2-Tarieven'!$B$28*M205))</f>
        <v>0</v>
      </c>
      <c r="T205" s="386">
        <f>IF(AND(COUNTBLANK('3B-Prestaties vloeren'!$F$3:$H$24)=0,COUNTBLANK('3B-Prestaties vloeren'!$L$3:$M$24)=0),IF(R205="Sprayen/conserveren",I205/VLOOKUP(E205,'3B-Prestaties vloeren'!$A$3:$M$24,12,FALSE),0)*(P205-1),0)</f>
        <v>0</v>
      </c>
      <c r="U205" s="386">
        <f>IF(AND(COUNTBLANK('3B-Prestaties vloeren'!$F$3:$H$24)=0,COUNTBLANK('3B-Prestaties vloeren'!$L$3:$M$24)=0),IF(R205="Sprayen/conserveren",I205/VLOOKUP(E205,'3B-Prestaties vloeren'!$A$3:$M$24,13,FALSE),0),0)</f>
        <v>0</v>
      </c>
      <c r="V205" s="386">
        <f>IF(AND(COUNTBLANK('3B-Prestaties vloeren'!$F$3:$H$24)=0,COUNTBLANK('3B-Prestaties vloeren'!$L$3:$M$24)=0),IF(R205="schrobben",I205/VLOOKUP(E205,'3B-Prestaties vloeren'!$A$3:$H$24,6,FALSE),0)*P205,0)</f>
        <v>0</v>
      </c>
      <c r="W205" s="386">
        <f>IF(AND(COUNTBLANK('3B-Prestaties vloeren'!$F$3:$H$24)=0,COUNTBLANK('3B-Prestaties vloeren'!$L$3:$M$24)=0),IF(R205="sproei-extractie",I205/VLOOKUP(E205,'3B-Prestaties vloeren'!$A$3:$H$24,8,FALSE),0)*P205,0)</f>
        <v>0</v>
      </c>
    </row>
    <row r="206" spans="1:23" ht="15" hidden="1">
      <c r="A206" s="378" t="s">
        <v>677</v>
      </c>
      <c r="B206" s="378" t="s">
        <v>678</v>
      </c>
      <c r="C206" s="378">
        <v>0</v>
      </c>
      <c r="D206" s="378" t="s">
        <v>316</v>
      </c>
      <c r="E206" s="378" t="s">
        <v>5</v>
      </c>
      <c r="F206" s="378" t="s">
        <v>647</v>
      </c>
      <c r="G206" s="378" t="str">
        <f>VLOOKUP(F206,'3B-Prestaties vloeren'!$A$28:$B$118,2,0)</f>
        <v>Hard onbehandeld</v>
      </c>
      <c r="H206" s="378"/>
      <c r="I206" s="378">
        <v>25.8</v>
      </c>
      <c r="J206" s="420" t="s">
        <v>749</v>
      </c>
      <c r="K206" s="426">
        <v>52</v>
      </c>
      <c r="L206" s="378">
        <f t="shared" si="9"/>
        <v>1341.6000000000001</v>
      </c>
      <c r="M206" s="380" t="str">
        <f>IF(K206=0,0,IF(COUNTBLANK('3A-Prestatie'!$B$2:$I$22)=0,L206/VLOOKUP(E206,'3A-Prestatie'!$A$1:$M$22,VLOOKUP(K206,'3A-Prestatie'!$A$28:$B$34,2,FALSE),FALSE),"3A prestatie invullen"))</f>
        <v>3A prestatie invullen</v>
      </c>
      <c r="N206" s="380">
        <f t="shared" si="11"/>
        <v>0</v>
      </c>
      <c r="O206" s="381" t="str">
        <f>VLOOKUP(E206,'3A-Prestatie'!A:M,13,FALSE)</f>
        <v>B</v>
      </c>
      <c r="P206" s="382">
        <f>IF(R206="Niet van toepassing",0,VLOOKUP(E206,'3B-Prestaties vloeren'!$A$3:$D$24,IF(G206="Hard onbehandeld",2,IF(G206="Hard behandeld",3,4)),FALSE))</f>
        <v>4</v>
      </c>
      <c r="Q206" s="383">
        <f t="shared" si="10"/>
        <v>0</v>
      </c>
      <c r="R206" s="384" t="str">
        <f>IF(K206=0,"Niet van toepassing",IF(G206='3B-Prestaties vloeren'!$B$2,"Schrobben",IF(G206='3B-Prestaties vloeren'!$C$2,"Sprayen/conserveren",IF(G206='3B-Prestaties vloeren'!$D$2,"Sproei-extractie",0))))</f>
        <v>Schrobben</v>
      </c>
      <c r="S206" s="385">
        <f>IF('2-Tarieven'!$B$28=0,0,IF(M206=0,0,'2-Tarieven'!$B$28*M206))</f>
        <v>0</v>
      </c>
      <c r="T206" s="386">
        <f>IF(AND(COUNTBLANK('3B-Prestaties vloeren'!$F$3:$H$24)=0,COUNTBLANK('3B-Prestaties vloeren'!$L$3:$M$24)=0),IF(R206="Sprayen/conserveren",I206/VLOOKUP(E206,'3B-Prestaties vloeren'!$A$3:$M$24,12,FALSE),0)*(P206-1),0)</f>
        <v>0</v>
      </c>
      <c r="U206" s="386">
        <f>IF(AND(COUNTBLANK('3B-Prestaties vloeren'!$F$3:$H$24)=0,COUNTBLANK('3B-Prestaties vloeren'!$L$3:$M$24)=0),IF(R206="Sprayen/conserveren",I206/VLOOKUP(E206,'3B-Prestaties vloeren'!$A$3:$M$24,13,FALSE),0),0)</f>
        <v>0</v>
      </c>
      <c r="V206" s="386">
        <f>IF(AND(COUNTBLANK('3B-Prestaties vloeren'!$F$3:$H$24)=0,COUNTBLANK('3B-Prestaties vloeren'!$L$3:$M$24)=0),IF(R206="schrobben",I206/VLOOKUP(E206,'3B-Prestaties vloeren'!$A$3:$H$24,6,FALSE),0)*P206,0)</f>
        <v>0</v>
      </c>
      <c r="W206" s="386">
        <f>IF(AND(COUNTBLANK('3B-Prestaties vloeren'!$F$3:$H$24)=0,COUNTBLANK('3B-Prestaties vloeren'!$L$3:$M$24)=0),IF(R206="sproei-extractie",I206/VLOOKUP(E206,'3B-Prestaties vloeren'!$A$3:$H$24,8,FALSE),0)*P206,0)</f>
        <v>0</v>
      </c>
    </row>
    <row r="207" spans="1:23" ht="15" hidden="1">
      <c r="A207" s="378" t="s">
        <v>677</v>
      </c>
      <c r="B207" s="378" t="s">
        <v>678</v>
      </c>
      <c r="C207" s="378">
        <v>0</v>
      </c>
      <c r="D207" s="378" t="s">
        <v>317</v>
      </c>
      <c r="E207" s="378" t="s">
        <v>728</v>
      </c>
      <c r="F207" s="378" t="s">
        <v>65</v>
      </c>
      <c r="G207" s="378" t="str">
        <f>VLOOKUP(F207,'3B-Prestaties vloeren'!$A$28:$B$118,2,0)</f>
        <v>Zacht onbehandeld</v>
      </c>
      <c r="H207" s="378" t="s">
        <v>283</v>
      </c>
      <c r="I207" s="378">
        <v>10</v>
      </c>
      <c r="J207" s="419"/>
      <c r="K207" s="426">
        <v>0</v>
      </c>
      <c r="L207" s="378">
        <f t="shared" si="9"/>
        <v>0</v>
      </c>
      <c r="M207" s="380">
        <f>IF(K207=0,0,IF(COUNTBLANK('3A-Prestatie'!$B$2:$I$22)=0,L207/VLOOKUP(E207,'3A-Prestatie'!$A$1:$M$22,VLOOKUP(K207,'3A-Prestatie'!$A$28:$B$34,2,FALSE),FALSE),"3A prestatie invullen"))</f>
        <v>0</v>
      </c>
      <c r="N207" s="380">
        <f t="shared" si="11"/>
        <v>0</v>
      </c>
      <c r="O207" s="381" t="str">
        <f>VLOOKUP(E207,'3A-Prestatie'!A:M,13,FALSE)</f>
        <v>N.v.t.</v>
      </c>
      <c r="P207" s="382">
        <f>IF(R207="Niet van toepassing",0,VLOOKUP(E207,'3B-Prestaties vloeren'!$A$3:$D$24,IF(G207="Hard onbehandeld",2,IF(G207="Hard behandeld",3,4)),FALSE))</f>
        <v>0</v>
      </c>
      <c r="Q207" s="383">
        <f t="shared" si="10"/>
        <v>0</v>
      </c>
      <c r="R207" s="384" t="str">
        <f>IF(K207=0,"Niet van toepassing",IF(G207='3B-Prestaties vloeren'!$B$2,"Schrobben",IF(G207='3B-Prestaties vloeren'!$C$2,"Sprayen/conserveren",IF(G207='3B-Prestaties vloeren'!$D$2,"Sproei-extractie",0))))</f>
        <v>Niet van toepassing</v>
      </c>
      <c r="S207" s="385">
        <f>IF('2-Tarieven'!$B$28=0,0,IF(M207=0,0,'2-Tarieven'!$B$28*M207))</f>
        <v>0</v>
      </c>
      <c r="T207" s="386">
        <f>IF(AND(COUNTBLANK('3B-Prestaties vloeren'!$F$3:$H$24)=0,COUNTBLANK('3B-Prestaties vloeren'!$L$3:$M$24)=0),IF(R207="Sprayen/conserveren",I207/VLOOKUP(E207,'3B-Prestaties vloeren'!$A$3:$M$24,12,FALSE),0)*(P207-1),0)</f>
        <v>0</v>
      </c>
      <c r="U207" s="386">
        <f>IF(AND(COUNTBLANK('3B-Prestaties vloeren'!$F$3:$H$24)=0,COUNTBLANK('3B-Prestaties vloeren'!$L$3:$M$24)=0),IF(R207="Sprayen/conserveren",I207/VLOOKUP(E207,'3B-Prestaties vloeren'!$A$3:$M$24,13,FALSE),0),0)</f>
        <v>0</v>
      </c>
      <c r="V207" s="386">
        <f>IF(AND(COUNTBLANK('3B-Prestaties vloeren'!$F$3:$H$24)=0,COUNTBLANK('3B-Prestaties vloeren'!$L$3:$M$24)=0),IF(R207="schrobben",I207/VLOOKUP(E207,'3B-Prestaties vloeren'!$A$3:$H$24,6,FALSE),0)*P207,0)</f>
        <v>0</v>
      </c>
      <c r="W207" s="386">
        <f>IF(AND(COUNTBLANK('3B-Prestaties vloeren'!$F$3:$H$24)=0,COUNTBLANK('3B-Prestaties vloeren'!$L$3:$M$24)=0),IF(R207="sproei-extractie",I207/VLOOKUP(E207,'3B-Prestaties vloeren'!$A$3:$H$24,8,FALSE),0)*P207,0)</f>
        <v>0</v>
      </c>
    </row>
    <row r="208" spans="1:23" ht="15" hidden="1">
      <c r="A208" s="378" t="s">
        <v>677</v>
      </c>
      <c r="B208" s="378" t="s">
        <v>678</v>
      </c>
      <c r="C208" s="378">
        <v>0</v>
      </c>
      <c r="D208" s="378" t="s">
        <v>318</v>
      </c>
      <c r="E208" s="378" t="s">
        <v>285</v>
      </c>
      <c r="F208" s="378" t="s">
        <v>416</v>
      </c>
      <c r="G208" s="378" t="str">
        <f>VLOOKUP(F208,'3B-Prestaties vloeren'!$A$28:$B$118,2,0)</f>
        <v>Hard onbehandeld</v>
      </c>
      <c r="H208" s="378"/>
      <c r="I208" s="378">
        <v>17.37</v>
      </c>
      <c r="J208" s="420" t="s">
        <v>749</v>
      </c>
      <c r="K208" s="426">
        <v>255</v>
      </c>
      <c r="L208" s="378">
        <f t="shared" si="9"/>
        <v>4429.3500000000004</v>
      </c>
      <c r="M208" s="380" t="str">
        <f>IF(K208=0,0,IF(COUNTBLANK('3A-Prestatie'!$B$2:$I$22)=0,L208/VLOOKUP(E208,'3A-Prestatie'!$A$1:$M$22,VLOOKUP(K208,'3A-Prestatie'!$A$28:$B$34,2,FALSE),FALSE),"3A prestatie invullen"))</f>
        <v>3A prestatie invullen</v>
      </c>
      <c r="N208" s="380">
        <f t="shared" si="11"/>
        <v>0</v>
      </c>
      <c r="O208" s="381" t="str">
        <f>VLOOKUP(E208,'3A-Prestatie'!A:M,13,FALSE)</f>
        <v>V</v>
      </c>
      <c r="P208" s="382">
        <f>IF(R208="Niet van toepassing",0,VLOOKUP(E208,'3B-Prestaties vloeren'!$A$3:$D$24,IF(G208="Hard onbehandeld",2,IF(G208="Hard behandeld",3,4)),FALSE))</f>
        <v>52</v>
      </c>
      <c r="Q208" s="383">
        <f t="shared" si="10"/>
        <v>0</v>
      </c>
      <c r="R208" s="384" t="str">
        <f>IF(K208=0,"Niet van toepassing",IF(G208='3B-Prestaties vloeren'!$B$2,"Schrobben",IF(G208='3B-Prestaties vloeren'!$C$2,"Sprayen/conserveren",IF(G208='3B-Prestaties vloeren'!$D$2,"Sproei-extractie",0))))</f>
        <v>Schrobben</v>
      </c>
      <c r="S208" s="385">
        <f>IF('2-Tarieven'!$B$28=0,0,IF(M208=0,0,'2-Tarieven'!$B$28*M208))</f>
        <v>0</v>
      </c>
      <c r="T208" s="386">
        <f>IF(AND(COUNTBLANK('3B-Prestaties vloeren'!$F$3:$H$24)=0,COUNTBLANK('3B-Prestaties vloeren'!$L$3:$M$24)=0),IF(R208="Sprayen/conserveren",I208/VLOOKUP(E208,'3B-Prestaties vloeren'!$A$3:$M$24,12,FALSE),0)*(P208-1),0)</f>
        <v>0</v>
      </c>
      <c r="U208" s="386">
        <f>IF(AND(COUNTBLANK('3B-Prestaties vloeren'!$F$3:$H$24)=0,COUNTBLANK('3B-Prestaties vloeren'!$L$3:$M$24)=0),IF(R208="Sprayen/conserveren",I208/VLOOKUP(E208,'3B-Prestaties vloeren'!$A$3:$M$24,13,FALSE),0),0)</f>
        <v>0</v>
      </c>
      <c r="V208" s="386">
        <f>IF(AND(COUNTBLANK('3B-Prestaties vloeren'!$F$3:$H$24)=0,COUNTBLANK('3B-Prestaties vloeren'!$L$3:$M$24)=0),IF(R208="schrobben",I208/VLOOKUP(E208,'3B-Prestaties vloeren'!$A$3:$H$24,6,FALSE),0)*P208,0)</f>
        <v>0</v>
      </c>
      <c r="W208" s="386">
        <f>IF(AND(COUNTBLANK('3B-Prestaties vloeren'!$F$3:$H$24)=0,COUNTBLANK('3B-Prestaties vloeren'!$L$3:$M$24)=0),IF(R208="sproei-extractie",I208/VLOOKUP(E208,'3B-Prestaties vloeren'!$A$3:$H$24,8,FALSE),0)*P208,0)</f>
        <v>0</v>
      </c>
    </row>
    <row r="209" spans="1:23" ht="15" hidden="1">
      <c r="A209" s="378" t="s">
        <v>677</v>
      </c>
      <c r="B209" s="378" t="s">
        <v>678</v>
      </c>
      <c r="C209" s="378">
        <v>1</v>
      </c>
      <c r="D209" s="378" t="s">
        <v>336</v>
      </c>
      <c r="E209" s="378" t="s">
        <v>285</v>
      </c>
      <c r="F209" s="378" t="s">
        <v>416</v>
      </c>
      <c r="G209" s="378" t="str">
        <f>VLOOKUP(F209,'3B-Prestaties vloeren'!$A$28:$B$118,2,0)</f>
        <v>Hard onbehandeld</v>
      </c>
      <c r="H209" s="378"/>
      <c r="I209" s="378">
        <v>15.66</v>
      </c>
      <c r="J209" s="420" t="s">
        <v>749</v>
      </c>
      <c r="K209" s="426">
        <v>255</v>
      </c>
      <c r="L209" s="378">
        <f t="shared" si="9"/>
        <v>3993.3</v>
      </c>
      <c r="M209" s="380" t="str">
        <f>IF(K209=0,0,IF(COUNTBLANK('3A-Prestatie'!$B$2:$I$22)=0,L209/VLOOKUP(E209,'3A-Prestatie'!$A$1:$M$22,VLOOKUP(K209,'3A-Prestatie'!$A$28:$B$34,2,FALSE),FALSE),"3A prestatie invullen"))</f>
        <v>3A prestatie invullen</v>
      </c>
      <c r="N209" s="380">
        <f t="shared" si="11"/>
        <v>0</v>
      </c>
      <c r="O209" s="381" t="str">
        <f>VLOOKUP(E209,'3A-Prestatie'!A:M,13,FALSE)</f>
        <v>V</v>
      </c>
      <c r="P209" s="382">
        <f>IF(R209="Niet van toepassing",0,VLOOKUP(E209,'3B-Prestaties vloeren'!$A$3:$D$24,IF(G209="Hard onbehandeld",2,IF(G209="Hard behandeld",3,4)),FALSE))</f>
        <v>52</v>
      </c>
      <c r="Q209" s="383">
        <f t="shared" si="10"/>
        <v>0</v>
      </c>
      <c r="R209" s="384" t="str">
        <f>IF(K209=0,"Niet van toepassing",IF(G209='3B-Prestaties vloeren'!$B$2,"Schrobben",IF(G209='3B-Prestaties vloeren'!$C$2,"Sprayen/conserveren",IF(G209='3B-Prestaties vloeren'!$D$2,"Sproei-extractie",0))))</f>
        <v>Schrobben</v>
      </c>
      <c r="S209" s="385">
        <f>IF('2-Tarieven'!$B$28=0,0,IF(M209=0,0,'2-Tarieven'!$B$28*M209))</f>
        <v>0</v>
      </c>
      <c r="T209" s="386">
        <f>IF(AND(COUNTBLANK('3B-Prestaties vloeren'!$F$3:$H$24)=0,COUNTBLANK('3B-Prestaties vloeren'!$L$3:$M$24)=0),IF(R209="Sprayen/conserveren",I209/VLOOKUP(E209,'3B-Prestaties vloeren'!$A$3:$M$24,12,FALSE),0)*(P209-1),0)</f>
        <v>0</v>
      </c>
      <c r="U209" s="386">
        <f>IF(AND(COUNTBLANK('3B-Prestaties vloeren'!$F$3:$H$24)=0,COUNTBLANK('3B-Prestaties vloeren'!$L$3:$M$24)=0),IF(R209="Sprayen/conserveren",I209/VLOOKUP(E209,'3B-Prestaties vloeren'!$A$3:$M$24,13,FALSE),0),0)</f>
        <v>0</v>
      </c>
      <c r="V209" s="386">
        <f>IF(AND(COUNTBLANK('3B-Prestaties vloeren'!$F$3:$H$24)=0,COUNTBLANK('3B-Prestaties vloeren'!$L$3:$M$24)=0),IF(R209="schrobben",I209/VLOOKUP(E209,'3B-Prestaties vloeren'!$A$3:$H$24,6,FALSE),0)*P209,0)</f>
        <v>0</v>
      </c>
      <c r="W209" s="386">
        <f>IF(AND(COUNTBLANK('3B-Prestaties vloeren'!$F$3:$H$24)=0,COUNTBLANK('3B-Prestaties vloeren'!$L$3:$M$24)=0),IF(R209="sproei-extractie",I209/VLOOKUP(E209,'3B-Prestaties vloeren'!$A$3:$H$24,8,FALSE),0)*P209,0)</f>
        <v>0</v>
      </c>
    </row>
    <row r="210" spans="1:23" ht="15" hidden="1">
      <c r="A210" s="378" t="s">
        <v>677</v>
      </c>
      <c r="B210" s="378" t="s">
        <v>678</v>
      </c>
      <c r="C210" s="378">
        <v>1</v>
      </c>
      <c r="D210" s="378" t="s">
        <v>337</v>
      </c>
      <c r="E210" s="378" t="s">
        <v>684</v>
      </c>
      <c r="F210" s="378" t="s">
        <v>647</v>
      </c>
      <c r="G210" s="378" t="str">
        <f>VLOOKUP(F210,'3B-Prestaties vloeren'!$A$28:$B$118,2,0)</f>
        <v>Hard onbehandeld</v>
      </c>
      <c r="H210" s="378"/>
      <c r="I210" s="378">
        <v>491.42</v>
      </c>
      <c r="J210" s="420" t="s">
        <v>749</v>
      </c>
      <c r="K210" s="426">
        <v>255</v>
      </c>
      <c r="L210" s="378">
        <f t="shared" si="9"/>
        <v>125312.1</v>
      </c>
      <c r="M210" s="380" t="str">
        <f>IF(K210=0,0,IF(COUNTBLANK('3A-Prestatie'!$B$2:$I$22)=0,L210/VLOOKUP(E210,'3A-Prestatie'!$A$1:$M$22,VLOOKUP(K210,'3A-Prestatie'!$A$28:$B$34,2,FALSE),FALSE),"3A prestatie invullen"))</f>
        <v>3A prestatie invullen</v>
      </c>
      <c r="N210" s="380">
        <f t="shared" si="11"/>
        <v>0</v>
      </c>
      <c r="O210" s="381" t="str">
        <f>VLOOKUP(E210,'3A-Prestatie'!A:M,13,FALSE)</f>
        <v>V</v>
      </c>
      <c r="P210" s="382">
        <f>IF(R210="Niet van toepassing",0,VLOOKUP(E210,'3B-Prestaties vloeren'!$A$3:$D$24,IF(G210="Hard onbehandeld",2,IF(G210="Hard behandeld",3,4)),FALSE))</f>
        <v>12</v>
      </c>
      <c r="Q210" s="383">
        <f t="shared" si="10"/>
        <v>0</v>
      </c>
      <c r="R210" s="384" t="str">
        <f>IF(K210=0,"Niet van toepassing",IF(G210='3B-Prestaties vloeren'!$B$2,"Schrobben",IF(G210='3B-Prestaties vloeren'!$C$2,"Sprayen/conserveren",IF(G210='3B-Prestaties vloeren'!$D$2,"Sproei-extractie",0))))</f>
        <v>Schrobben</v>
      </c>
      <c r="S210" s="385">
        <f>IF('2-Tarieven'!$B$28=0,0,IF(M210=0,0,'2-Tarieven'!$B$28*M210))</f>
        <v>0</v>
      </c>
      <c r="T210" s="386">
        <f>IF(AND(COUNTBLANK('3B-Prestaties vloeren'!$F$3:$H$24)=0,COUNTBLANK('3B-Prestaties vloeren'!$L$3:$M$24)=0),IF(R210="Sprayen/conserveren",I210/VLOOKUP(E210,'3B-Prestaties vloeren'!$A$3:$M$24,12,FALSE),0)*(P210-1),0)</f>
        <v>0</v>
      </c>
      <c r="U210" s="386">
        <f>IF(AND(COUNTBLANK('3B-Prestaties vloeren'!$F$3:$H$24)=0,COUNTBLANK('3B-Prestaties vloeren'!$L$3:$M$24)=0),IF(R210="Sprayen/conserveren",I210/VLOOKUP(E210,'3B-Prestaties vloeren'!$A$3:$M$24,13,FALSE),0),0)</f>
        <v>0</v>
      </c>
      <c r="V210" s="386">
        <f>IF(AND(COUNTBLANK('3B-Prestaties vloeren'!$F$3:$H$24)=0,COUNTBLANK('3B-Prestaties vloeren'!$L$3:$M$24)=0),IF(R210="schrobben",I210/VLOOKUP(E210,'3B-Prestaties vloeren'!$A$3:$H$24,6,FALSE),0)*P210,0)</f>
        <v>0</v>
      </c>
      <c r="W210" s="386">
        <f>IF(AND(COUNTBLANK('3B-Prestaties vloeren'!$F$3:$H$24)=0,COUNTBLANK('3B-Prestaties vloeren'!$L$3:$M$24)=0),IF(R210="sproei-extractie",I210/VLOOKUP(E210,'3B-Prestaties vloeren'!$A$3:$H$24,8,FALSE),0)*P210,0)</f>
        <v>0</v>
      </c>
    </row>
    <row r="211" spans="1:23" ht="15" hidden="1">
      <c r="A211" s="378" t="s">
        <v>677</v>
      </c>
      <c r="B211" s="378" t="s">
        <v>678</v>
      </c>
      <c r="C211" s="378">
        <v>1</v>
      </c>
      <c r="D211" s="378" t="s">
        <v>338</v>
      </c>
      <c r="E211" s="378" t="s">
        <v>6</v>
      </c>
      <c r="F211" s="378" t="s">
        <v>647</v>
      </c>
      <c r="G211" s="378" t="str">
        <f>VLOOKUP(F211,'3B-Prestaties vloeren'!$A$28:$B$118,2,0)</f>
        <v>Hard onbehandeld</v>
      </c>
      <c r="H211" s="378"/>
      <c r="I211" s="378">
        <v>14.4</v>
      </c>
      <c r="J211" s="420" t="s">
        <v>749</v>
      </c>
      <c r="K211" s="426">
        <v>52</v>
      </c>
      <c r="L211" s="378">
        <f t="shared" si="9"/>
        <v>748.80000000000007</v>
      </c>
      <c r="M211" s="380" t="str">
        <f>IF(K211=0,0,IF(COUNTBLANK('3A-Prestatie'!$B$2:$I$22)=0,L211/VLOOKUP(E211,'3A-Prestatie'!$A$1:$M$22,VLOOKUP(K211,'3A-Prestatie'!$A$28:$B$34,2,FALSE),FALSE),"3A prestatie invullen"))</f>
        <v>3A prestatie invullen</v>
      </c>
      <c r="N211" s="380">
        <f t="shared" si="11"/>
        <v>0</v>
      </c>
      <c r="O211" s="381" t="str">
        <f>VLOOKUP(E211,'3A-Prestatie'!A:M,13,FALSE)</f>
        <v>V</v>
      </c>
      <c r="P211" s="382">
        <f>IF(R211="Niet van toepassing",0,VLOOKUP(E211,'3B-Prestaties vloeren'!$A$3:$D$24,IF(G211="Hard onbehandeld",2,IF(G211="Hard behandeld",3,4)),FALSE))</f>
        <v>4</v>
      </c>
      <c r="Q211" s="383">
        <f t="shared" si="10"/>
        <v>0</v>
      </c>
      <c r="R211" s="384" t="str">
        <f>IF(K211=0,"Niet van toepassing",IF(G211='3B-Prestaties vloeren'!$B$2,"Schrobben",IF(G211='3B-Prestaties vloeren'!$C$2,"Sprayen/conserveren",IF(G211='3B-Prestaties vloeren'!$D$2,"Sproei-extractie",0))))</f>
        <v>Schrobben</v>
      </c>
      <c r="S211" s="385">
        <f>IF('2-Tarieven'!$B$28=0,0,IF(M211=0,0,'2-Tarieven'!$B$28*M211))</f>
        <v>0</v>
      </c>
      <c r="T211" s="386">
        <f>IF(AND(COUNTBLANK('3B-Prestaties vloeren'!$F$3:$H$24)=0,COUNTBLANK('3B-Prestaties vloeren'!$L$3:$M$24)=0),IF(R211="Sprayen/conserveren",I211/VLOOKUP(E211,'3B-Prestaties vloeren'!$A$3:$M$24,12,FALSE),0)*(P211-1),0)</f>
        <v>0</v>
      </c>
      <c r="U211" s="386">
        <f>IF(AND(COUNTBLANK('3B-Prestaties vloeren'!$F$3:$H$24)=0,COUNTBLANK('3B-Prestaties vloeren'!$L$3:$M$24)=0),IF(R211="Sprayen/conserveren",I211/VLOOKUP(E211,'3B-Prestaties vloeren'!$A$3:$M$24,13,FALSE),0),0)</f>
        <v>0</v>
      </c>
      <c r="V211" s="386">
        <f>IF(AND(COUNTBLANK('3B-Prestaties vloeren'!$F$3:$H$24)=0,COUNTBLANK('3B-Prestaties vloeren'!$L$3:$M$24)=0),IF(R211="schrobben",I211/VLOOKUP(E211,'3B-Prestaties vloeren'!$A$3:$H$24,6,FALSE),0)*P211,0)</f>
        <v>0</v>
      </c>
      <c r="W211" s="386">
        <f>IF(AND(COUNTBLANK('3B-Prestaties vloeren'!$F$3:$H$24)=0,COUNTBLANK('3B-Prestaties vloeren'!$L$3:$M$24)=0),IF(R211="sproei-extractie",I211/VLOOKUP(E211,'3B-Prestaties vloeren'!$A$3:$H$24,8,FALSE),0)*P211,0)</f>
        <v>0</v>
      </c>
    </row>
    <row r="212" spans="1:23" ht="15" hidden="1">
      <c r="A212" s="378" t="s">
        <v>677</v>
      </c>
      <c r="B212" s="378" t="s">
        <v>678</v>
      </c>
      <c r="C212" s="378">
        <v>1</v>
      </c>
      <c r="D212" s="378" t="s">
        <v>339</v>
      </c>
      <c r="E212" s="378" t="s">
        <v>307</v>
      </c>
      <c r="F212" s="378" t="s">
        <v>85</v>
      </c>
      <c r="G212" s="378" t="str">
        <f>VLOOKUP(F212,'3B-Prestaties vloeren'!$A$28:$B$118,2,0)</f>
        <v>Hard onbehandeld</v>
      </c>
      <c r="H212" s="378" t="s">
        <v>685</v>
      </c>
      <c r="I212" s="378">
        <v>15.1</v>
      </c>
      <c r="J212" s="420" t="s">
        <v>749</v>
      </c>
      <c r="K212" s="426">
        <v>255</v>
      </c>
      <c r="L212" s="378">
        <f t="shared" si="9"/>
        <v>3850.5</v>
      </c>
      <c r="M212" s="380" t="str">
        <f>IF(K212=0,0,IF(COUNTBLANK('3A-Prestatie'!$B$2:$I$22)=0,L212/VLOOKUP(E212,'3A-Prestatie'!$A$1:$M$22,VLOOKUP(K212,'3A-Prestatie'!$A$28:$B$34,2,FALSE),FALSE),"3A prestatie invullen"))</f>
        <v>3A prestatie invullen</v>
      </c>
      <c r="N212" s="380">
        <f t="shared" si="11"/>
        <v>0</v>
      </c>
      <c r="O212" s="381" t="str">
        <f>VLOOKUP(E212,'3A-Prestatie'!A:M,13,FALSE)</f>
        <v>V</v>
      </c>
      <c r="P212" s="382">
        <f>IF(R212="Niet van toepassing",0,VLOOKUP(E212,'3B-Prestaties vloeren'!$A$3:$D$24,IF(G212="Hard onbehandeld",2,IF(G212="Hard behandeld",3,4)),FALSE))</f>
        <v>52</v>
      </c>
      <c r="Q212" s="383">
        <f t="shared" si="10"/>
        <v>0</v>
      </c>
      <c r="R212" s="384" t="str">
        <f>IF(K212=0,"Niet van toepassing",IF(G212='3B-Prestaties vloeren'!$B$2,"Schrobben",IF(G212='3B-Prestaties vloeren'!$C$2,"Sprayen/conserveren",IF(G212='3B-Prestaties vloeren'!$D$2,"Sproei-extractie",0))))</f>
        <v>Schrobben</v>
      </c>
      <c r="S212" s="385">
        <f>IF('2-Tarieven'!$B$28=0,0,IF(M212=0,0,'2-Tarieven'!$B$28*M212))</f>
        <v>0</v>
      </c>
      <c r="T212" s="386">
        <f>IF(AND(COUNTBLANK('3B-Prestaties vloeren'!$F$3:$H$24)=0,COUNTBLANK('3B-Prestaties vloeren'!$L$3:$M$24)=0),IF(R212="Sprayen/conserveren",I212/VLOOKUP(E212,'3B-Prestaties vloeren'!$A$3:$M$24,12,FALSE),0)*(P212-1),0)</f>
        <v>0</v>
      </c>
      <c r="U212" s="386">
        <f>IF(AND(COUNTBLANK('3B-Prestaties vloeren'!$F$3:$H$24)=0,COUNTBLANK('3B-Prestaties vloeren'!$L$3:$M$24)=0),IF(R212="Sprayen/conserveren",I212/VLOOKUP(E212,'3B-Prestaties vloeren'!$A$3:$M$24,13,FALSE),0),0)</f>
        <v>0</v>
      </c>
      <c r="V212" s="386">
        <f>IF(AND(COUNTBLANK('3B-Prestaties vloeren'!$F$3:$H$24)=0,COUNTBLANK('3B-Prestaties vloeren'!$L$3:$M$24)=0),IF(R212="schrobben",I212/VLOOKUP(E212,'3B-Prestaties vloeren'!$A$3:$H$24,6,FALSE),0)*P212,0)</f>
        <v>0</v>
      </c>
      <c r="W212" s="386">
        <f>IF(AND(COUNTBLANK('3B-Prestaties vloeren'!$F$3:$H$24)=0,COUNTBLANK('3B-Prestaties vloeren'!$L$3:$M$24)=0),IF(R212="sproei-extractie",I212/VLOOKUP(E212,'3B-Prestaties vloeren'!$A$3:$H$24,8,FALSE),0)*P212,0)</f>
        <v>0</v>
      </c>
    </row>
    <row r="213" spans="1:23" ht="15" hidden="1">
      <c r="A213" s="378" t="s">
        <v>677</v>
      </c>
      <c r="B213" s="378" t="s">
        <v>678</v>
      </c>
      <c r="C213" s="378">
        <v>1</v>
      </c>
      <c r="D213" s="378" t="s">
        <v>340</v>
      </c>
      <c r="E213" s="378" t="s">
        <v>307</v>
      </c>
      <c r="F213" s="378" t="s">
        <v>85</v>
      </c>
      <c r="G213" s="378" t="str">
        <f>VLOOKUP(F213,'3B-Prestaties vloeren'!$A$28:$B$118,2,0)</f>
        <v>Hard onbehandeld</v>
      </c>
      <c r="H213" s="378" t="s">
        <v>685</v>
      </c>
      <c r="I213" s="378">
        <v>27.8</v>
      </c>
      <c r="J213" s="420" t="s">
        <v>749</v>
      </c>
      <c r="K213" s="426">
        <v>255</v>
      </c>
      <c r="L213" s="378">
        <f t="shared" si="9"/>
        <v>7089</v>
      </c>
      <c r="M213" s="380" t="str">
        <f>IF(K213=0,0,IF(COUNTBLANK('3A-Prestatie'!$B$2:$I$22)=0,L213/VLOOKUP(E213,'3A-Prestatie'!$A$1:$M$22,VLOOKUP(K213,'3A-Prestatie'!$A$28:$B$34,2,FALSE),FALSE),"3A prestatie invullen"))</f>
        <v>3A prestatie invullen</v>
      </c>
      <c r="N213" s="380">
        <f t="shared" si="11"/>
        <v>0</v>
      </c>
      <c r="O213" s="381" t="str">
        <f>VLOOKUP(E213,'3A-Prestatie'!A:M,13,FALSE)</f>
        <v>V</v>
      </c>
      <c r="P213" s="382">
        <f>IF(R213="Niet van toepassing",0,VLOOKUP(E213,'3B-Prestaties vloeren'!$A$3:$D$24,IF(G213="Hard onbehandeld",2,IF(G213="Hard behandeld",3,4)),FALSE))</f>
        <v>52</v>
      </c>
      <c r="Q213" s="383">
        <f t="shared" si="10"/>
        <v>0</v>
      </c>
      <c r="R213" s="384" t="str">
        <f>IF(K213=0,"Niet van toepassing",IF(G213='3B-Prestaties vloeren'!$B$2,"Schrobben",IF(G213='3B-Prestaties vloeren'!$C$2,"Sprayen/conserveren",IF(G213='3B-Prestaties vloeren'!$D$2,"Sproei-extractie",0))))</f>
        <v>Schrobben</v>
      </c>
      <c r="S213" s="385">
        <f>IF('2-Tarieven'!$B$28=0,0,IF(M213=0,0,'2-Tarieven'!$B$28*M213))</f>
        <v>0</v>
      </c>
      <c r="T213" s="386">
        <f>IF(AND(COUNTBLANK('3B-Prestaties vloeren'!$F$3:$H$24)=0,COUNTBLANK('3B-Prestaties vloeren'!$L$3:$M$24)=0),IF(R213="Sprayen/conserveren",I213/VLOOKUP(E213,'3B-Prestaties vloeren'!$A$3:$M$24,12,FALSE),0)*(P213-1),0)</f>
        <v>0</v>
      </c>
      <c r="U213" s="386">
        <f>IF(AND(COUNTBLANK('3B-Prestaties vloeren'!$F$3:$H$24)=0,COUNTBLANK('3B-Prestaties vloeren'!$L$3:$M$24)=0),IF(R213="Sprayen/conserveren",I213/VLOOKUP(E213,'3B-Prestaties vloeren'!$A$3:$M$24,13,FALSE),0),0)</f>
        <v>0</v>
      </c>
      <c r="V213" s="386">
        <f>IF(AND(COUNTBLANK('3B-Prestaties vloeren'!$F$3:$H$24)=0,COUNTBLANK('3B-Prestaties vloeren'!$L$3:$M$24)=0),IF(R213="schrobben",I213/VLOOKUP(E213,'3B-Prestaties vloeren'!$A$3:$H$24,6,FALSE),0)*P213,0)</f>
        <v>0</v>
      </c>
      <c r="W213" s="386">
        <f>IF(AND(COUNTBLANK('3B-Prestaties vloeren'!$F$3:$H$24)=0,COUNTBLANK('3B-Prestaties vloeren'!$L$3:$M$24)=0),IF(R213="sproei-extractie",I213/VLOOKUP(E213,'3B-Prestaties vloeren'!$A$3:$H$24,8,FALSE),0)*P213,0)</f>
        <v>0</v>
      </c>
    </row>
    <row r="214" spans="1:23" ht="15" hidden="1">
      <c r="A214" s="378" t="s">
        <v>677</v>
      </c>
      <c r="B214" s="378" t="s">
        <v>678</v>
      </c>
      <c r="C214" s="378">
        <v>1</v>
      </c>
      <c r="D214" s="378" t="s">
        <v>342</v>
      </c>
      <c r="E214" s="378" t="s">
        <v>307</v>
      </c>
      <c r="F214" s="378" t="s">
        <v>85</v>
      </c>
      <c r="G214" s="378" t="str">
        <f>VLOOKUP(F214,'3B-Prestaties vloeren'!$A$28:$B$118,2,0)</f>
        <v>Hard onbehandeld</v>
      </c>
      <c r="H214" s="378" t="s">
        <v>685</v>
      </c>
      <c r="I214" s="378">
        <v>23.61</v>
      </c>
      <c r="J214" s="420" t="s">
        <v>749</v>
      </c>
      <c r="K214" s="426">
        <v>255</v>
      </c>
      <c r="L214" s="378">
        <f t="shared" si="9"/>
        <v>6020.55</v>
      </c>
      <c r="M214" s="380" t="str">
        <f>IF(K214=0,0,IF(COUNTBLANK('3A-Prestatie'!$B$2:$I$22)=0,L214/VLOOKUP(E214,'3A-Prestatie'!$A$1:$M$22,VLOOKUP(K214,'3A-Prestatie'!$A$28:$B$34,2,FALSE),FALSE),"3A prestatie invullen"))</f>
        <v>3A prestatie invullen</v>
      </c>
      <c r="N214" s="380">
        <f t="shared" si="11"/>
        <v>0</v>
      </c>
      <c r="O214" s="381" t="str">
        <f>VLOOKUP(E214,'3A-Prestatie'!A:M,13,FALSE)</f>
        <v>V</v>
      </c>
      <c r="P214" s="382">
        <f>IF(R214="Niet van toepassing",0,VLOOKUP(E214,'3B-Prestaties vloeren'!$A$3:$D$24,IF(G214="Hard onbehandeld",2,IF(G214="Hard behandeld",3,4)),FALSE))</f>
        <v>52</v>
      </c>
      <c r="Q214" s="383">
        <f t="shared" si="10"/>
        <v>0</v>
      </c>
      <c r="R214" s="384" t="str">
        <f>IF(K214=0,"Niet van toepassing",IF(G214='3B-Prestaties vloeren'!$B$2,"Schrobben",IF(G214='3B-Prestaties vloeren'!$C$2,"Sprayen/conserveren",IF(G214='3B-Prestaties vloeren'!$D$2,"Sproei-extractie",0))))</f>
        <v>Schrobben</v>
      </c>
      <c r="S214" s="385">
        <f>IF('2-Tarieven'!$B$28=0,0,IF(M214=0,0,'2-Tarieven'!$B$28*M214))</f>
        <v>0</v>
      </c>
      <c r="T214" s="386">
        <f>IF(AND(COUNTBLANK('3B-Prestaties vloeren'!$F$3:$H$24)=0,COUNTBLANK('3B-Prestaties vloeren'!$L$3:$M$24)=0),IF(R214="Sprayen/conserveren",I214/VLOOKUP(E214,'3B-Prestaties vloeren'!$A$3:$M$24,12,FALSE),0)*(P214-1),0)</f>
        <v>0</v>
      </c>
      <c r="U214" s="386">
        <f>IF(AND(COUNTBLANK('3B-Prestaties vloeren'!$F$3:$H$24)=0,COUNTBLANK('3B-Prestaties vloeren'!$L$3:$M$24)=0),IF(R214="Sprayen/conserveren",I214/VLOOKUP(E214,'3B-Prestaties vloeren'!$A$3:$M$24,13,FALSE),0),0)</f>
        <v>0</v>
      </c>
      <c r="V214" s="386">
        <f>IF(AND(COUNTBLANK('3B-Prestaties vloeren'!$F$3:$H$24)=0,COUNTBLANK('3B-Prestaties vloeren'!$L$3:$M$24)=0),IF(R214="schrobben",I214/VLOOKUP(E214,'3B-Prestaties vloeren'!$A$3:$H$24,6,FALSE),0)*P214,0)</f>
        <v>0</v>
      </c>
      <c r="W214" s="386">
        <f>IF(AND(COUNTBLANK('3B-Prestaties vloeren'!$F$3:$H$24)=0,COUNTBLANK('3B-Prestaties vloeren'!$L$3:$M$24)=0),IF(R214="sproei-extractie",I214/VLOOKUP(E214,'3B-Prestaties vloeren'!$A$3:$H$24,8,FALSE),0)*P214,0)</f>
        <v>0</v>
      </c>
    </row>
    <row r="215" spans="1:23" ht="15" hidden="1">
      <c r="A215" s="378" t="s">
        <v>677</v>
      </c>
      <c r="B215" s="378" t="s">
        <v>678</v>
      </c>
      <c r="C215" s="378">
        <v>1</v>
      </c>
      <c r="D215" s="378" t="s">
        <v>343</v>
      </c>
      <c r="E215" s="378" t="s">
        <v>307</v>
      </c>
      <c r="F215" s="378" t="s">
        <v>85</v>
      </c>
      <c r="G215" s="378" t="str">
        <f>VLOOKUP(F215,'3B-Prestaties vloeren'!$A$28:$B$118,2,0)</f>
        <v>Hard onbehandeld</v>
      </c>
      <c r="H215" s="378" t="s">
        <v>685</v>
      </c>
      <c r="I215" s="378">
        <v>12.82</v>
      </c>
      <c r="J215" s="420" t="s">
        <v>749</v>
      </c>
      <c r="K215" s="426">
        <v>255</v>
      </c>
      <c r="L215" s="378">
        <f t="shared" si="9"/>
        <v>3269.1</v>
      </c>
      <c r="M215" s="380" t="str">
        <f>IF(K215=0,0,IF(COUNTBLANK('3A-Prestatie'!$B$2:$I$22)=0,L215/VLOOKUP(E215,'3A-Prestatie'!$A$1:$M$22,VLOOKUP(K215,'3A-Prestatie'!$A$28:$B$34,2,FALSE),FALSE),"3A prestatie invullen"))</f>
        <v>3A prestatie invullen</v>
      </c>
      <c r="N215" s="380">
        <f t="shared" si="11"/>
        <v>0</v>
      </c>
      <c r="O215" s="381" t="str">
        <f>VLOOKUP(E215,'3A-Prestatie'!A:M,13,FALSE)</f>
        <v>V</v>
      </c>
      <c r="P215" s="382">
        <f>IF(R215="Niet van toepassing",0,VLOOKUP(E215,'3B-Prestaties vloeren'!$A$3:$D$24,IF(G215="Hard onbehandeld",2,IF(G215="Hard behandeld",3,4)),FALSE))</f>
        <v>52</v>
      </c>
      <c r="Q215" s="383">
        <f t="shared" si="10"/>
        <v>0</v>
      </c>
      <c r="R215" s="384" t="str">
        <f>IF(K215=0,"Niet van toepassing",IF(G215='3B-Prestaties vloeren'!$B$2,"Schrobben",IF(G215='3B-Prestaties vloeren'!$C$2,"Sprayen/conserveren",IF(G215='3B-Prestaties vloeren'!$D$2,"Sproei-extractie",0))))</f>
        <v>Schrobben</v>
      </c>
      <c r="S215" s="385">
        <f>IF('2-Tarieven'!$B$28=0,0,IF(M215=0,0,'2-Tarieven'!$B$28*M215))</f>
        <v>0</v>
      </c>
      <c r="T215" s="386">
        <f>IF(AND(COUNTBLANK('3B-Prestaties vloeren'!$F$3:$H$24)=0,COUNTBLANK('3B-Prestaties vloeren'!$L$3:$M$24)=0),IF(R215="Sprayen/conserveren",I215/VLOOKUP(E215,'3B-Prestaties vloeren'!$A$3:$M$24,12,FALSE),0)*(P215-1),0)</f>
        <v>0</v>
      </c>
      <c r="U215" s="386">
        <f>IF(AND(COUNTBLANK('3B-Prestaties vloeren'!$F$3:$H$24)=0,COUNTBLANK('3B-Prestaties vloeren'!$L$3:$M$24)=0),IF(R215="Sprayen/conserveren",I215/VLOOKUP(E215,'3B-Prestaties vloeren'!$A$3:$M$24,13,FALSE),0),0)</f>
        <v>0</v>
      </c>
      <c r="V215" s="386">
        <f>IF(AND(COUNTBLANK('3B-Prestaties vloeren'!$F$3:$H$24)=0,COUNTBLANK('3B-Prestaties vloeren'!$L$3:$M$24)=0),IF(R215="schrobben",I215/VLOOKUP(E215,'3B-Prestaties vloeren'!$A$3:$H$24,6,FALSE),0)*P215,0)</f>
        <v>0</v>
      </c>
      <c r="W215" s="386">
        <f>IF(AND(COUNTBLANK('3B-Prestaties vloeren'!$F$3:$H$24)=0,COUNTBLANK('3B-Prestaties vloeren'!$L$3:$M$24)=0),IF(R215="sproei-extractie",I215/VLOOKUP(E215,'3B-Prestaties vloeren'!$A$3:$H$24,8,FALSE),0)*P215,0)</f>
        <v>0</v>
      </c>
    </row>
    <row r="216" spans="1:23" ht="15" hidden="1">
      <c r="A216" s="378" t="s">
        <v>677</v>
      </c>
      <c r="B216" s="378" t="s">
        <v>678</v>
      </c>
      <c r="C216" s="378">
        <v>1</v>
      </c>
      <c r="D216" s="378" t="s">
        <v>7</v>
      </c>
      <c r="E216" s="378" t="s">
        <v>335</v>
      </c>
      <c r="F216" s="378" t="s">
        <v>65</v>
      </c>
      <c r="G216" s="378" t="str">
        <f>VLOOKUP(F216,'3B-Prestaties vloeren'!$A$28:$B$118,2,0)</f>
        <v>Zacht onbehandeld</v>
      </c>
      <c r="H216" s="378"/>
      <c r="I216" s="378">
        <v>2.5</v>
      </c>
      <c r="J216" s="420" t="s">
        <v>749</v>
      </c>
      <c r="K216" s="426">
        <v>52</v>
      </c>
      <c r="L216" s="378">
        <f t="shared" si="9"/>
        <v>130</v>
      </c>
      <c r="M216" s="380" t="str">
        <f>IF(K216=0,0,IF(COUNTBLANK('3A-Prestatie'!$B$2:$I$22)=0,L216/VLOOKUP(E216,'3A-Prestatie'!$A$1:$M$22,VLOOKUP(K216,'3A-Prestatie'!$A$28:$B$34,2,FALSE),FALSE),"3A prestatie invullen"))</f>
        <v>3A prestatie invullen</v>
      </c>
      <c r="N216" s="380">
        <f t="shared" si="11"/>
        <v>0</v>
      </c>
      <c r="O216" s="381" t="str">
        <f>VLOOKUP(E216,'3A-Prestatie'!A:M,13,FALSE)</f>
        <v>V</v>
      </c>
      <c r="P216" s="382">
        <f>IF(R216="Niet van toepassing",0,VLOOKUP(E216,'3B-Prestaties vloeren'!$A$3:$D$24,IF(G216="Hard onbehandeld",2,IF(G216="Hard behandeld",3,4)),FALSE))</f>
        <v>1</v>
      </c>
      <c r="Q216" s="383">
        <f t="shared" si="10"/>
        <v>0</v>
      </c>
      <c r="R216" s="384" t="str">
        <f>IF(K216=0,"Niet van toepassing",IF(G216='3B-Prestaties vloeren'!$B$2,"Schrobben",IF(G216='3B-Prestaties vloeren'!$C$2,"Sprayen/conserveren",IF(G216='3B-Prestaties vloeren'!$D$2,"Sproei-extractie",0))))</f>
        <v>Sproei-extractie</v>
      </c>
      <c r="S216" s="385">
        <f>IF('2-Tarieven'!$B$28=0,0,IF(M216=0,0,'2-Tarieven'!$B$28*M216))</f>
        <v>0</v>
      </c>
      <c r="T216" s="386">
        <f>IF(AND(COUNTBLANK('3B-Prestaties vloeren'!$F$3:$H$24)=0,COUNTBLANK('3B-Prestaties vloeren'!$L$3:$M$24)=0),IF(R216="Sprayen/conserveren",I216/VLOOKUP(E216,'3B-Prestaties vloeren'!$A$3:$M$24,12,FALSE),0)*(P216-1),0)</f>
        <v>0</v>
      </c>
      <c r="U216" s="386">
        <f>IF(AND(COUNTBLANK('3B-Prestaties vloeren'!$F$3:$H$24)=0,COUNTBLANK('3B-Prestaties vloeren'!$L$3:$M$24)=0),IF(R216="Sprayen/conserveren",I216/VLOOKUP(E216,'3B-Prestaties vloeren'!$A$3:$M$24,13,FALSE),0),0)</f>
        <v>0</v>
      </c>
      <c r="V216" s="386">
        <f>IF(AND(COUNTBLANK('3B-Prestaties vloeren'!$F$3:$H$24)=0,COUNTBLANK('3B-Prestaties vloeren'!$L$3:$M$24)=0),IF(R216="schrobben",I216/VLOOKUP(E216,'3B-Prestaties vloeren'!$A$3:$H$24,6,FALSE),0)*P216,0)</f>
        <v>0</v>
      </c>
      <c r="W216" s="386">
        <f>IF(AND(COUNTBLANK('3B-Prestaties vloeren'!$F$3:$H$24)=0,COUNTBLANK('3B-Prestaties vloeren'!$L$3:$M$24)=0),IF(R216="sproei-extractie",I216/VLOOKUP(E216,'3B-Prestaties vloeren'!$A$3:$H$24,8,FALSE),0)*P216,0)</f>
        <v>0</v>
      </c>
    </row>
    <row r="217" spans="1:23" ht="15" hidden="1">
      <c r="A217" s="378" t="s">
        <v>677</v>
      </c>
      <c r="B217" s="378" t="s">
        <v>678</v>
      </c>
      <c r="C217" s="378">
        <v>1</v>
      </c>
      <c r="D217" s="378" t="s">
        <v>344</v>
      </c>
      <c r="E217" s="378" t="s">
        <v>6</v>
      </c>
      <c r="F217" s="378" t="s">
        <v>647</v>
      </c>
      <c r="G217" s="378" t="str">
        <f>VLOOKUP(F217,'3B-Prestaties vloeren'!$A$28:$B$118,2,0)</f>
        <v>Hard onbehandeld</v>
      </c>
      <c r="H217" s="378"/>
      <c r="I217" s="378">
        <v>46.57</v>
      </c>
      <c r="J217" s="420" t="s">
        <v>749</v>
      </c>
      <c r="K217" s="426">
        <v>52</v>
      </c>
      <c r="L217" s="378">
        <f t="shared" si="9"/>
        <v>2421.64</v>
      </c>
      <c r="M217" s="380" t="str">
        <f>IF(K217=0,0,IF(COUNTBLANK('3A-Prestatie'!$B$2:$I$22)=0,L217/VLOOKUP(E217,'3A-Prestatie'!$A$1:$M$22,VLOOKUP(K217,'3A-Prestatie'!$A$28:$B$34,2,FALSE),FALSE),"3A prestatie invullen"))</f>
        <v>3A prestatie invullen</v>
      </c>
      <c r="N217" s="380">
        <f t="shared" si="11"/>
        <v>0</v>
      </c>
      <c r="O217" s="381" t="str">
        <f>VLOOKUP(E217,'3A-Prestatie'!A:M,13,FALSE)</f>
        <v>V</v>
      </c>
      <c r="P217" s="382">
        <f>IF(R217="Niet van toepassing",0,VLOOKUP(E217,'3B-Prestaties vloeren'!$A$3:$D$24,IF(G217="Hard onbehandeld",2,IF(G217="Hard behandeld",3,4)),FALSE))</f>
        <v>4</v>
      </c>
      <c r="Q217" s="383">
        <f t="shared" si="10"/>
        <v>0</v>
      </c>
      <c r="R217" s="384" t="str">
        <f>IF(K217=0,"Niet van toepassing",IF(G217='3B-Prestaties vloeren'!$B$2,"Schrobben",IF(G217='3B-Prestaties vloeren'!$C$2,"Sprayen/conserveren",IF(G217='3B-Prestaties vloeren'!$D$2,"Sproei-extractie",0))))</f>
        <v>Schrobben</v>
      </c>
      <c r="S217" s="385">
        <f>IF('2-Tarieven'!$B$28=0,0,IF(M217=0,0,'2-Tarieven'!$B$28*M217))</f>
        <v>0</v>
      </c>
      <c r="T217" s="386">
        <f>IF(AND(COUNTBLANK('3B-Prestaties vloeren'!$F$3:$H$24)=0,COUNTBLANK('3B-Prestaties vloeren'!$L$3:$M$24)=0),IF(R217="Sprayen/conserveren",I217/VLOOKUP(E217,'3B-Prestaties vloeren'!$A$3:$M$24,12,FALSE),0)*(P217-1),0)</f>
        <v>0</v>
      </c>
      <c r="U217" s="386">
        <f>IF(AND(COUNTBLANK('3B-Prestaties vloeren'!$F$3:$H$24)=0,COUNTBLANK('3B-Prestaties vloeren'!$L$3:$M$24)=0),IF(R217="Sprayen/conserveren",I217/VLOOKUP(E217,'3B-Prestaties vloeren'!$A$3:$M$24,13,FALSE),0),0)</f>
        <v>0</v>
      </c>
      <c r="V217" s="386">
        <f>IF(AND(COUNTBLANK('3B-Prestaties vloeren'!$F$3:$H$24)=0,COUNTBLANK('3B-Prestaties vloeren'!$L$3:$M$24)=0),IF(R217="schrobben",I217/VLOOKUP(E217,'3B-Prestaties vloeren'!$A$3:$H$24,6,FALSE),0)*P217,0)</f>
        <v>0</v>
      </c>
      <c r="W217" s="386">
        <f>IF(AND(COUNTBLANK('3B-Prestaties vloeren'!$F$3:$H$24)=0,COUNTBLANK('3B-Prestaties vloeren'!$L$3:$M$24)=0),IF(R217="sproei-extractie",I217/VLOOKUP(E217,'3B-Prestaties vloeren'!$A$3:$H$24,8,FALSE),0)*P217,0)</f>
        <v>0</v>
      </c>
    </row>
    <row r="218" spans="1:23" ht="15" hidden="1">
      <c r="A218" s="378" t="s">
        <v>677</v>
      </c>
      <c r="B218" s="378" t="s">
        <v>678</v>
      </c>
      <c r="C218" s="378">
        <v>1</v>
      </c>
      <c r="D218" s="378" t="s">
        <v>345</v>
      </c>
      <c r="E218" s="378" t="s">
        <v>728</v>
      </c>
      <c r="F218" s="378" t="s">
        <v>647</v>
      </c>
      <c r="G218" s="378" t="str">
        <f>VLOOKUP(F218,'3B-Prestaties vloeren'!$A$28:$B$118,2,0)</f>
        <v>Hard onbehandeld</v>
      </c>
      <c r="H218" s="378" t="s">
        <v>287</v>
      </c>
      <c r="I218" s="378">
        <v>12.61</v>
      </c>
      <c r="J218" s="419"/>
      <c r="K218" s="426">
        <v>0</v>
      </c>
      <c r="L218" s="378">
        <f t="shared" si="9"/>
        <v>0</v>
      </c>
      <c r="M218" s="380">
        <f>IF(K218=0,0,IF(COUNTBLANK('3A-Prestatie'!$B$2:$I$22)=0,L218/VLOOKUP(E218,'3A-Prestatie'!$A$1:$M$22,VLOOKUP(K218,'3A-Prestatie'!$A$28:$B$34,2,FALSE),FALSE),"3A prestatie invullen"))</f>
        <v>0</v>
      </c>
      <c r="N218" s="380">
        <f t="shared" si="11"/>
        <v>0</v>
      </c>
      <c r="O218" s="381" t="str">
        <f>VLOOKUP(E218,'3A-Prestatie'!A:M,13,FALSE)</f>
        <v>N.v.t.</v>
      </c>
      <c r="P218" s="382">
        <f>IF(R218="Niet van toepassing",0,VLOOKUP(E218,'3B-Prestaties vloeren'!$A$3:$D$24,IF(G218="Hard onbehandeld",2,IF(G218="Hard behandeld",3,4)),FALSE))</f>
        <v>0</v>
      </c>
      <c r="Q218" s="383">
        <f t="shared" si="10"/>
        <v>0</v>
      </c>
      <c r="R218" s="384" t="str">
        <f>IF(K218=0,"Niet van toepassing",IF(G218='3B-Prestaties vloeren'!$B$2,"Schrobben",IF(G218='3B-Prestaties vloeren'!$C$2,"Sprayen/conserveren",IF(G218='3B-Prestaties vloeren'!$D$2,"Sproei-extractie",0))))</f>
        <v>Niet van toepassing</v>
      </c>
      <c r="S218" s="385">
        <f>IF('2-Tarieven'!$B$28=0,0,IF(M218=0,0,'2-Tarieven'!$B$28*M218))</f>
        <v>0</v>
      </c>
      <c r="T218" s="386">
        <f>IF(AND(COUNTBLANK('3B-Prestaties vloeren'!$F$3:$H$24)=0,COUNTBLANK('3B-Prestaties vloeren'!$L$3:$M$24)=0),IF(R218="Sprayen/conserveren",I218/VLOOKUP(E218,'3B-Prestaties vloeren'!$A$3:$M$24,12,FALSE),0)*(P218-1),0)</f>
        <v>0</v>
      </c>
      <c r="U218" s="386">
        <f>IF(AND(COUNTBLANK('3B-Prestaties vloeren'!$F$3:$H$24)=0,COUNTBLANK('3B-Prestaties vloeren'!$L$3:$M$24)=0),IF(R218="Sprayen/conserveren",I218/VLOOKUP(E218,'3B-Prestaties vloeren'!$A$3:$M$24,13,FALSE),0),0)</f>
        <v>0</v>
      </c>
      <c r="V218" s="386">
        <f>IF(AND(COUNTBLANK('3B-Prestaties vloeren'!$F$3:$H$24)=0,COUNTBLANK('3B-Prestaties vloeren'!$L$3:$M$24)=0),IF(R218="schrobben",I218/VLOOKUP(E218,'3B-Prestaties vloeren'!$A$3:$H$24,6,FALSE),0)*P218,0)</f>
        <v>0</v>
      </c>
      <c r="W218" s="386">
        <f>IF(AND(COUNTBLANK('3B-Prestaties vloeren'!$F$3:$H$24)=0,COUNTBLANK('3B-Prestaties vloeren'!$L$3:$M$24)=0),IF(R218="sproei-extractie",I218/VLOOKUP(E218,'3B-Prestaties vloeren'!$A$3:$H$24,8,FALSE),0)*P218,0)</f>
        <v>0</v>
      </c>
    </row>
    <row r="219" spans="1:23" ht="15" hidden="1">
      <c r="A219" s="378" t="s">
        <v>677</v>
      </c>
      <c r="B219" s="378" t="s">
        <v>678</v>
      </c>
      <c r="C219" s="378">
        <v>1</v>
      </c>
      <c r="D219" s="378" t="s">
        <v>346</v>
      </c>
      <c r="E219" s="378" t="s">
        <v>728</v>
      </c>
      <c r="F219" s="378" t="s">
        <v>648</v>
      </c>
      <c r="G219" s="378" t="str">
        <f>VLOOKUP(F219,'3B-Prestaties vloeren'!$A$28:$B$118,2,0)</f>
        <v>Hard onbehandeld</v>
      </c>
      <c r="H219" s="378" t="s">
        <v>287</v>
      </c>
      <c r="I219" s="378">
        <v>2.48</v>
      </c>
      <c r="J219" s="419"/>
      <c r="K219" s="426">
        <v>0</v>
      </c>
      <c r="L219" s="378">
        <f t="shared" si="9"/>
        <v>0</v>
      </c>
      <c r="M219" s="380">
        <f>IF(K219=0,0,IF(COUNTBLANK('3A-Prestatie'!$B$2:$I$22)=0,L219/VLOOKUP(E219,'3A-Prestatie'!$A$1:$M$22,VLOOKUP(K219,'3A-Prestatie'!$A$28:$B$34,2,FALSE),FALSE),"3A prestatie invullen"))</f>
        <v>0</v>
      </c>
      <c r="N219" s="380">
        <f t="shared" si="11"/>
        <v>0</v>
      </c>
      <c r="O219" s="381" t="str">
        <f>VLOOKUP(E219,'3A-Prestatie'!A:M,13,FALSE)</f>
        <v>N.v.t.</v>
      </c>
      <c r="P219" s="382">
        <f>IF(R219="Niet van toepassing",0,VLOOKUP(E219,'3B-Prestaties vloeren'!$A$3:$D$24,IF(G219="Hard onbehandeld",2,IF(G219="Hard behandeld",3,4)),FALSE))</f>
        <v>0</v>
      </c>
      <c r="Q219" s="383">
        <f t="shared" si="10"/>
        <v>0</v>
      </c>
      <c r="R219" s="384" t="str">
        <f>IF(K219=0,"Niet van toepassing",IF(G219='3B-Prestaties vloeren'!$B$2,"Schrobben",IF(G219='3B-Prestaties vloeren'!$C$2,"Sprayen/conserveren",IF(G219='3B-Prestaties vloeren'!$D$2,"Sproei-extractie",0))))</f>
        <v>Niet van toepassing</v>
      </c>
      <c r="S219" s="385">
        <f>IF('2-Tarieven'!$B$28=0,0,IF(M219=0,0,'2-Tarieven'!$B$28*M219))</f>
        <v>0</v>
      </c>
      <c r="T219" s="386">
        <f>IF(AND(COUNTBLANK('3B-Prestaties vloeren'!$F$3:$H$24)=0,COUNTBLANK('3B-Prestaties vloeren'!$L$3:$M$24)=0),IF(R219="Sprayen/conserveren",I219/VLOOKUP(E219,'3B-Prestaties vloeren'!$A$3:$M$24,12,FALSE),0)*(P219-1),0)</f>
        <v>0</v>
      </c>
      <c r="U219" s="386">
        <f>IF(AND(COUNTBLANK('3B-Prestaties vloeren'!$F$3:$H$24)=0,COUNTBLANK('3B-Prestaties vloeren'!$L$3:$M$24)=0),IF(R219="Sprayen/conserveren",I219/VLOOKUP(E219,'3B-Prestaties vloeren'!$A$3:$M$24,13,FALSE),0),0)</f>
        <v>0</v>
      </c>
      <c r="V219" s="386">
        <f>IF(AND(COUNTBLANK('3B-Prestaties vloeren'!$F$3:$H$24)=0,COUNTBLANK('3B-Prestaties vloeren'!$L$3:$M$24)=0),IF(R219="schrobben",I219/VLOOKUP(E219,'3B-Prestaties vloeren'!$A$3:$H$24,6,FALSE),0)*P219,0)</f>
        <v>0</v>
      </c>
      <c r="W219" s="386">
        <f>IF(AND(COUNTBLANK('3B-Prestaties vloeren'!$F$3:$H$24)=0,COUNTBLANK('3B-Prestaties vloeren'!$L$3:$M$24)=0),IF(R219="sproei-extractie",I219/VLOOKUP(E219,'3B-Prestaties vloeren'!$A$3:$H$24,8,FALSE),0)*P219,0)</f>
        <v>0</v>
      </c>
    </row>
    <row r="220" spans="1:23" ht="15" hidden="1">
      <c r="A220" s="378" t="s">
        <v>677</v>
      </c>
      <c r="B220" s="378" t="s">
        <v>678</v>
      </c>
      <c r="C220" s="378">
        <v>1</v>
      </c>
      <c r="D220" s="378" t="s">
        <v>347</v>
      </c>
      <c r="E220" s="378" t="s">
        <v>728</v>
      </c>
      <c r="F220" s="378" t="s">
        <v>648</v>
      </c>
      <c r="G220" s="378" t="str">
        <f>VLOOKUP(F220,'3B-Prestaties vloeren'!$A$28:$B$118,2,0)</f>
        <v>Hard onbehandeld</v>
      </c>
      <c r="H220" s="378" t="s">
        <v>287</v>
      </c>
      <c r="I220" s="378">
        <v>4.1100000000000003</v>
      </c>
      <c r="J220" s="419"/>
      <c r="K220" s="426">
        <v>0</v>
      </c>
      <c r="L220" s="378">
        <f t="shared" si="9"/>
        <v>0</v>
      </c>
      <c r="M220" s="380">
        <f>IF(K220=0,0,IF(COUNTBLANK('3A-Prestatie'!$B$2:$I$22)=0,L220/VLOOKUP(E220,'3A-Prestatie'!$A$1:$M$22,VLOOKUP(K220,'3A-Prestatie'!$A$28:$B$34,2,FALSE),FALSE),"3A prestatie invullen"))</f>
        <v>0</v>
      </c>
      <c r="N220" s="380">
        <f t="shared" si="11"/>
        <v>0</v>
      </c>
      <c r="O220" s="381" t="str">
        <f>VLOOKUP(E220,'3A-Prestatie'!A:M,13,FALSE)</f>
        <v>N.v.t.</v>
      </c>
      <c r="P220" s="382">
        <f>IF(R220="Niet van toepassing",0,VLOOKUP(E220,'3B-Prestaties vloeren'!$A$3:$D$24,IF(G220="Hard onbehandeld",2,IF(G220="Hard behandeld",3,4)),FALSE))</f>
        <v>0</v>
      </c>
      <c r="Q220" s="383">
        <f t="shared" si="10"/>
        <v>0</v>
      </c>
      <c r="R220" s="384" t="str">
        <f>IF(K220=0,"Niet van toepassing",IF(G220='3B-Prestaties vloeren'!$B$2,"Schrobben",IF(G220='3B-Prestaties vloeren'!$C$2,"Sprayen/conserveren",IF(G220='3B-Prestaties vloeren'!$D$2,"Sproei-extractie",0))))</f>
        <v>Niet van toepassing</v>
      </c>
      <c r="S220" s="385">
        <f>IF('2-Tarieven'!$B$28=0,0,IF(M220=0,0,'2-Tarieven'!$B$28*M220))</f>
        <v>0</v>
      </c>
      <c r="T220" s="386">
        <f>IF(AND(COUNTBLANK('3B-Prestaties vloeren'!$F$3:$H$24)=0,COUNTBLANK('3B-Prestaties vloeren'!$L$3:$M$24)=0),IF(R220="Sprayen/conserveren",I220/VLOOKUP(E220,'3B-Prestaties vloeren'!$A$3:$M$24,12,FALSE),0)*(P220-1),0)</f>
        <v>0</v>
      </c>
      <c r="U220" s="386">
        <f>IF(AND(COUNTBLANK('3B-Prestaties vloeren'!$F$3:$H$24)=0,COUNTBLANK('3B-Prestaties vloeren'!$L$3:$M$24)=0),IF(R220="Sprayen/conserveren",I220/VLOOKUP(E220,'3B-Prestaties vloeren'!$A$3:$M$24,13,FALSE),0),0)</f>
        <v>0</v>
      </c>
      <c r="V220" s="386">
        <f>IF(AND(COUNTBLANK('3B-Prestaties vloeren'!$F$3:$H$24)=0,COUNTBLANK('3B-Prestaties vloeren'!$L$3:$M$24)=0),IF(R220="schrobben",I220/VLOOKUP(E220,'3B-Prestaties vloeren'!$A$3:$H$24,6,FALSE),0)*P220,0)</f>
        <v>0</v>
      </c>
      <c r="W220" s="386">
        <f>IF(AND(COUNTBLANK('3B-Prestaties vloeren'!$F$3:$H$24)=0,COUNTBLANK('3B-Prestaties vloeren'!$L$3:$M$24)=0),IF(R220="sproei-extractie",I220/VLOOKUP(E220,'3B-Prestaties vloeren'!$A$3:$H$24,8,FALSE),0)*P220,0)</f>
        <v>0</v>
      </c>
    </row>
    <row r="221" spans="1:23" ht="15" hidden="1">
      <c r="A221" s="378" t="s">
        <v>677</v>
      </c>
      <c r="B221" s="378" t="s">
        <v>678</v>
      </c>
      <c r="C221" s="378">
        <v>1</v>
      </c>
      <c r="D221" s="378" t="s">
        <v>348</v>
      </c>
      <c r="E221" s="378" t="s">
        <v>335</v>
      </c>
      <c r="F221" s="378" t="s">
        <v>670</v>
      </c>
      <c r="G221" s="378" t="str">
        <f>VLOOKUP(F221,'3B-Prestaties vloeren'!$A$28:$B$118,2,0)</f>
        <v>Hard onbehandeld</v>
      </c>
      <c r="H221" s="378" t="s">
        <v>637</v>
      </c>
      <c r="I221" s="378">
        <v>3.08</v>
      </c>
      <c r="J221" s="420" t="s">
        <v>749</v>
      </c>
      <c r="K221" s="426">
        <v>52</v>
      </c>
      <c r="L221" s="378">
        <f t="shared" si="9"/>
        <v>160.16</v>
      </c>
      <c r="M221" s="380" t="str">
        <f>IF(K221=0,0,IF(COUNTBLANK('3A-Prestatie'!$B$2:$I$22)=0,L221/VLOOKUP(E221,'3A-Prestatie'!$A$1:$M$22,VLOOKUP(K221,'3A-Prestatie'!$A$28:$B$34,2,FALSE),FALSE),"3A prestatie invullen"))</f>
        <v>3A prestatie invullen</v>
      </c>
      <c r="N221" s="380">
        <f t="shared" si="11"/>
        <v>0</v>
      </c>
      <c r="O221" s="381" t="str">
        <f>VLOOKUP(E221,'3A-Prestatie'!A:M,13,FALSE)</f>
        <v>V</v>
      </c>
      <c r="P221" s="382">
        <f>IF(R221="Niet van toepassing",0,VLOOKUP(E221,'3B-Prestaties vloeren'!$A$3:$D$24,IF(G221="Hard onbehandeld",2,IF(G221="Hard behandeld",3,4)),FALSE))</f>
        <v>12</v>
      </c>
      <c r="Q221" s="383">
        <f t="shared" si="10"/>
        <v>0</v>
      </c>
      <c r="R221" s="384" t="str">
        <f>IF(K221=0,"Niet van toepassing",IF(G221='3B-Prestaties vloeren'!$B$2,"Schrobben",IF(G221='3B-Prestaties vloeren'!$C$2,"Sprayen/conserveren",IF(G221='3B-Prestaties vloeren'!$D$2,"Sproei-extractie",0))))</f>
        <v>Schrobben</v>
      </c>
      <c r="S221" s="385">
        <f>IF('2-Tarieven'!$B$28=0,0,IF(M221=0,0,'2-Tarieven'!$B$28*M221))</f>
        <v>0</v>
      </c>
      <c r="T221" s="386">
        <f>IF(AND(COUNTBLANK('3B-Prestaties vloeren'!$F$3:$H$24)=0,COUNTBLANK('3B-Prestaties vloeren'!$L$3:$M$24)=0),IF(R221="Sprayen/conserveren",I221/VLOOKUP(E221,'3B-Prestaties vloeren'!$A$3:$M$24,12,FALSE),0)*(P221-1),0)</f>
        <v>0</v>
      </c>
      <c r="U221" s="386">
        <f>IF(AND(COUNTBLANK('3B-Prestaties vloeren'!$F$3:$H$24)=0,COUNTBLANK('3B-Prestaties vloeren'!$L$3:$M$24)=0),IF(R221="Sprayen/conserveren",I221/VLOOKUP(E221,'3B-Prestaties vloeren'!$A$3:$M$24,13,FALSE),0),0)</f>
        <v>0</v>
      </c>
      <c r="V221" s="386">
        <f>IF(AND(COUNTBLANK('3B-Prestaties vloeren'!$F$3:$H$24)=0,COUNTBLANK('3B-Prestaties vloeren'!$L$3:$M$24)=0),IF(R221="schrobben",I221/VLOOKUP(E221,'3B-Prestaties vloeren'!$A$3:$H$24,6,FALSE),0)*P221,0)</f>
        <v>0</v>
      </c>
      <c r="W221" s="386">
        <f>IF(AND(COUNTBLANK('3B-Prestaties vloeren'!$F$3:$H$24)=0,COUNTBLANK('3B-Prestaties vloeren'!$L$3:$M$24)=0),IF(R221="sproei-extractie",I221/VLOOKUP(E221,'3B-Prestaties vloeren'!$A$3:$H$24,8,FALSE),0)*P221,0)</f>
        <v>0</v>
      </c>
    </row>
    <row r="222" spans="1:23" ht="15" hidden="1">
      <c r="A222" s="378" t="s">
        <v>677</v>
      </c>
      <c r="B222" s="378" t="s">
        <v>678</v>
      </c>
      <c r="C222" s="378">
        <v>1</v>
      </c>
      <c r="D222" s="378" t="s">
        <v>349</v>
      </c>
      <c r="E222" s="378" t="s">
        <v>285</v>
      </c>
      <c r="F222" s="378" t="s">
        <v>416</v>
      </c>
      <c r="G222" s="378" t="str">
        <f>VLOOKUP(F222,'3B-Prestaties vloeren'!$A$28:$B$118,2,0)</f>
        <v>Hard onbehandeld</v>
      </c>
      <c r="H222" s="378" t="s">
        <v>686</v>
      </c>
      <c r="I222" s="378">
        <v>51.28</v>
      </c>
      <c r="J222" s="420" t="s">
        <v>749</v>
      </c>
      <c r="K222" s="426">
        <v>255</v>
      </c>
      <c r="L222" s="378">
        <f t="shared" si="9"/>
        <v>13076.4</v>
      </c>
      <c r="M222" s="380" t="str">
        <f>IF(K222=0,0,IF(COUNTBLANK('3A-Prestatie'!$B$2:$I$22)=0,L222/VLOOKUP(E222,'3A-Prestatie'!$A$1:$M$22,VLOOKUP(K222,'3A-Prestatie'!$A$28:$B$34,2,FALSE),FALSE),"3A prestatie invullen"))</f>
        <v>3A prestatie invullen</v>
      </c>
      <c r="N222" s="380">
        <f t="shared" si="11"/>
        <v>0</v>
      </c>
      <c r="O222" s="381" t="str">
        <f>VLOOKUP(E222,'3A-Prestatie'!A:M,13,FALSE)</f>
        <v>V</v>
      </c>
      <c r="P222" s="382">
        <f>IF(R222="Niet van toepassing",0,VLOOKUP(E222,'3B-Prestaties vloeren'!$A$3:$D$24,IF(G222="Hard onbehandeld",2,IF(G222="Hard behandeld",3,4)),FALSE))</f>
        <v>52</v>
      </c>
      <c r="Q222" s="383">
        <f t="shared" si="10"/>
        <v>0</v>
      </c>
      <c r="R222" s="384" t="str">
        <f>IF(K222=0,"Niet van toepassing",IF(G222='3B-Prestaties vloeren'!$B$2,"Schrobben",IF(G222='3B-Prestaties vloeren'!$C$2,"Sprayen/conserveren",IF(G222='3B-Prestaties vloeren'!$D$2,"Sproei-extractie",0))))</f>
        <v>Schrobben</v>
      </c>
      <c r="S222" s="385">
        <f>IF('2-Tarieven'!$B$28=0,0,IF(M222=0,0,'2-Tarieven'!$B$28*M222))</f>
        <v>0</v>
      </c>
      <c r="T222" s="386">
        <f>IF(AND(COUNTBLANK('3B-Prestaties vloeren'!$F$3:$H$24)=0,COUNTBLANK('3B-Prestaties vloeren'!$L$3:$M$24)=0),IF(R222="Sprayen/conserveren",I222/VLOOKUP(E222,'3B-Prestaties vloeren'!$A$3:$M$24,12,FALSE),0)*(P222-1),0)</f>
        <v>0</v>
      </c>
      <c r="U222" s="386">
        <f>IF(AND(COUNTBLANK('3B-Prestaties vloeren'!$F$3:$H$24)=0,COUNTBLANK('3B-Prestaties vloeren'!$L$3:$M$24)=0),IF(R222="Sprayen/conserveren",I222/VLOOKUP(E222,'3B-Prestaties vloeren'!$A$3:$M$24,13,FALSE),0),0)</f>
        <v>0</v>
      </c>
      <c r="V222" s="386">
        <f>IF(AND(COUNTBLANK('3B-Prestaties vloeren'!$F$3:$H$24)=0,COUNTBLANK('3B-Prestaties vloeren'!$L$3:$M$24)=0),IF(R222="schrobben",I222/VLOOKUP(E222,'3B-Prestaties vloeren'!$A$3:$H$24,6,FALSE),0)*P222,0)</f>
        <v>0</v>
      </c>
      <c r="W222" s="386">
        <f>IF(AND(COUNTBLANK('3B-Prestaties vloeren'!$F$3:$H$24)=0,COUNTBLANK('3B-Prestaties vloeren'!$L$3:$M$24)=0),IF(R222="sproei-extractie",I222/VLOOKUP(E222,'3B-Prestaties vloeren'!$A$3:$H$24,8,FALSE),0)*P222,0)</f>
        <v>0</v>
      </c>
    </row>
    <row r="223" spans="1:23" ht="15" hidden="1">
      <c r="A223" s="378" t="s">
        <v>677</v>
      </c>
      <c r="B223" s="378" t="s">
        <v>678</v>
      </c>
      <c r="C223" s="378">
        <v>1</v>
      </c>
      <c r="D223" s="378" t="s">
        <v>350</v>
      </c>
      <c r="E223" s="378" t="s">
        <v>653</v>
      </c>
      <c r="F223" s="378" t="s">
        <v>647</v>
      </c>
      <c r="G223" s="378" t="str">
        <f>VLOOKUP(F223,'3B-Prestaties vloeren'!$A$28:$B$118,2,0)</f>
        <v>Hard onbehandeld</v>
      </c>
      <c r="H223" s="378"/>
      <c r="I223" s="378">
        <v>15.81</v>
      </c>
      <c r="J223" s="421" t="s">
        <v>511</v>
      </c>
      <c r="K223" s="426">
        <v>255</v>
      </c>
      <c r="L223" s="378">
        <f t="shared" si="9"/>
        <v>4031.55</v>
      </c>
      <c r="M223" s="380" t="str">
        <f>IF(K223=0,0,IF(COUNTBLANK('3A-Prestatie'!$B$2:$I$22)=0,L223/VLOOKUP(E223,'3A-Prestatie'!$A$1:$M$22,VLOOKUP(K223,'3A-Prestatie'!$A$28:$B$34,2,FALSE),FALSE),"3A prestatie invullen"))</f>
        <v>3A prestatie invullen</v>
      </c>
      <c r="N223" s="380">
        <f t="shared" si="11"/>
        <v>0</v>
      </c>
      <c r="O223" s="381" t="str">
        <f>VLOOKUP(E223,'3A-Prestatie'!A:M,13,FALSE)</f>
        <v>S</v>
      </c>
      <c r="P223" s="382">
        <f>IF(R223="Niet van toepassing",0,VLOOKUP(E223,'3B-Prestaties vloeren'!$A$3:$D$24,IF(G223="Hard onbehandeld",2,IF(G223="Hard behandeld",3,4)),FALSE))</f>
        <v>52</v>
      </c>
      <c r="Q223" s="383">
        <f t="shared" si="10"/>
        <v>0</v>
      </c>
      <c r="R223" s="384" t="str">
        <f>IF(K223=0,"Niet van toepassing",IF(G223='3B-Prestaties vloeren'!$B$2,"Schrobben",IF(G223='3B-Prestaties vloeren'!$C$2,"Sprayen/conserveren",IF(G223='3B-Prestaties vloeren'!$D$2,"Sproei-extractie",0))))</f>
        <v>Schrobben</v>
      </c>
      <c r="S223" s="385">
        <f>IF('2-Tarieven'!$B$28=0,0,IF(M223=0,0,'2-Tarieven'!$B$28*M223))</f>
        <v>0</v>
      </c>
      <c r="T223" s="386">
        <f>IF(AND(COUNTBLANK('3B-Prestaties vloeren'!$F$3:$H$24)=0,COUNTBLANK('3B-Prestaties vloeren'!$L$3:$M$24)=0),IF(R223="Sprayen/conserveren",I223/VLOOKUP(E223,'3B-Prestaties vloeren'!$A$3:$M$24,12,FALSE),0)*(P223-1),0)</f>
        <v>0</v>
      </c>
      <c r="U223" s="386">
        <f>IF(AND(COUNTBLANK('3B-Prestaties vloeren'!$F$3:$H$24)=0,COUNTBLANK('3B-Prestaties vloeren'!$L$3:$M$24)=0),IF(R223="Sprayen/conserveren",I223/VLOOKUP(E223,'3B-Prestaties vloeren'!$A$3:$M$24,13,FALSE),0),0)</f>
        <v>0</v>
      </c>
      <c r="V223" s="386">
        <f>IF(AND(COUNTBLANK('3B-Prestaties vloeren'!$F$3:$H$24)=0,COUNTBLANK('3B-Prestaties vloeren'!$L$3:$M$24)=0),IF(R223="schrobben",I223/VLOOKUP(E223,'3B-Prestaties vloeren'!$A$3:$H$24,6,FALSE),0)*P223,0)</f>
        <v>0</v>
      </c>
      <c r="W223" s="386">
        <f>IF(AND(COUNTBLANK('3B-Prestaties vloeren'!$F$3:$H$24)=0,COUNTBLANK('3B-Prestaties vloeren'!$L$3:$M$24)=0),IF(R223="sproei-extractie",I223/VLOOKUP(E223,'3B-Prestaties vloeren'!$A$3:$H$24,8,FALSE),0)*P223,0)</f>
        <v>0</v>
      </c>
    </row>
    <row r="224" spans="1:23" ht="15" hidden="1">
      <c r="A224" s="378" t="s">
        <v>677</v>
      </c>
      <c r="B224" s="378" t="s">
        <v>678</v>
      </c>
      <c r="C224" s="378">
        <v>1</v>
      </c>
      <c r="D224" s="378" t="s">
        <v>687</v>
      </c>
      <c r="E224" s="378" t="s">
        <v>728</v>
      </c>
      <c r="F224" s="378" t="s">
        <v>647</v>
      </c>
      <c r="G224" s="378" t="str">
        <f>VLOOKUP(F224,'3B-Prestaties vloeren'!$A$28:$B$118,2,0)</f>
        <v>Hard onbehandeld</v>
      </c>
      <c r="H224" s="378" t="s">
        <v>330</v>
      </c>
      <c r="I224" s="416" t="s">
        <v>657</v>
      </c>
      <c r="J224" s="422"/>
      <c r="K224" s="426">
        <v>0</v>
      </c>
      <c r="L224" s="378">
        <f t="shared" si="9"/>
        <v>0</v>
      </c>
      <c r="M224" s="380">
        <f>IF(K224=0,0,IF(COUNTBLANK('3A-Prestatie'!$B$2:$I$22)=0,L224/VLOOKUP(E224,'3A-Prestatie'!$A$1:$M$22,VLOOKUP(K224,'3A-Prestatie'!$A$28:$B$34,2,FALSE),FALSE),"3A prestatie invullen"))</f>
        <v>0</v>
      </c>
      <c r="N224" s="380">
        <f t="shared" si="11"/>
        <v>0</v>
      </c>
      <c r="O224" s="381" t="str">
        <f>VLOOKUP(E224,'3A-Prestatie'!A:M,13,FALSE)</f>
        <v>N.v.t.</v>
      </c>
      <c r="P224" s="382">
        <f>IF(R224="Niet van toepassing",0,VLOOKUP(E224,'3B-Prestaties vloeren'!$A$3:$D$24,IF(G224="Hard onbehandeld",2,IF(G224="Hard behandeld",3,4)),FALSE))</f>
        <v>0</v>
      </c>
      <c r="Q224" s="383">
        <f t="shared" si="10"/>
        <v>0</v>
      </c>
      <c r="R224" s="384" t="str">
        <f>IF(K224=0,"Niet van toepassing",IF(G224='3B-Prestaties vloeren'!$B$2,"Schrobben",IF(G224='3B-Prestaties vloeren'!$C$2,"Sprayen/conserveren",IF(G224='3B-Prestaties vloeren'!$D$2,"Sproei-extractie",0))))</f>
        <v>Niet van toepassing</v>
      </c>
      <c r="S224" s="385">
        <f>IF('2-Tarieven'!$B$28=0,0,IF(M224=0,0,'2-Tarieven'!$B$28*M224))</f>
        <v>0</v>
      </c>
      <c r="T224" s="386">
        <f>IF(AND(COUNTBLANK('3B-Prestaties vloeren'!$F$3:$H$24)=0,COUNTBLANK('3B-Prestaties vloeren'!$L$3:$M$24)=0),IF(R224="Sprayen/conserveren",I224/VLOOKUP(E224,'3B-Prestaties vloeren'!$A$3:$M$24,12,FALSE),0)*(P224-1),0)</f>
        <v>0</v>
      </c>
      <c r="U224" s="386">
        <f>IF(AND(COUNTBLANK('3B-Prestaties vloeren'!$F$3:$H$24)=0,COUNTBLANK('3B-Prestaties vloeren'!$L$3:$M$24)=0),IF(R224="Sprayen/conserveren",I224/VLOOKUP(E224,'3B-Prestaties vloeren'!$A$3:$M$24,13,FALSE),0),0)</f>
        <v>0</v>
      </c>
      <c r="V224" s="386">
        <f>IF(AND(COUNTBLANK('3B-Prestaties vloeren'!$F$3:$H$24)=0,COUNTBLANK('3B-Prestaties vloeren'!$L$3:$M$24)=0),IF(R224="schrobben",I224/VLOOKUP(E224,'3B-Prestaties vloeren'!$A$3:$H$24,6,FALSE),0)*P224,0)</f>
        <v>0</v>
      </c>
      <c r="W224" s="386">
        <f>IF(AND(COUNTBLANK('3B-Prestaties vloeren'!$F$3:$H$24)=0,COUNTBLANK('3B-Prestaties vloeren'!$L$3:$M$24)=0),IF(R224="sproei-extractie",I224/VLOOKUP(E224,'3B-Prestaties vloeren'!$A$3:$H$24,8,FALSE),0)*P224,0)</f>
        <v>0</v>
      </c>
    </row>
    <row r="225" spans="1:23" ht="15" hidden="1">
      <c r="A225" s="378" t="s">
        <v>677</v>
      </c>
      <c r="B225" s="378" t="s">
        <v>678</v>
      </c>
      <c r="C225" s="378">
        <v>1</v>
      </c>
      <c r="D225" s="378" t="s">
        <v>351</v>
      </c>
      <c r="E225" s="378" t="s">
        <v>653</v>
      </c>
      <c r="F225" s="378" t="s">
        <v>647</v>
      </c>
      <c r="G225" s="378" t="str">
        <f>VLOOKUP(F225,'3B-Prestaties vloeren'!$A$28:$B$118,2,0)</f>
        <v>Hard onbehandeld</v>
      </c>
      <c r="H225" s="378"/>
      <c r="I225" s="378">
        <v>15.81</v>
      </c>
      <c r="J225" s="421" t="s">
        <v>511</v>
      </c>
      <c r="K225" s="426">
        <v>255</v>
      </c>
      <c r="L225" s="378">
        <f t="shared" si="9"/>
        <v>4031.55</v>
      </c>
      <c r="M225" s="380" t="str">
        <f>IF(K225=0,0,IF(COUNTBLANK('3A-Prestatie'!$B$2:$I$22)=0,L225/VLOOKUP(E225,'3A-Prestatie'!$A$1:$M$22,VLOOKUP(K225,'3A-Prestatie'!$A$28:$B$34,2,FALSE),FALSE),"3A prestatie invullen"))</f>
        <v>3A prestatie invullen</v>
      </c>
      <c r="N225" s="380">
        <f t="shared" si="11"/>
        <v>0</v>
      </c>
      <c r="O225" s="381" t="str">
        <f>VLOOKUP(E225,'3A-Prestatie'!A:M,13,FALSE)</f>
        <v>S</v>
      </c>
      <c r="P225" s="382">
        <f>IF(R225="Niet van toepassing",0,VLOOKUP(E225,'3B-Prestaties vloeren'!$A$3:$D$24,IF(G225="Hard onbehandeld",2,IF(G225="Hard behandeld",3,4)),FALSE))</f>
        <v>52</v>
      </c>
      <c r="Q225" s="383">
        <f t="shared" si="10"/>
        <v>0</v>
      </c>
      <c r="R225" s="384" t="str">
        <f>IF(K225=0,"Niet van toepassing",IF(G225='3B-Prestaties vloeren'!$B$2,"Schrobben",IF(G225='3B-Prestaties vloeren'!$C$2,"Sprayen/conserveren",IF(G225='3B-Prestaties vloeren'!$D$2,"Sproei-extractie",0))))</f>
        <v>Schrobben</v>
      </c>
      <c r="S225" s="385">
        <f>IF('2-Tarieven'!$B$28=0,0,IF(M225=0,0,'2-Tarieven'!$B$28*M225))</f>
        <v>0</v>
      </c>
      <c r="T225" s="386">
        <f>IF(AND(COUNTBLANK('3B-Prestaties vloeren'!$F$3:$H$24)=0,COUNTBLANK('3B-Prestaties vloeren'!$L$3:$M$24)=0),IF(R225="Sprayen/conserveren",I225/VLOOKUP(E225,'3B-Prestaties vloeren'!$A$3:$M$24,12,FALSE),0)*(P225-1),0)</f>
        <v>0</v>
      </c>
      <c r="U225" s="386">
        <f>IF(AND(COUNTBLANK('3B-Prestaties vloeren'!$F$3:$H$24)=0,COUNTBLANK('3B-Prestaties vloeren'!$L$3:$M$24)=0),IF(R225="Sprayen/conserveren",I225/VLOOKUP(E225,'3B-Prestaties vloeren'!$A$3:$M$24,13,FALSE),0),0)</f>
        <v>0</v>
      </c>
      <c r="V225" s="386">
        <f>IF(AND(COUNTBLANK('3B-Prestaties vloeren'!$F$3:$H$24)=0,COUNTBLANK('3B-Prestaties vloeren'!$L$3:$M$24)=0),IF(R225="schrobben",I225/VLOOKUP(E225,'3B-Prestaties vloeren'!$A$3:$H$24,6,FALSE),0)*P225,0)</f>
        <v>0</v>
      </c>
      <c r="W225" s="386">
        <f>IF(AND(COUNTBLANK('3B-Prestaties vloeren'!$F$3:$H$24)=0,COUNTBLANK('3B-Prestaties vloeren'!$L$3:$M$24)=0),IF(R225="sproei-extractie",I225/VLOOKUP(E225,'3B-Prestaties vloeren'!$A$3:$H$24,8,FALSE),0)*P225,0)</f>
        <v>0</v>
      </c>
    </row>
    <row r="226" spans="1:23" ht="15" hidden="1">
      <c r="A226" s="378" t="s">
        <v>677</v>
      </c>
      <c r="B226" s="378" t="s">
        <v>678</v>
      </c>
      <c r="C226" s="378">
        <v>1</v>
      </c>
      <c r="D226" s="378" t="s">
        <v>688</v>
      </c>
      <c r="E226" s="378" t="s">
        <v>728</v>
      </c>
      <c r="F226" s="378" t="s">
        <v>647</v>
      </c>
      <c r="G226" s="378" t="str">
        <f>VLOOKUP(F226,'3B-Prestaties vloeren'!$A$28:$B$118,2,0)</f>
        <v>Hard onbehandeld</v>
      </c>
      <c r="H226" s="378" t="s">
        <v>330</v>
      </c>
      <c r="I226" s="416" t="s">
        <v>657</v>
      </c>
      <c r="J226" s="422"/>
      <c r="K226" s="426">
        <v>0</v>
      </c>
      <c r="L226" s="378">
        <f t="shared" si="9"/>
        <v>0</v>
      </c>
      <c r="M226" s="380">
        <f>IF(K226=0,0,IF(COUNTBLANK('3A-Prestatie'!$B$2:$I$22)=0,L226/VLOOKUP(E226,'3A-Prestatie'!$A$1:$M$22,VLOOKUP(K226,'3A-Prestatie'!$A$28:$B$34,2,FALSE),FALSE),"3A prestatie invullen"))</f>
        <v>0</v>
      </c>
      <c r="N226" s="380">
        <f t="shared" si="11"/>
        <v>0</v>
      </c>
      <c r="O226" s="381" t="str">
        <f>VLOOKUP(E226,'3A-Prestatie'!A:M,13,FALSE)</f>
        <v>N.v.t.</v>
      </c>
      <c r="P226" s="382">
        <f>IF(R226="Niet van toepassing",0,VLOOKUP(E226,'3B-Prestaties vloeren'!$A$3:$D$24,IF(G226="Hard onbehandeld",2,IF(G226="Hard behandeld",3,4)),FALSE))</f>
        <v>0</v>
      </c>
      <c r="Q226" s="383">
        <f t="shared" si="10"/>
        <v>0</v>
      </c>
      <c r="R226" s="384" t="str">
        <f>IF(K226=0,"Niet van toepassing",IF(G226='3B-Prestaties vloeren'!$B$2,"Schrobben",IF(G226='3B-Prestaties vloeren'!$C$2,"Sprayen/conserveren",IF(G226='3B-Prestaties vloeren'!$D$2,"Sproei-extractie",0))))</f>
        <v>Niet van toepassing</v>
      </c>
      <c r="S226" s="385">
        <f>IF('2-Tarieven'!$B$28=0,0,IF(M226=0,0,'2-Tarieven'!$B$28*M226))</f>
        <v>0</v>
      </c>
      <c r="T226" s="386">
        <f>IF(AND(COUNTBLANK('3B-Prestaties vloeren'!$F$3:$H$24)=0,COUNTBLANK('3B-Prestaties vloeren'!$L$3:$M$24)=0),IF(R226="Sprayen/conserveren",I226/VLOOKUP(E226,'3B-Prestaties vloeren'!$A$3:$M$24,12,FALSE),0)*(P226-1),0)</f>
        <v>0</v>
      </c>
      <c r="U226" s="386">
        <f>IF(AND(COUNTBLANK('3B-Prestaties vloeren'!$F$3:$H$24)=0,COUNTBLANK('3B-Prestaties vloeren'!$L$3:$M$24)=0),IF(R226="Sprayen/conserveren",I226/VLOOKUP(E226,'3B-Prestaties vloeren'!$A$3:$M$24,13,FALSE),0),0)</f>
        <v>0</v>
      </c>
      <c r="V226" s="386">
        <f>IF(AND(COUNTBLANK('3B-Prestaties vloeren'!$F$3:$H$24)=0,COUNTBLANK('3B-Prestaties vloeren'!$L$3:$M$24)=0),IF(R226="schrobben",I226/VLOOKUP(E226,'3B-Prestaties vloeren'!$A$3:$H$24,6,FALSE),0)*P226,0)</f>
        <v>0</v>
      </c>
      <c r="W226" s="386">
        <f>IF(AND(COUNTBLANK('3B-Prestaties vloeren'!$F$3:$H$24)=0,COUNTBLANK('3B-Prestaties vloeren'!$L$3:$M$24)=0),IF(R226="sproei-extractie",I226/VLOOKUP(E226,'3B-Prestaties vloeren'!$A$3:$H$24,8,FALSE),0)*P226,0)</f>
        <v>0</v>
      </c>
    </row>
    <row r="227" spans="1:23" ht="15" hidden="1">
      <c r="A227" s="378" t="s">
        <v>677</v>
      </c>
      <c r="B227" s="378" t="s">
        <v>678</v>
      </c>
      <c r="C227" s="378">
        <v>1</v>
      </c>
      <c r="D227" s="378" t="s">
        <v>352</v>
      </c>
      <c r="E227" s="378" t="s">
        <v>5</v>
      </c>
      <c r="F227" s="378" t="s">
        <v>65</v>
      </c>
      <c r="G227" s="378" t="str">
        <f>VLOOKUP(F227,'3B-Prestaties vloeren'!$A$28:$B$118,2,0)</f>
        <v>Zacht onbehandeld</v>
      </c>
      <c r="H227" s="378"/>
      <c r="I227" s="378">
        <v>38</v>
      </c>
      <c r="J227" s="420" t="s">
        <v>749</v>
      </c>
      <c r="K227" s="426">
        <v>52</v>
      </c>
      <c r="L227" s="378">
        <f t="shared" si="9"/>
        <v>1976</v>
      </c>
      <c r="M227" s="380" t="str">
        <f>IF(K227=0,0,IF(COUNTBLANK('3A-Prestatie'!$B$2:$I$22)=0,L227/VLOOKUP(E227,'3A-Prestatie'!$A$1:$M$22,VLOOKUP(K227,'3A-Prestatie'!$A$28:$B$34,2,FALSE),FALSE),"3A prestatie invullen"))</f>
        <v>3A prestatie invullen</v>
      </c>
      <c r="N227" s="380">
        <f t="shared" si="11"/>
        <v>0</v>
      </c>
      <c r="O227" s="381" t="str">
        <f>VLOOKUP(E227,'3A-Prestatie'!A:M,13,FALSE)</f>
        <v>B</v>
      </c>
      <c r="P227" s="382">
        <f>IF(R227="Niet van toepassing",0,VLOOKUP(E227,'3B-Prestaties vloeren'!$A$3:$D$24,IF(G227="Hard onbehandeld",2,IF(G227="Hard behandeld",3,4)),FALSE))</f>
        <v>1</v>
      </c>
      <c r="Q227" s="383">
        <f t="shared" si="10"/>
        <v>0</v>
      </c>
      <c r="R227" s="384" t="str">
        <f>IF(K227=0,"Niet van toepassing",IF(G227='3B-Prestaties vloeren'!$B$2,"Schrobben",IF(G227='3B-Prestaties vloeren'!$C$2,"Sprayen/conserveren",IF(G227='3B-Prestaties vloeren'!$D$2,"Sproei-extractie",0))))</f>
        <v>Sproei-extractie</v>
      </c>
      <c r="S227" s="385">
        <f>IF('2-Tarieven'!$B$28=0,0,IF(M227=0,0,'2-Tarieven'!$B$28*M227))</f>
        <v>0</v>
      </c>
      <c r="T227" s="386">
        <f>IF(AND(COUNTBLANK('3B-Prestaties vloeren'!$F$3:$H$24)=0,COUNTBLANK('3B-Prestaties vloeren'!$L$3:$M$24)=0),IF(R227="Sprayen/conserveren",I227/VLOOKUP(E227,'3B-Prestaties vloeren'!$A$3:$M$24,12,FALSE),0)*(P227-1),0)</f>
        <v>0</v>
      </c>
      <c r="U227" s="386">
        <f>IF(AND(COUNTBLANK('3B-Prestaties vloeren'!$F$3:$H$24)=0,COUNTBLANK('3B-Prestaties vloeren'!$L$3:$M$24)=0),IF(R227="Sprayen/conserveren",I227/VLOOKUP(E227,'3B-Prestaties vloeren'!$A$3:$M$24,13,FALSE),0),0)</f>
        <v>0</v>
      </c>
      <c r="V227" s="386">
        <f>IF(AND(COUNTBLANK('3B-Prestaties vloeren'!$F$3:$H$24)=0,COUNTBLANK('3B-Prestaties vloeren'!$L$3:$M$24)=0),IF(R227="schrobben",I227/VLOOKUP(E227,'3B-Prestaties vloeren'!$A$3:$H$24,6,FALSE),0)*P227,0)</f>
        <v>0</v>
      </c>
      <c r="W227" s="386">
        <f>IF(AND(COUNTBLANK('3B-Prestaties vloeren'!$F$3:$H$24)=0,COUNTBLANK('3B-Prestaties vloeren'!$L$3:$M$24)=0),IF(R227="sproei-extractie",I227/VLOOKUP(E227,'3B-Prestaties vloeren'!$A$3:$H$24,8,FALSE),0)*P227,0)</f>
        <v>0</v>
      </c>
    </row>
    <row r="228" spans="1:23" ht="15" hidden="1">
      <c r="A228" s="378" t="s">
        <v>677</v>
      </c>
      <c r="B228" s="378" t="s">
        <v>678</v>
      </c>
      <c r="C228" s="378">
        <v>1</v>
      </c>
      <c r="D228" s="378" t="s">
        <v>353</v>
      </c>
      <c r="E228" s="378" t="s">
        <v>5</v>
      </c>
      <c r="F228" s="378" t="s">
        <v>65</v>
      </c>
      <c r="G228" s="378" t="str">
        <f>VLOOKUP(F228,'3B-Prestaties vloeren'!$A$28:$B$118,2,0)</f>
        <v>Zacht onbehandeld</v>
      </c>
      <c r="H228" s="378"/>
      <c r="I228" s="378">
        <v>38.4</v>
      </c>
      <c r="J228" s="420" t="s">
        <v>749</v>
      </c>
      <c r="K228" s="426">
        <v>52</v>
      </c>
      <c r="L228" s="378">
        <f t="shared" si="9"/>
        <v>1996.8</v>
      </c>
      <c r="M228" s="380" t="str">
        <f>IF(K228=0,0,IF(COUNTBLANK('3A-Prestatie'!$B$2:$I$22)=0,L228/VLOOKUP(E228,'3A-Prestatie'!$A$1:$M$22,VLOOKUP(K228,'3A-Prestatie'!$A$28:$B$34,2,FALSE),FALSE),"3A prestatie invullen"))</f>
        <v>3A prestatie invullen</v>
      </c>
      <c r="N228" s="380">
        <f t="shared" si="11"/>
        <v>0</v>
      </c>
      <c r="O228" s="381" t="str">
        <f>VLOOKUP(E228,'3A-Prestatie'!A:M,13,FALSE)</f>
        <v>B</v>
      </c>
      <c r="P228" s="382">
        <f>IF(R228="Niet van toepassing",0,VLOOKUP(E228,'3B-Prestaties vloeren'!$A$3:$D$24,IF(G228="Hard onbehandeld",2,IF(G228="Hard behandeld",3,4)),FALSE))</f>
        <v>1</v>
      </c>
      <c r="Q228" s="383">
        <f t="shared" si="10"/>
        <v>0</v>
      </c>
      <c r="R228" s="384" t="str">
        <f>IF(K228=0,"Niet van toepassing",IF(G228='3B-Prestaties vloeren'!$B$2,"Schrobben",IF(G228='3B-Prestaties vloeren'!$C$2,"Sprayen/conserveren",IF(G228='3B-Prestaties vloeren'!$D$2,"Sproei-extractie",0))))</f>
        <v>Sproei-extractie</v>
      </c>
      <c r="S228" s="385">
        <f>IF('2-Tarieven'!$B$28=0,0,IF(M228=0,0,'2-Tarieven'!$B$28*M228))</f>
        <v>0</v>
      </c>
      <c r="T228" s="386">
        <f>IF(AND(COUNTBLANK('3B-Prestaties vloeren'!$F$3:$H$24)=0,COUNTBLANK('3B-Prestaties vloeren'!$L$3:$M$24)=0),IF(R228="Sprayen/conserveren",I228/VLOOKUP(E228,'3B-Prestaties vloeren'!$A$3:$M$24,12,FALSE),0)*(P228-1),0)</f>
        <v>0</v>
      </c>
      <c r="U228" s="386">
        <f>IF(AND(COUNTBLANK('3B-Prestaties vloeren'!$F$3:$H$24)=0,COUNTBLANK('3B-Prestaties vloeren'!$L$3:$M$24)=0),IF(R228="Sprayen/conserveren",I228/VLOOKUP(E228,'3B-Prestaties vloeren'!$A$3:$M$24,13,FALSE),0),0)</f>
        <v>0</v>
      </c>
      <c r="V228" s="386">
        <f>IF(AND(COUNTBLANK('3B-Prestaties vloeren'!$F$3:$H$24)=0,COUNTBLANK('3B-Prestaties vloeren'!$L$3:$M$24)=0),IF(R228="schrobben",I228/VLOOKUP(E228,'3B-Prestaties vloeren'!$A$3:$H$24,6,FALSE),0)*P228,0)</f>
        <v>0</v>
      </c>
      <c r="W228" s="386">
        <f>IF(AND(COUNTBLANK('3B-Prestaties vloeren'!$F$3:$H$24)=0,COUNTBLANK('3B-Prestaties vloeren'!$L$3:$M$24)=0),IF(R228="sproei-extractie",I228/VLOOKUP(E228,'3B-Prestaties vloeren'!$A$3:$H$24,8,FALSE),0)*P228,0)</f>
        <v>0</v>
      </c>
    </row>
    <row r="229" spans="1:23" ht="15" hidden="1">
      <c r="A229" s="378" t="s">
        <v>677</v>
      </c>
      <c r="B229" s="378" t="s">
        <v>678</v>
      </c>
      <c r="C229" s="378">
        <v>1</v>
      </c>
      <c r="D229" s="378" t="s">
        <v>354</v>
      </c>
      <c r="E229" s="378" t="s">
        <v>5</v>
      </c>
      <c r="F229" s="378" t="s">
        <v>65</v>
      </c>
      <c r="G229" s="378" t="str">
        <f>VLOOKUP(F229,'3B-Prestaties vloeren'!$A$28:$B$118,2,0)</f>
        <v>Zacht onbehandeld</v>
      </c>
      <c r="H229" s="378"/>
      <c r="I229" s="378">
        <v>25.4</v>
      </c>
      <c r="J229" s="420" t="s">
        <v>749</v>
      </c>
      <c r="K229" s="426">
        <v>52</v>
      </c>
      <c r="L229" s="378">
        <f t="shared" si="9"/>
        <v>1320.8</v>
      </c>
      <c r="M229" s="380" t="str">
        <f>IF(K229=0,0,IF(COUNTBLANK('3A-Prestatie'!$B$2:$I$22)=0,L229/VLOOKUP(E229,'3A-Prestatie'!$A$1:$M$22,VLOOKUP(K229,'3A-Prestatie'!$A$28:$B$34,2,FALSE),FALSE),"3A prestatie invullen"))</f>
        <v>3A prestatie invullen</v>
      </c>
      <c r="N229" s="380">
        <f t="shared" si="11"/>
        <v>0</v>
      </c>
      <c r="O229" s="381" t="str">
        <f>VLOOKUP(E229,'3A-Prestatie'!A:M,13,FALSE)</f>
        <v>B</v>
      </c>
      <c r="P229" s="382">
        <f>IF(R229="Niet van toepassing",0,VLOOKUP(E229,'3B-Prestaties vloeren'!$A$3:$D$24,IF(G229="Hard onbehandeld",2,IF(G229="Hard behandeld",3,4)),FALSE))</f>
        <v>1</v>
      </c>
      <c r="Q229" s="383">
        <f t="shared" si="10"/>
        <v>0</v>
      </c>
      <c r="R229" s="384" t="str">
        <f>IF(K229=0,"Niet van toepassing",IF(G229='3B-Prestaties vloeren'!$B$2,"Schrobben",IF(G229='3B-Prestaties vloeren'!$C$2,"Sprayen/conserveren",IF(G229='3B-Prestaties vloeren'!$D$2,"Sproei-extractie",0))))</f>
        <v>Sproei-extractie</v>
      </c>
      <c r="S229" s="385">
        <f>IF('2-Tarieven'!$B$28=0,0,IF(M229=0,0,'2-Tarieven'!$B$28*M229))</f>
        <v>0</v>
      </c>
      <c r="T229" s="386">
        <f>IF(AND(COUNTBLANK('3B-Prestaties vloeren'!$F$3:$H$24)=0,COUNTBLANK('3B-Prestaties vloeren'!$L$3:$M$24)=0),IF(R229="Sprayen/conserveren",I229/VLOOKUP(E229,'3B-Prestaties vloeren'!$A$3:$M$24,12,FALSE),0)*(P229-1),0)</f>
        <v>0</v>
      </c>
      <c r="U229" s="386">
        <f>IF(AND(COUNTBLANK('3B-Prestaties vloeren'!$F$3:$H$24)=0,COUNTBLANK('3B-Prestaties vloeren'!$L$3:$M$24)=0),IF(R229="Sprayen/conserveren",I229/VLOOKUP(E229,'3B-Prestaties vloeren'!$A$3:$M$24,13,FALSE),0),0)</f>
        <v>0</v>
      </c>
      <c r="V229" s="386">
        <f>IF(AND(COUNTBLANK('3B-Prestaties vloeren'!$F$3:$H$24)=0,COUNTBLANK('3B-Prestaties vloeren'!$L$3:$M$24)=0),IF(R229="schrobben",I229/VLOOKUP(E229,'3B-Prestaties vloeren'!$A$3:$H$24,6,FALSE),0)*P229,0)</f>
        <v>0</v>
      </c>
      <c r="W229" s="386">
        <f>IF(AND(COUNTBLANK('3B-Prestaties vloeren'!$F$3:$H$24)=0,COUNTBLANK('3B-Prestaties vloeren'!$L$3:$M$24)=0),IF(R229="sproei-extractie",I229/VLOOKUP(E229,'3B-Prestaties vloeren'!$A$3:$H$24,8,FALSE),0)*P229,0)</f>
        <v>0</v>
      </c>
    </row>
    <row r="230" spans="1:23" ht="15" hidden="1">
      <c r="A230" s="378" t="s">
        <v>677</v>
      </c>
      <c r="B230" s="378" t="s">
        <v>678</v>
      </c>
      <c r="C230" s="378">
        <v>1</v>
      </c>
      <c r="D230" s="378" t="s">
        <v>13</v>
      </c>
      <c r="E230" s="378" t="s">
        <v>5</v>
      </c>
      <c r="F230" s="378" t="s">
        <v>65</v>
      </c>
      <c r="G230" s="378" t="str">
        <f>VLOOKUP(F230,'3B-Prestaties vloeren'!$A$28:$B$118,2,0)</f>
        <v>Zacht onbehandeld</v>
      </c>
      <c r="H230" s="378"/>
      <c r="I230" s="378">
        <v>38.299999999999997</v>
      </c>
      <c r="J230" s="420" t="s">
        <v>749</v>
      </c>
      <c r="K230" s="426">
        <v>52</v>
      </c>
      <c r="L230" s="378">
        <f t="shared" si="9"/>
        <v>1991.6</v>
      </c>
      <c r="M230" s="380" t="str">
        <f>IF(K230=0,0,IF(COUNTBLANK('3A-Prestatie'!$B$2:$I$22)=0,L230/VLOOKUP(E230,'3A-Prestatie'!$A$1:$M$22,VLOOKUP(K230,'3A-Prestatie'!$A$28:$B$34,2,FALSE),FALSE),"3A prestatie invullen"))</f>
        <v>3A prestatie invullen</v>
      </c>
      <c r="N230" s="380">
        <f t="shared" si="11"/>
        <v>0</v>
      </c>
      <c r="O230" s="381" t="str">
        <f>VLOOKUP(E230,'3A-Prestatie'!A:M,13,FALSE)</f>
        <v>B</v>
      </c>
      <c r="P230" s="382">
        <f>IF(R230="Niet van toepassing",0,VLOOKUP(E230,'3B-Prestaties vloeren'!$A$3:$D$24,IF(G230="Hard onbehandeld",2,IF(G230="Hard behandeld",3,4)),FALSE))</f>
        <v>1</v>
      </c>
      <c r="Q230" s="383">
        <f t="shared" si="10"/>
        <v>0</v>
      </c>
      <c r="R230" s="384" t="str">
        <f>IF(K230=0,"Niet van toepassing",IF(G230='3B-Prestaties vloeren'!$B$2,"Schrobben",IF(G230='3B-Prestaties vloeren'!$C$2,"Sprayen/conserveren",IF(G230='3B-Prestaties vloeren'!$D$2,"Sproei-extractie",0))))</f>
        <v>Sproei-extractie</v>
      </c>
      <c r="S230" s="385">
        <f>IF('2-Tarieven'!$B$28=0,0,IF(M230=0,0,'2-Tarieven'!$B$28*M230))</f>
        <v>0</v>
      </c>
      <c r="T230" s="386">
        <f>IF(AND(COUNTBLANK('3B-Prestaties vloeren'!$F$3:$H$24)=0,COUNTBLANK('3B-Prestaties vloeren'!$L$3:$M$24)=0),IF(R230="Sprayen/conserveren",I230/VLOOKUP(E230,'3B-Prestaties vloeren'!$A$3:$M$24,12,FALSE),0)*(P230-1),0)</f>
        <v>0</v>
      </c>
      <c r="U230" s="386">
        <f>IF(AND(COUNTBLANK('3B-Prestaties vloeren'!$F$3:$H$24)=0,COUNTBLANK('3B-Prestaties vloeren'!$L$3:$M$24)=0),IF(R230="Sprayen/conserveren",I230/VLOOKUP(E230,'3B-Prestaties vloeren'!$A$3:$M$24,13,FALSE),0),0)</f>
        <v>0</v>
      </c>
      <c r="V230" s="386">
        <f>IF(AND(COUNTBLANK('3B-Prestaties vloeren'!$F$3:$H$24)=0,COUNTBLANK('3B-Prestaties vloeren'!$L$3:$M$24)=0),IF(R230="schrobben",I230/VLOOKUP(E230,'3B-Prestaties vloeren'!$A$3:$H$24,6,FALSE),0)*P230,0)</f>
        <v>0</v>
      </c>
      <c r="W230" s="386">
        <f>IF(AND(COUNTBLANK('3B-Prestaties vloeren'!$F$3:$H$24)=0,COUNTBLANK('3B-Prestaties vloeren'!$L$3:$M$24)=0),IF(R230="sproei-extractie",I230/VLOOKUP(E230,'3B-Prestaties vloeren'!$A$3:$H$24,8,FALSE),0)*P230,0)</f>
        <v>0</v>
      </c>
    </row>
    <row r="231" spans="1:23" ht="15" hidden="1">
      <c r="A231" s="378" t="s">
        <v>677</v>
      </c>
      <c r="B231" s="378" t="s">
        <v>678</v>
      </c>
      <c r="C231" s="378">
        <v>1</v>
      </c>
      <c r="D231" s="378" t="s">
        <v>355</v>
      </c>
      <c r="E231" s="378" t="s">
        <v>285</v>
      </c>
      <c r="F231" s="378" t="s">
        <v>416</v>
      </c>
      <c r="G231" s="378" t="str">
        <f>VLOOKUP(F231,'3B-Prestaties vloeren'!$A$28:$B$118,2,0)</f>
        <v>Hard onbehandeld</v>
      </c>
      <c r="H231" s="378" t="s">
        <v>686</v>
      </c>
      <c r="I231" s="378">
        <v>18.36</v>
      </c>
      <c r="J231" s="420" t="s">
        <v>749</v>
      </c>
      <c r="K231" s="426">
        <v>255</v>
      </c>
      <c r="L231" s="378">
        <f t="shared" si="9"/>
        <v>4681.8</v>
      </c>
      <c r="M231" s="380" t="str">
        <f>IF(K231=0,0,IF(COUNTBLANK('3A-Prestatie'!$B$2:$I$22)=0,L231/VLOOKUP(E231,'3A-Prestatie'!$A$1:$M$22,VLOOKUP(K231,'3A-Prestatie'!$A$28:$B$34,2,FALSE),FALSE),"3A prestatie invullen"))</f>
        <v>3A prestatie invullen</v>
      </c>
      <c r="N231" s="380">
        <f t="shared" si="11"/>
        <v>0</v>
      </c>
      <c r="O231" s="381" t="str">
        <f>VLOOKUP(E231,'3A-Prestatie'!A:M,13,FALSE)</f>
        <v>V</v>
      </c>
      <c r="P231" s="382">
        <f>IF(R231="Niet van toepassing",0,VLOOKUP(E231,'3B-Prestaties vloeren'!$A$3:$D$24,IF(G231="Hard onbehandeld",2,IF(G231="Hard behandeld",3,4)),FALSE))</f>
        <v>52</v>
      </c>
      <c r="Q231" s="383">
        <f t="shared" si="10"/>
        <v>0</v>
      </c>
      <c r="R231" s="384" t="str">
        <f>IF(K231=0,"Niet van toepassing",IF(G231='3B-Prestaties vloeren'!$B$2,"Schrobben",IF(G231='3B-Prestaties vloeren'!$C$2,"Sprayen/conserveren",IF(G231='3B-Prestaties vloeren'!$D$2,"Sproei-extractie",0))))</f>
        <v>Schrobben</v>
      </c>
      <c r="S231" s="385">
        <f>IF('2-Tarieven'!$B$28=0,0,IF(M231=0,0,'2-Tarieven'!$B$28*M231))</f>
        <v>0</v>
      </c>
      <c r="T231" s="386">
        <f>IF(AND(COUNTBLANK('3B-Prestaties vloeren'!$F$3:$H$24)=0,COUNTBLANK('3B-Prestaties vloeren'!$L$3:$M$24)=0),IF(R231="Sprayen/conserveren",I231/VLOOKUP(E231,'3B-Prestaties vloeren'!$A$3:$M$24,12,FALSE),0)*(P231-1),0)</f>
        <v>0</v>
      </c>
      <c r="U231" s="386">
        <f>IF(AND(COUNTBLANK('3B-Prestaties vloeren'!$F$3:$H$24)=0,COUNTBLANK('3B-Prestaties vloeren'!$L$3:$M$24)=0),IF(R231="Sprayen/conserveren",I231/VLOOKUP(E231,'3B-Prestaties vloeren'!$A$3:$M$24,13,FALSE),0),0)</f>
        <v>0</v>
      </c>
      <c r="V231" s="386">
        <f>IF(AND(COUNTBLANK('3B-Prestaties vloeren'!$F$3:$H$24)=0,COUNTBLANK('3B-Prestaties vloeren'!$L$3:$M$24)=0),IF(R231="schrobben",I231/VLOOKUP(E231,'3B-Prestaties vloeren'!$A$3:$H$24,6,FALSE),0)*P231,0)</f>
        <v>0</v>
      </c>
      <c r="W231" s="386">
        <f>IF(AND(COUNTBLANK('3B-Prestaties vloeren'!$F$3:$H$24)=0,COUNTBLANK('3B-Prestaties vloeren'!$L$3:$M$24)=0),IF(R231="sproei-extractie",I231/VLOOKUP(E231,'3B-Prestaties vloeren'!$A$3:$H$24,8,FALSE),0)*P231,0)</f>
        <v>0</v>
      </c>
    </row>
    <row r="232" spans="1:23" ht="15" hidden="1">
      <c r="A232" s="378" t="s">
        <v>677</v>
      </c>
      <c r="B232" s="378" t="s">
        <v>678</v>
      </c>
      <c r="C232" s="378">
        <v>1</v>
      </c>
      <c r="D232" s="378" t="s">
        <v>356</v>
      </c>
      <c r="E232" s="378" t="s">
        <v>5</v>
      </c>
      <c r="F232" s="378" t="s">
        <v>65</v>
      </c>
      <c r="G232" s="378" t="str">
        <f>VLOOKUP(F232,'3B-Prestaties vloeren'!$A$28:$B$118,2,0)</f>
        <v>Zacht onbehandeld</v>
      </c>
      <c r="H232" s="378"/>
      <c r="I232" s="378">
        <v>22.55</v>
      </c>
      <c r="J232" s="420" t="s">
        <v>749</v>
      </c>
      <c r="K232" s="426">
        <v>52</v>
      </c>
      <c r="L232" s="378">
        <f t="shared" si="9"/>
        <v>1172.6000000000001</v>
      </c>
      <c r="M232" s="380" t="str">
        <f>IF(K232=0,0,IF(COUNTBLANK('3A-Prestatie'!$B$2:$I$22)=0,L232/VLOOKUP(E232,'3A-Prestatie'!$A$1:$M$22,VLOOKUP(K232,'3A-Prestatie'!$A$28:$B$34,2,FALSE),FALSE),"3A prestatie invullen"))</f>
        <v>3A prestatie invullen</v>
      </c>
      <c r="N232" s="380">
        <f t="shared" si="11"/>
        <v>0</v>
      </c>
      <c r="O232" s="381" t="str">
        <f>VLOOKUP(E232,'3A-Prestatie'!A:M,13,FALSE)</f>
        <v>B</v>
      </c>
      <c r="P232" s="382">
        <f>IF(R232="Niet van toepassing",0,VLOOKUP(E232,'3B-Prestaties vloeren'!$A$3:$D$24,IF(G232="Hard onbehandeld",2,IF(G232="Hard behandeld",3,4)),FALSE))</f>
        <v>1</v>
      </c>
      <c r="Q232" s="383">
        <f t="shared" si="10"/>
        <v>0</v>
      </c>
      <c r="R232" s="384" t="str">
        <f>IF(K232=0,"Niet van toepassing",IF(G232='3B-Prestaties vloeren'!$B$2,"Schrobben",IF(G232='3B-Prestaties vloeren'!$C$2,"Sprayen/conserveren",IF(G232='3B-Prestaties vloeren'!$D$2,"Sproei-extractie",0))))</f>
        <v>Sproei-extractie</v>
      </c>
      <c r="S232" s="385">
        <f>IF('2-Tarieven'!$B$28=0,0,IF(M232=0,0,'2-Tarieven'!$B$28*M232))</f>
        <v>0</v>
      </c>
      <c r="T232" s="386">
        <f>IF(AND(COUNTBLANK('3B-Prestaties vloeren'!$F$3:$H$24)=0,COUNTBLANK('3B-Prestaties vloeren'!$L$3:$M$24)=0),IF(R232="Sprayen/conserveren",I232/VLOOKUP(E232,'3B-Prestaties vloeren'!$A$3:$M$24,12,FALSE),0)*(P232-1),0)</f>
        <v>0</v>
      </c>
      <c r="U232" s="386">
        <f>IF(AND(COUNTBLANK('3B-Prestaties vloeren'!$F$3:$H$24)=0,COUNTBLANK('3B-Prestaties vloeren'!$L$3:$M$24)=0),IF(R232="Sprayen/conserveren",I232/VLOOKUP(E232,'3B-Prestaties vloeren'!$A$3:$M$24,13,FALSE),0),0)</f>
        <v>0</v>
      </c>
      <c r="V232" s="386">
        <f>IF(AND(COUNTBLANK('3B-Prestaties vloeren'!$F$3:$H$24)=0,COUNTBLANK('3B-Prestaties vloeren'!$L$3:$M$24)=0),IF(R232="schrobben",I232/VLOOKUP(E232,'3B-Prestaties vloeren'!$A$3:$H$24,6,FALSE),0)*P232,0)</f>
        <v>0</v>
      </c>
      <c r="W232" s="386">
        <f>IF(AND(COUNTBLANK('3B-Prestaties vloeren'!$F$3:$H$24)=0,COUNTBLANK('3B-Prestaties vloeren'!$L$3:$M$24)=0),IF(R232="sproei-extractie",I232/VLOOKUP(E232,'3B-Prestaties vloeren'!$A$3:$H$24,8,FALSE),0)*P232,0)</f>
        <v>0</v>
      </c>
    </row>
    <row r="233" spans="1:23" ht="15" hidden="1">
      <c r="A233" s="378" t="s">
        <v>677</v>
      </c>
      <c r="B233" s="378" t="s">
        <v>678</v>
      </c>
      <c r="C233" s="378">
        <v>1</v>
      </c>
      <c r="D233" s="378" t="s">
        <v>357</v>
      </c>
      <c r="E233" s="378" t="s">
        <v>5</v>
      </c>
      <c r="F233" s="378" t="s">
        <v>65</v>
      </c>
      <c r="G233" s="378" t="str">
        <f>VLOOKUP(F233,'3B-Prestaties vloeren'!$A$28:$B$118,2,0)</f>
        <v>Zacht onbehandeld</v>
      </c>
      <c r="H233" s="378"/>
      <c r="I233" s="378">
        <v>28.25</v>
      </c>
      <c r="J233" s="420" t="s">
        <v>749</v>
      </c>
      <c r="K233" s="426">
        <v>52</v>
      </c>
      <c r="L233" s="378">
        <f t="shared" si="9"/>
        <v>1469</v>
      </c>
      <c r="M233" s="380" t="str">
        <f>IF(K233=0,0,IF(COUNTBLANK('3A-Prestatie'!$B$2:$I$22)=0,L233/VLOOKUP(E233,'3A-Prestatie'!$A$1:$M$22,VLOOKUP(K233,'3A-Prestatie'!$A$28:$B$34,2,FALSE),FALSE),"3A prestatie invullen"))</f>
        <v>3A prestatie invullen</v>
      </c>
      <c r="N233" s="380">
        <f t="shared" si="11"/>
        <v>0</v>
      </c>
      <c r="O233" s="381" t="str">
        <f>VLOOKUP(E233,'3A-Prestatie'!A:M,13,FALSE)</f>
        <v>B</v>
      </c>
      <c r="P233" s="382">
        <f>IF(R233="Niet van toepassing",0,VLOOKUP(E233,'3B-Prestaties vloeren'!$A$3:$D$24,IF(G233="Hard onbehandeld",2,IF(G233="Hard behandeld",3,4)),FALSE))</f>
        <v>1</v>
      </c>
      <c r="Q233" s="383">
        <f t="shared" si="10"/>
        <v>0</v>
      </c>
      <c r="R233" s="384" t="str">
        <f>IF(K233=0,"Niet van toepassing",IF(G233='3B-Prestaties vloeren'!$B$2,"Schrobben",IF(G233='3B-Prestaties vloeren'!$C$2,"Sprayen/conserveren",IF(G233='3B-Prestaties vloeren'!$D$2,"Sproei-extractie",0))))</f>
        <v>Sproei-extractie</v>
      </c>
      <c r="S233" s="385">
        <f>IF('2-Tarieven'!$B$28=0,0,IF(M233=0,0,'2-Tarieven'!$B$28*M233))</f>
        <v>0</v>
      </c>
      <c r="T233" s="386">
        <f>IF(AND(COUNTBLANK('3B-Prestaties vloeren'!$F$3:$H$24)=0,COUNTBLANK('3B-Prestaties vloeren'!$L$3:$M$24)=0),IF(R233="Sprayen/conserveren",I233/VLOOKUP(E233,'3B-Prestaties vloeren'!$A$3:$M$24,12,FALSE),0)*(P233-1),0)</f>
        <v>0</v>
      </c>
      <c r="U233" s="386">
        <f>IF(AND(COUNTBLANK('3B-Prestaties vloeren'!$F$3:$H$24)=0,COUNTBLANK('3B-Prestaties vloeren'!$L$3:$M$24)=0),IF(R233="Sprayen/conserveren",I233/VLOOKUP(E233,'3B-Prestaties vloeren'!$A$3:$M$24,13,FALSE),0),0)</f>
        <v>0</v>
      </c>
      <c r="V233" s="386">
        <f>IF(AND(COUNTBLANK('3B-Prestaties vloeren'!$F$3:$H$24)=0,COUNTBLANK('3B-Prestaties vloeren'!$L$3:$M$24)=0),IF(R233="schrobben",I233/VLOOKUP(E233,'3B-Prestaties vloeren'!$A$3:$H$24,6,FALSE),0)*P233,0)</f>
        <v>0</v>
      </c>
      <c r="W233" s="386">
        <f>IF(AND(COUNTBLANK('3B-Prestaties vloeren'!$F$3:$H$24)=0,COUNTBLANK('3B-Prestaties vloeren'!$L$3:$M$24)=0),IF(R233="sproei-extractie",I233/VLOOKUP(E233,'3B-Prestaties vloeren'!$A$3:$H$24,8,FALSE),0)*P233,0)</f>
        <v>0</v>
      </c>
    </row>
    <row r="234" spans="1:23" ht="15" hidden="1">
      <c r="A234" s="378" t="s">
        <v>677</v>
      </c>
      <c r="B234" s="378" t="s">
        <v>678</v>
      </c>
      <c r="C234" s="378">
        <v>1</v>
      </c>
      <c r="D234" s="378" t="s">
        <v>358</v>
      </c>
      <c r="E234" s="378" t="s">
        <v>6</v>
      </c>
      <c r="F234" s="378" t="s">
        <v>416</v>
      </c>
      <c r="G234" s="378" t="str">
        <f>VLOOKUP(F234,'3B-Prestaties vloeren'!$A$28:$B$118,2,0)</f>
        <v>Hard onbehandeld</v>
      </c>
      <c r="H234" s="378" t="s">
        <v>686</v>
      </c>
      <c r="I234" s="378">
        <v>38.5</v>
      </c>
      <c r="J234" s="420" t="s">
        <v>749</v>
      </c>
      <c r="K234" s="426">
        <v>52</v>
      </c>
      <c r="L234" s="378">
        <f t="shared" si="9"/>
        <v>2002</v>
      </c>
      <c r="M234" s="380" t="str">
        <f>IF(K234=0,0,IF(COUNTBLANK('3A-Prestatie'!$B$2:$I$22)=0,L234/VLOOKUP(E234,'3A-Prestatie'!$A$1:$M$22,VLOOKUP(K234,'3A-Prestatie'!$A$28:$B$34,2,FALSE),FALSE),"3A prestatie invullen"))</f>
        <v>3A prestatie invullen</v>
      </c>
      <c r="N234" s="380">
        <f t="shared" si="11"/>
        <v>0</v>
      </c>
      <c r="O234" s="381" t="str">
        <f>VLOOKUP(E234,'3A-Prestatie'!A:M,13,FALSE)</f>
        <v>V</v>
      </c>
      <c r="P234" s="382">
        <f>IF(R234="Niet van toepassing",0,VLOOKUP(E234,'3B-Prestaties vloeren'!$A$3:$D$24,IF(G234="Hard onbehandeld",2,IF(G234="Hard behandeld",3,4)),FALSE))</f>
        <v>4</v>
      </c>
      <c r="Q234" s="383">
        <f t="shared" si="10"/>
        <v>0</v>
      </c>
      <c r="R234" s="384" t="str">
        <f>IF(K234=0,"Niet van toepassing",IF(G234='3B-Prestaties vloeren'!$B$2,"Schrobben",IF(G234='3B-Prestaties vloeren'!$C$2,"Sprayen/conserveren",IF(G234='3B-Prestaties vloeren'!$D$2,"Sproei-extractie",0))))</f>
        <v>Schrobben</v>
      </c>
      <c r="S234" s="385">
        <f>IF('2-Tarieven'!$B$28=0,0,IF(M234=0,0,'2-Tarieven'!$B$28*M234))</f>
        <v>0</v>
      </c>
      <c r="T234" s="386">
        <f>IF(AND(COUNTBLANK('3B-Prestaties vloeren'!$F$3:$H$24)=0,COUNTBLANK('3B-Prestaties vloeren'!$L$3:$M$24)=0),IF(R234="Sprayen/conserveren",I234/VLOOKUP(E234,'3B-Prestaties vloeren'!$A$3:$M$24,12,FALSE),0)*(P234-1),0)</f>
        <v>0</v>
      </c>
      <c r="U234" s="386">
        <f>IF(AND(COUNTBLANK('3B-Prestaties vloeren'!$F$3:$H$24)=0,COUNTBLANK('3B-Prestaties vloeren'!$L$3:$M$24)=0),IF(R234="Sprayen/conserveren",I234/VLOOKUP(E234,'3B-Prestaties vloeren'!$A$3:$M$24,13,FALSE),0),0)</f>
        <v>0</v>
      </c>
      <c r="V234" s="386">
        <f>IF(AND(COUNTBLANK('3B-Prestaties vloeren'!$F$3:$H$24)=0,COUNTBLANK('3B-Prestaties vloeren'!$L$3:$M$24)=0),IF(R234="schrobben",I234/VLOOKUP(E234,'3B-Prestaties vloeren'!$A$3:$H$24,6,FALSE),0)*P234,0)</f>
        <v>0</v>
      </c>
      <c r="W234" s="386">
        <f>IF(AND(COUNTBLANK('3B-Prestaties vloeren'!$F$3:$H$24)=0,COUNTBLANK('3B-Prestaties vloeren'!$L$3:$M$24)=0),IF(R234="sproei-extractie",I234/VLOOKUP(E234,'3B-Prestaties vloeren'!$A$3:$H$24,8,FALSE),0)*P234,0)</f>
        <v>0</v>
      </c>
    </row>
    <row r="235" spans="1:23" ht="15" hidden="1">
      <c r="A235" s="378" t="s">
        <v>677</v>
      </c>
      <c r="B235" s="378" t="s">
        <v>678</v>
      </c>
      <c r="C235" s="378">
        <v>1</v>
      </c>
      <c r="D235" s="378" t="s">
        <v>359</v>
      </c>
      <c r="E235" s="378" t="s">
        <v>653</v>
      </c>
      <c r="F235" s="378" t="s">
        <v>647</v>
      </c>
      <c r="G235" s="378" t="str">
        <f>VLOOKUP(F235,'3B-Prestaties vloeren'!$A$28:$B$118,2,0)</f>
        <v>Hard onbehandeld</v>
      </c>
      <c r="H235" s="378"/>
      <c r="I235" s="378">
        <v>18.64</v>
      </c>
      <c r="J235" s="421" t="s">
        <v>511</v>
      </c>
      <c r="K235" s="426">
        <v>255</v>
      </c>
      <c r="L235" s="378">
        <f t="shared" si="9"/>
        <v>4753.2</v>
      </c>
      <c r="M235" s="380" t="str">
        <f>IF(K235=0,0,IF(COUNTBLANK('3A-Prestatie'!$B$2:$I$22)=0,L235/VLOOKUP(E235,'3A-Prestatie'!$A$1:$M$22,VLOOKUP(K235,'3A-Prestatie'!$A$28:$B$34,2,FALSE),FALSE),"3A prestatie invullen"))</f>
        <v>3A prestatie invullen</v>
      </c>
      <c r="N235" s="380">
        <f t="shared" si="11"/>
        <v>0</v>
      </c>
      <c r="O235" s="381" t="str">
        <f>VLOOKUP(E235,'3A-Prestatie'!A:M,13,FALSE)</f>
        <v>S</v>
      </c>
      <c r="P235" s="382">
        <f>IF(R235="Niet van toepassing",0,VLOOKUP(E235,'3B-Prestaties vloeren'!$A$3:$D$24,IF(G235="Hard onbehandeld",2,IF(G235="Hard behandeld",3,4)),FALSE))</f>
        <v>52</v>
      </c>
      <c r="Q235" s="383">
        <f t="shared" si="10"/>
        <v>0</v>
      </c>
      <c r="R235" s="384" t="str">
        <f>IF(K235=0,"Niet van toepassing",IF(G235='3B-Prestaties vloeren'!$B$2,"Schrobben",IF(G235='3B-Prestaties vloeren'!$C$2,"Sprayen/conserveren",IF(G235='3B-Prestaties vloeren'!$D$2,"Sproei-extractie",0))))</f>
        <v>Schrobben</v>
      </c>
      <c r="S235" s="385">
        <f>IF('2-Tarieven'!$B$28=0,0,IF(M235=0,0,'2-Tarieven'!$B$28*M235))</f>
        <v>0</v>
      </c>
      <c r="T235" s="386">
        <f>IF(AND(COUNTBLANK('3B-Prestaties vloeren'!$F$3:$H$24)=0,COUNTBLANK('3B-Prestaties vloeren'!$L$3:$M$24)=0),IF(R235="Sprayen/conserveren",I235/VLOOKUP(E235,'3B-Prestaties vloeren'!$A$3:$M$24,12,FALSE),0)*(P235-1),0)</f>
        <v>0</v>
      </c>
      <c r="U235" s="386">
        <f>IF(AND(COUNTBLANK('3B-Prestaties vloeren'!$F$3:$H$24)=0,COUNTBLANK('3B-Prestaties vloeren'!$L$3:$M$24)=0),IF(R235="Sprayen/conserveren",I235/VLOOKUP(E235,'3B-Prestaties vloeren'!$A$3:$M$24,13,FALSE),0),0)</f>
        <v>0</v>
      </c>
      <c r="V235" s="386">
        <f>IF(AND(COUNTBLANK('3B-Prestaties vloeren'!$F$3:$H$24)=0,COUNTBLANK('3B-Prestaties vloeren'!$L$3:$M$24)=0),IF(R235="schrobben",I235/VLOOKUP(E235,'3B-Prestaties vloeren'!$A$3:$H$24,6,FALSE),0)*P235,0)</f>
        <v>0</v>
      </c>
      <c r="W235" s="386">
        <f>IF(AND(COUNTBLANK('3B-Prestaties vloeren'!$F$3:$H$24)=0,COUNTBLANK('3B-Prestaties vloeren'!$L$3:$M$24)=0),IF(R235="sproei-extractie",I235/VLOOKUP(E235,'3B-Prestaties vloeren'!$A$3:$H$24,8,FALSE),0)*P235,0)</f>
        <v>0</v>
      </c>
    </row>
    <row r="236" spans="1:23" ht="15" hidden="1">
      <c r="A236" s="378" t="s">
        <v>677</v>
      </c>
      <c r="B236" s="378" t="s">
        <v>678</v>
      </c>
      <c r="C236" s="378">
        <v>1</v>
      </c>
      <c r="D236" s="378" t="s">
        <v>689</v>
      </c>
      <c r="E236" s="378" t="s">
        <v>728</v>
      </c>
      <c r="F236" s="378" t="s">
        <v>647</v>
      </c>
      <c r="G236" s="378" t="str">
        <f>VLOOKUP(F236,'3B-Prestaties vloeren'!$A$28:$B$118,2,0)</f>
        <v>Hard onbehandeld</v>
      </c>
      <c r="H236" s="378" t="s">
        <v>330</v>
      </c>
      <c r="I236" s="416" t="s">
        <v>657</v>
      </c>
      <c r="J236" s="422"/>
      <c r="K236" s="426">
        <v>0</v>
      </c>
      <c r="L236" s="378">
        <f t="shared" si="9"/>
        <v>0</v>
      </c>
      <c r="M236" s="380">
        <f>IF(K236=0,0,IF(COUNTBLANK('3A-Prestatie'!$B$2:$I$22)=0,L236/VLOOKUP(E236,'3A-Prestatie'!$A$1:$M$22,VLOOKUP(K236,'3A-Prestatie'!$A$28:$B$34,2,FALSE),FALSE),"3A prestatie invullen"))</f>
        <v>0</v>
      </c>
      <c r="N236" s="380">
        <f t="shared" si="11"/>
        <v>0</v>
      </c>
      <c r="O236" s="381" t="str">
        <f>VLOOKUP(E236,'3A-Prestatie'!A:M,13,FALSE)</f>
        <v>N.v.t.</v>
      </c>
      <c r="P236" s="382">
        <f>IF(R236="Niet van toepassing",0,VLOOKUP(E236,'3B-Prestaties vloeren'!$A$3:$D$24,IF(G236="Hard onbehandeld",2,IF(G236="Hard behandeld",3,4)),FALSE))</f>
        <v>0</v>
      </c>
      <c r="Q236" s="383">
        <f t="shared" si="10"/>
        <v>0</v>
      </c>
      <c r="R236" s="384" t="str">
        <f>IF(K236=0,"Niet van toepassing",IF(G236='3B-Prestaties vloeren'!$B$2,"Schrobben",IF(G236='3B-Prestaties vloeren'!$C$2,"Sprayen/conserveren",IF(G236='3B-Prestaties vloeren'!$D$2,"Sproei-extractie",0))))</f>
        <v>Niet van toepassing</v>
      </c>
      <c r="S236" s="385">
        <f>IF('2-Tarieven'!$B$28=0,0,IF(M236=0,0,'2-Tarieven'!$B$28*M236))</f>
        <v>0</v>
      </c>
      <c r="T236" s="386">
        <f>IF(AND(COUNTBLANK('3B-Prestaties vloeren'!$F$3:$H$24)=0,COUNTBLANK('3B-Prestaties vloeren'!$L$3:$M$24)=0),IF(R236="Sprayen/conserveren",I236/VLOOKUP(E236,'3B-Prestaties vloeren'!$A$3:$M$24,12,FALSE),0)*(P236-1),0)</f>
        <v>0</v>
      </c>
      <c r="U236" s="386">
        <f>IF(AND(COUNTBLANK('3B-Prestaties vloeren'!$F$3:$H$24)=0,COUNTBLANK('3B-Prestaties vloeren'!$L$3:$M$24)=0),IF(R236="Sprayen/conserveren",I236/VLOOKUP(E236,'3B-Prestaties vloeren'!$A$3:$M$24,13,FALSE),0),0)</f>
        <v>0</v>
      </c>
      <c r="V236" s="386">
        <f>IF(AND(COUNTBLANK('3B-Prestaties vloeren'!$F$3:$H$24)=0,COUNTBLANK('3B-Prestaties vloeren'!$L$3:$M$24)=0),IF(R236="schrobben",I236/VLOOKUP(E236,'3B-Prestaties vloeren'!$A$3:$H$24,6,FALSE),0)*P236,0)</f>
        <v>0</v>
      </c>
      <c r="W236" s="386">
        <f>IF(AND(COUNTBLANK('3B-Prestaties vloeren'!$F$3:$H$24)=0,COUNTBLANK('3B-Prestaties vloeren'!$L$3:$M$24)=0),IF(R236="sproei-extractie",I236/VLOOKUP(E236,'3B-Prestaties vloeren'!$A$3:$H$24,8,FALSE),0)*P236,0)</f>
        <v>0</v>
      </c>
    </row>
    <row r="237" spans="1:23" ht="15" hidden="1">
      <c r="A237" s="378" t="s">
        <v>677</v>
      </c>
      <c r="B237" s="378" t="s">
        <v>678</v>
      </c>
      <c r="C237" s="378">
        <v>1</v>
      </c>
      <c r="D237" s="378" t="s">
        <v>472</v>
      </c>
      <c r="E237" s="378" t="s">
        <v>653</v>
      </c>
      <c r="F237" s="378" t="s">
        <v>647</v>
      </c>
      <c r="G237" s="378" t="str">
        <f>VLOOKUP(F237,'3B-Prestaties vloeren'!$A$28:$B$118,2,0)</f>
        <v>Hard onbehandeld</v>
      </c>
      <c r="H237" s="378"/>
      <c r="I237" s="378">
        <v>3.7</v>
      </c>
      <c r="J237" s="421" t="s">
        <v>511</v>
      </c>
      <c r="K237" s="426">
        <v>255</v>
      </c>
      <c r="L237" s="378">
        <f t="shared" si="9"/>
        <v>943.5</v>
      </c>
      <c r="M237" s="380" t="str">
        <f>IF(K237=0,0,IF(COUNTBLANK('3A-Prestatie'!$B$2:$I$22)=0,L237/VLOOKUP(E237,'3A-Prestatie'!$A$1:$M$22,VLOOKUP(K237,'3A-Prestatie'!$A$28:$B$34,2,FALSE),FALSE),"3A prestatie invullen"))</f>
        <v>3A prestatie invullen</v>
      </c>
      <c r="N237" s="380">
        <f t="shared" si="11"/>
        <v>0</v>
      </c>
      <c r="O237" s="381" t="str">
        <f>VLOOKUP(E237,'3A-Prestatie'!A:M,13,FALSE)</f>
        <v>S</v>
      </c>
      <c r="P237" s="382">
        <f>IF(R237="Niet van toepassing",0,VLOOKUP(E237,'3B-Prestaties vloeren'!$A$3:$D$24,IF(G237="Hard onbehandeld",2,IF(G237="Hard behandeld",3,4)),FALSE))</f>
        <v>52</v>
      </c>
      <c r="Q237" s="383">
        <f t="shared" si="10"/>
        <v>0</v>
      </c>
      <c r="R237" s="384" t="str">
        <f>IF(K237=0,"Niet van toepassing",IF(G237='3B-Prestaties vloeren'!$B$2,"Schrobben",IF(G237='3B-Prestaties vloeren'!$C$2,"Sprayen/conserveren",IF(G237='3B-Prestaties vloeren'!$D$2,"Sproei-extractie",0))))</f>
        <v>Schrobben</v>
      </c>
      <c r="S237" s="385">
        <f>IF('2-Tarieven'!$B$28=0,0,IF(M237=0,0,'2-Tarieven'!$B$28*M237))</f>
        <v>0</v>
      </c>
      <c r="T237" s="386">
        <f>IF(AND(COUNTBLANK('3B-Prestaties vloeren'!$F$3:$H$24)=0,COUNTBLANK('3B-Prestaties vloeren'!$L$3:$M$24)=0),IF(R237="Sprayen/conserveren",I237/VLOOKUP(E237,'3B-Prestaties vloeren'!$A$3:$M$24,12,FALSE),0)*(P237-1),0)</f>
        <v>0</v>
      </c>
      <c r="U237" s="386">
        <f>IF(AND(COUNTBLANK('3B-Prestaties vloeren'!$F$3:$H$24)=0,COUNTBLANK('3B-Prestaties vloeren'!$L$3:$M$24)=0),IF(R237="Sprayen/conserveren",I237/VLOOKUP(E237,'3B-Prestaties vloeren'!$A$3:$M$24,13,FALSE),0),0)</f>
        <v>0</v>
      </c>
      <c r="V237" s="386">
        <f>IF(AND(COUNTBLANK('3B-Prestaties vloeren'!$F$3:$H$24)=0,COUNTBLANK('3B-Prestaties vloeren'!$L$3:$M$24)=0),IF(R237="schrobben",I237/VLOOKUP(E237,'3B-Prestaties vloeren'!$A$3:$H$24,6,FALSE),0)*P237,0)</f>
        <v>0</v>
      </c>
      <c r="W237" s="386">
        <f>IF(AND(COUNTBLANK('3B-Prestaties vloeren'!$F$3:$H$24)=0,COUNTBLANK('3B-Prestaties vloeren'!$L$3:$M$24)=0),IF(R237="sproei-extractie",I237/VLOOKUP(E237,'3B-Prestaties vloeren'!$A$3:$H$24,8,FALSE),0)*P237,0)</f>
        <v>0</v>
      </c>
    </row>
    <row r="238" spans="1:23" ht="15" hidden="1">
      <c r="A238" s="378" t="s">
        <v>677</v>
      </c>
      <c r="B238" s="378" t="s">
        <v>678</v>
      </c>
      <c r="C238" s="378">
        <v>1</v>
      </c>
      <c r="D238" s="378" t="s">
        <v>690</v>
      </c>
      <c r="E238" s="378" t="s">
        <v>728</v>
      </c>
      <c r="F238" s="378" t="s">
        <v>647</v>
      </c>
      <c r="G238" s="378" t="str">
        <f>VLOOKUP(F238,'3B-Prestaties vloeren'!$A$28:$B$118,2,0)</f>
        <v>Hard onbehandeld</v>
      </c>
      <c r="H238" s="378" t="s">
        <v>330</v>
      </c>
      <c r="I238" s="416" t="s">
        <v>657</v>
      </c>
      <c r="J238" s="422"/>
      <c r="K238" s="426">
        <v>0</v>
      </c>
      <c r="L238" s="378">
        <f t="shared" si="9"/>
        <v>0</v>
      </c>
      <c r="M238" s="380">
        <f>IF(K238=0,0,IF(COUNTBLANK('3A-Prestatie'!$B$2:$I$22)=0,L238/VLOOKUP(E238,'3A-Prestatie'!$A$1:$M$22,VLOOKUP(K238,'3A-Prestatie'!$A$28:$B$34,2,FALSE),FALSE),"3A prestatie invullen"))</f>
        <v>0</v>
      </c>
      <c r="N238" s="380">
        <f t="shared" si="11"/>
        <v>0</v>
      </c>
      <c r="O238" s="381" t="str">
        <f>VLOOKUP(E238,'3A-Prestatie'!A:M,13,FALSE)</f>
        <v>N.v.t.</v>
      </c>
      <c r="P238" s="382">
        <f>IF(R238="Niet van toepassing",0,VLOOKUP(E238,'3B-Prestaties vloeren'!$A$3:$D$24,IF(G238="Hard onbehandeld",2,IF(G238="Hard behandeld",3,4)),FALSE))</f>
        <v>0</v>
      </c>
      <c r="Q238" s="383">
        <f t="shared" si="10"/>
        <v>0</v>
      </c>
      <c r="R238" s="384" t="str">
        <f>IF(K238=0,"Niet van toepassing",IF(G238='3B-Prestaties vloeren'!$B$2,"Schrobben",IF(G238='3B-Prestaties vloeren'!$C$2,"Sprayen/conserveren",IF(G238='3B-Prestaties vloeren'!$D$2,"Sproei-extractie",0))))</f>
        <v>Niet van toepassing</v>
      </c>
      <c r="S238" s="385">
        <f>IF('2-Tarieven'!$B$28=0,0,IF(M238=0,0,'2-Tarieven'!$B$28*M238))</f>
        <v>0</v>
      </c>
      <c r="T238" s="386">
        <f>IF(AND(COUNTBLANK('3B-Prestaties vloeren'!$F$3:$H$24)=0,COUNTBLANK('3B-Prestaties vloeren'!$L$3:$M$24)=0),IF(R238="Sprayen/conserveren",I238/VLOOKUP(E238,'3B-Prestaties vloeren'!$A$3:$M$24,12,FALSE),0)*(P238-1),0)</f>
        <v>0</v>
      </c>
      <c r="U238" s="386">
        <f>IF(AND(COUNTBLANK('3B-Prestaties vloeren'!$F$3:$H$24)=0,COUNTBLANK('3B-Prestaties vloeren'!$L$3:$M$24)=0),IF(R238="Sprayen/conserveren",I238/VLOOKUP(E238,'3B-Prestaties vloeren'!$A$3:$M$24,13,FALSE),0),0)</f>
        <v>0</v>
      </c>
      <c r="V238" s="386">
        <f>IF(AND(COUNTBLANK('3B-Prestaties vloeren'!$F$3:$H$24)=0,COUNTBLANK('3B-Prestaties vloeren'!$L$3:$M$24)=0),IF(R238="schrobben",I238/VLOOKUP(E238,'3B-Prestaties vloeren'!$A$3:$H$24,6,FALSE),0)*P238,0)</f>
        <v>0</v>
      </c>
      <c r="W238" s="386">
        <f>IF(AND(COUNTBLANK('3B-Prestaties vloeren'!$F$3:$H$24)=0,COUNTBLANK('3B-Prestaties vloeren'!$L$3:$M$24)=0),IF(R238="sproei-extractie",I238/VLOOKUP(E238,'3B-Prestaties vloeren'!$A$3:$H$24,8,FALSE),0)*P238,0)</f>
        <v>0</v>
      </c>
    </row>
    <row r="239" spans="1:23" ht="15" hidden="1">
      <c r="A239" s="378" t="s">
        <v>677</v>
      </c>
      <c r="B239" s="378" t="s">
        <v>678</v>
      </c>
      <c r="C239" s="378">
        <v>1</v>
      </c>
      <c r="D239" s="378" t="s">
        <v>360</v>
      </c>
      <c r="E239" s="378" t="s">
        <v>728</v>
      </c>
      <c r="F239" s="378" t="s">
        <v>266</v>
      </c>
      <c r="G239" s="378" t="str">
        <f>VLOOKUP(F239,'3B-Prestaties vloeren'!$A$28:$B$118,2,0)</f>
        <v>Hard behandeld</v>
      </c>
      <c r="H239" s="378" t="s">
        <v>287</v>
      </c>
      <c r="I239" s="378">
        <v>2.37</v>
      </c>
      <c r="J239" s="419"/>
      <c r="K239" s="426">
        <v>0</v>
      </c>
      <c r="L239" s="378">
        <f t="shared" si="9"/>
        <v>0</v>
      </c>
      <c r="M239" s="380">
        <f>IF(K239=0,0,IF(COUNTBLANK('3A-Prestatie'!$B$2:$I$22)=0,L239/VLOOKUP(E239,'3A-Prestatie'!$A$1:$M$22,VLOOKUP(K239,'3A-Prestatie'!$A$28:$B$34,2,FALSE),FALSE),"3A prestatie invullen"))</f>
        <v>0</v>
      </c>
      <c r="N239" s="380">
        <f t="shared" si="11"/>
        <v>0</v>
      </c>
      <c r="O239" s="381" t="str">
        <f>VLOOKUP(E239,'3A-Prestatie'!A:M,13,FALSE)</f>
        <v>N.v.t.</v>
      </c>
      <c r="P239" s="382">
        <f>IF(R239="Niet van toepassing",0,VLOOKUP(E239,'3B-Prestaties vloeren'!$A$3:$D$24,IF(G239="Hard onbehandeld",2,IF(G239="Hard behandeld",3,4)),FALSE))</f>
        <v>0</v>
      </c>
      <c r="Q239" s="383">
        <f t="shared" si="10"/>
        <v>0</v>
      </c>
      <c r="R239" s="384" t="str">
        <f>IF(K239=0,"Niet van toepassing",IF(G239='3B-Prestaties vloeren'!$B$2,"Schrobben",IF(G239='3B-Prestaties vloeren'!$C$2,"Sprayen/conserveren",IF(G239='3B-Prestaties vloeren'!$D$2,"Sproei-extractie",0))))</f>
        <v>Niet van toepassing</v>
      </c>
      <c r="S239" s="385">
        <f>IF('2-Tarieven'!$B$28=0,0,IF(M239=0,0,'2-Tarieven'!$B$28*M239))</f>
        <v>0</v>
      </c>
      <c r="T239" s="386">
        <f>IF(AND(COUNTBLANK('3B-Prestaties vloeren'!$F$3:$H$24)=0,COUNTBLANK('3B-Prestaties vloeren'!$L$3:$M$24)=0),IF(R239="Sprayen/conserveren",I239/VLOOKUP(E239,'3B-Prestaties vloeren'!$A$3:$M$24,12,FALSE),0)*(P239-1),0)</f>
        <v>0</v>
      </c>
      <c r="U239" s="386">
        <f>IF(AND(COUNTBLANK('3B-Prestaties vloeren'!$F$3:$H$24)=0,COUNTBLANK('3B-Prestaties vloeren'!$L$3:$M$24)=0),IF(R239="Sprayen/conserveren",I239/VLOOKUP(E239,'3B-Prestaties vloeren'!$A$3:$M$24,13,FALSE),0),0)</f>
        <v>0</v>
      </c>
      <c r="V239" s="386">
        <f>IF(AND(COUNTBLANK('3B-Prestaties vloeren'!$F$3:$H$24)=0,COUNTBLANK('3B-Prestaties vloeren'!$L$3:$M$24)=0),IF(R239="schrobben",I239/VLOOKUP(E239,'3B-Prestaties vloeren'!$A$3:$H$24,6,FALSE),0)*P239,0)</f>
        <v>0</v>
      </c>
      <c r="W239" s="386">
        <f>IF(AND(COUNTBLANK('3B-Prestaties vloeren'!$F$3:$H$24)=0,COUNTBLANK('3B-Prestaties vloeren'!$L$3:$M$24)=0),IF(R239="sproei-extractie",I239/VLOOKUP(E239,'3B-Prestaties vloeren'!$A$3:$H$24,8,FALSE),0)*P239,0)</f>
        <v>0</v>
      </c>
    </row>
    <row r="240" spans="1:23" ht="15" hidden="1">
      <c r="A240" s="378" t="s">
        <v>677</v>
      </c>
      <c r="B240" s="378" t="s">
        <v>678</v>
      </c>
      <c r="C240" s="378">
        <v>1</v>
      </c>
      <c r="D240" s="378" t="s">
        <v>361</v>
      </c>
      <c r="E240" s="378" t="s">
        <v>372</v>
      </c>
      <c r="F240" s="378" t="s">
        <v>416</v>
      </c>
      <c r="G240" s="378" t="str">
        <f>VLOOKUP(F240,'3B-Prestaties vloeren'!$A$28:$B$118,2,0)</f>
        <v>Hard onbehandeld</v>
      </c>
      <c r="H240" s="378" t="s">
        <v>686</v>
      </c>
      <c r="I240" s="378">
        <v>1.17</v>
      </c>
      <c r="J240" s="420" t="s">
        <v>749</v>
      </c>
      <c r="K240" s="426">
        <v>255</v>
      </c>
      <c r="L240" s="378">
        <f t="shared" si="9"/>
        <v>298.34999999999997</v>
      </c>
      <c r="M240" s="380" t="str">
        <f>IF(K240=0,0,IF(COUNTBLANK('3A-Prestatie'!$B$2:$I$22)=0,L240/VLOOKUP(E240,'3A-Prestatie'!$A$1:$M$22,VLOOKUP(K240,'3A-Prestatie'!$A$28:$B$34,2,FALSE),FALSE),"3A prestatie invullen"))</f>
        <v>3A prestatie invullen</v>
      </c>
      <c r="N240" s="380">
        <f t="shared" si="11"/>
        <v>0</v>
      </c>
      <c r="O240" s="381" t="str">
        <f>VLOOKUP(E240,'3A-Prestatie'!A:M,13,FALSE)</f>
        <v>V</v>
      </c>
      <c r="P240" s="382">
        <f>IF(R240="Niet van toepassing",0,VLOOKUP(E240,'3B-Prestaties vloeren'!$A$3:$D$24,IF(G240="Hard onbehandeld",2,IF(G240="Hard behandeld",3,4)),FALSE))</f>
        <v>12</v>
      </c>
      <c r="Q240" s="383">
        <f t="shared" si="10"/>
        <v>0</v>
      </c>
      <c r="R240" s="384" t="str">
        <f>IF(K240=0,"Niet van toepassing",IF(G240='3B-Prestaties vloeren'!$B$2,"Schrobben",IF(G240='3B-Prestaties vloeren'!$C$2,"Sprayen/conserveren",IF(G240='3B-Prestaties vloeren'!$D$2,"Sproei-extractie",0))))</f>
        <v>Schrobben</v>
      </c>
      <c r="S240" s="385">
        <f>IF('2-Tarieven'!$B$28=0,0,IF(M240=0,0,'2-Tarieven'!$B$28*M240))</f>
        <v>0</v>
      </c>
      <c r="T240" s="386">
        <f>IF(AND(COUNTBLANK('3B-Prestaties vloeren'!$F$3:$H$24)=0,COUNTBLANK('3B-Prestaties vloeren'!$L$3:$M$24)=0),IF(R240="Sprayen/conserveren",I240/VLOOKUP(E240,'3B-Prestaties vloeren'!$A$3:$M$24,12,FALSE),0)*(P240-1),0)</f>
        <v>0</v>
      </c>
      <c r="U240" s="386">
        <f>IF(AND(COUNTBLANK('3B-Prestaties vloeren'!$F$3:$H$24)=0,COUNTBLANK('3B-Prestaties vloeren'!$L$3:$M$24)=0),IF(R240="Sprayen/conserveren",I240/VLOOKUP(E240,'3B-Prestaties vloeren'!$A$3:$M$24,13,FALSE),0),0)</f>
        <v>0</v>
      </c>
      <c r="V240" s="386">
        <f>IF(AND(COUNTBLANK('3B-Prestaties vloeren'!$F$3:$H$24)=0,COUNTBLANK('3B-Prestaties vloeren'!$L$3:$M$24)=0),IF(R240="schrobben",I240/VLOOKUP(E240,'3B-Prestaties vloeren'!$A$3:$H$24,6,FALSE),0)*P240,0)</f>
        <v>0</v>
      </c>
      <c r="W240" s="386">
        <f>IF(AND(COUNTBLANK('3B-Prestaties vloeren'!$F$3:$H$24)=0,COUNTBLANK('3B-Prestaties vloeren'!$L$3:$M$24)=0),IF(R240="sproei-extractie",I240/VLOOKUP(E240,'3B-Prestaties vloeren'!$A$3:$H$24,8,FALSE),0)*P240,0)</f>
        <v>0</v>
      </c>
    </row>
    <row r="241" spans="1:23" ht="15" hidden="1">
      <c r="A241" s="378" t="s">
        <v>677</v>
      </c>
      <c r="B241" s="378" t="s">
        <v>678</v>
      </c>
      <c r="C241" s="378">
        <v>1</v>
      </c>
      <c r="D241" s="378" t="s">
        <v>362</v>
      </c>
      <c r="E241" s="378" t="s">
        <v>372</v>
      </c>
      <c r="F241" s="378" t="s">
        <v>647</v>
      </c>
      <c r="G241" s="378" t="str">
        <f>VLOOKUP(F241,'3B-Prestaties vloeren'!$A$28:$B$118,2,0)</f>
        <v>Hard onbehandeld</v>
      </c>
      <c r="H241" s="378"/>
      <c r="I241" s="378">
        <v>5.35</v>
      </c>
      <c r="J241" s="420" t="s">
        <v>749</v>
      </c>
      <c r="K241" s="426">
        <v>255</v>
      </c>
      <c r="L241" s="378">
        <f t="shared" si="9"/>
        <v>1364.25</v>
      </c>
      <c r="M241" s="380" t="str">
        <f>IF(K241=0,0,IF(COUNTBLANK('3A-Prestatie'!$B$2:$I$22)=0,L241/VLOOKUP(E241,'3A-Prestatie'!$A$1:$M$22,VLOOKUP(K241,'3A-Prestatie'!$A$28:$B$34,2,FALSE),FALSE),"3A prestatie invullen"))</f>
        <v>3A prestatie invullen</v>
      </c>
      <c r="N241" s="380">
        <f t="shared" si="11"/>
        <v>0</v>
      </c>
      <c r="O241" s="381" t="str">
        <f>VLOOKUP(E241,'3A-Prestatie'!A:M,13,FALSE)</f>
        <v>V</v>
      </c>
      <c r="P241" s="382">
        <f>IF(R241="Niet van toepassing",0,VLOOKUP(E241,'3B-Prestaties vloeren'!$A$3:$D$24,IF(G241="Hard onbehandeld",2,IF(G241="Hard behandeld",3,4)),FALSE))</f>
        <v>12</v>
      </c>
      <c r="Q241" s="383">
        <f t="shared" si="10"/>
        <v>0</v>
      </c>
      <c r="R241" s="384" t="str">
        <f>IF(K241=0,"Niet van toepassing",IF(G241='3B-Prestaties vloeren'!$B$2,"Schrobben",IF(G241='3B-Prestaties vloeren'!$C$2,"Sprayen/conserveren",IF(G241='3B-Prestaties vloeren'!$D$2,"Sproei-extractie",0))))</f>
        <v>Schrobben</v>
      </c>
      <c r="S241" s="385">
        <f>IF('2-Tarieven'!$B$28=0,0,IF(M241=0,0,'2-Tarieven'!$B$28*M241))</f>
        <v>0</v>
      </c>
      <c r="T241" s="386">
        <f>IF(AND(COUNTBLANK('3B-Prestaties vloeren'!$F$3:$H$24)=0,COUNTBLANK('3B-Prestaties vloeren'!$L$3:$M$24)=0),IF(R241="Sprayen/conserveren",I241/VLOOKUP(E241,'3B-Prestaties vloeren'!$A$3:$M$24,12,FALSE),0)*(P241-1),0)</f>
        <v>0</v>
      </c>
      <c r="U241" s="386">
        <f>IF(AND(COUNTBLANK('3B-Prestaties vloeren'!$F$3:$H$24)=0,COUNTBLANK('3B-Prestaties vloeren'!$L$3:$M$24)=0),IF(R241="Sprayen/conserveren",I241/VLOOKUP(E241,'3B-Prestaties vloeren'!$A$3:$M$24,13,FALSE),0),0)</f>
        <v>0</v>
      </c>
      <c r="V241" s="386">
        <f>IF(AND(COUNTBLANK('3B-Prestaties vloeren'!$F$3:$H$24)=0,COUNTBLANK('3B-Prestaties vloeren'!$L$3:$M$24)=0),IF(R241="schrobben",I241/VLOOKUP(E241,'3B-Prestaties vloeren'!$A$3:$H$24,6,FALSE),0)*P241,0)</f>
        <v>0</v>
      </c>
      <c r="W241" s="386">
        <f>IF(AND(COUNTBLANK('3B-Prestaties vloeren'!$F$3:$H$24)=0,COUNTBLANK('3B-Prestaties vloeren'!$L$3:$M$24)=0),IF(R241="sproei-extractie",I241/VLOOKUP(E241,'3B-Prestaties vloeren'!$A$3:$H$24,8,FALSE),0)*P241,0)</f>
        <v>0</v>
      </c>
    </row>
    <row r="242" spans="1:23" ht="15" hidden="1">
      <c r="A242" s="378" t="s">
        <v>677</v>
      </c>
      <c r="B242" s="378" t="s">
        <v>678</v>
      </c>
      <c r="C242" s="378">
        <v>1</v>
      </c>
      <c r="D242" s="378" t="s">
        <v>473</v>
      </c>
      <c r="E242" s="378" t="s">
        <v>302</v>
      </c>
      <c r="F242" s="378" t="s">
        <v>647</v>
      </c>
      <c r="G242" s="378" t="str">
        <f>VLOOKUP(F242,'3B-Prestaties vloeren'!$A$28:$B$118,2,0)</f>
        <v>Hard onbehandeld</v>
      </c>
      <c r="H242" s="378"/>
      <c r="I242" s="378">
        <v>2.34</v>
      </c>
      <c r="J242" s="419"/>
      <c r="K242" s="426">
        <v>0</v>
      </c>
      <c r="L242" s="378">
        <f t="shared" si="9"/>
        <v>0</v>
      </c>
      <c r="M242" s="380">
        <f>IF(K242=0,0,IF(COUNTBLANK('3A-Prestatie'!$B$2:$I$22)=0,L242/VLOOKUP(E242,'3A-Prestatie'!$A$1:$M$22,VLOOKUP(K242,'3A-Prestatie'!$A$28:$B$34,2,FALSE),FALSE),"3A prestatie invullen"))</f>
        <v>0</v>
      </c>
      <c r="N242" s="380">
        <f t="shared" si="11"/>
        <v>0</v>
      </c>
      <c r="O242" s="381" t="str">
        <f>VLOOKUP(E242,'3A-Prestatie'!A:M,13,FALSE)</f>
        <v>S</v>
      </c>
      <c r="P242" s="382">
        <f>IF(R242="Niet van toepassing",0,VLOOKUP(E242,'3B-Prestaties vloeren'!$A$3:$D$24,IF(G242="Hard onbehandeld",2,IF(G242="Hard behandeld",3,4)),FALSE))</f>
        <v>0</v>
      </c>
      <c r="Q242" s="383">
        <f t="shared" si="10"/>
        <v>0</v>
      </c>
      <c r="R242" s="384" t="str">
        <f>IF(K242=0,"Niet van toepassing",IF(G242='3B-Prestaties vloeren'!$B$2,"Schrobben",IF(G242='3B-Prestaties vloeren'!$C$2,"Sprayen/conserveren",IF(G242='3B-Prestaties vloeren'!$D$2,"Sproei-extractie",0))))</f>
        <v>Niet van toepassing</v>
      </c>
      <c r="S242" s="385">
        <f>IF('2-Tarieven'!$B$28=0,0,IF(M242=0,0,'2-Tarieven'!$B$28*M242))</f>
        <v>0</v>
      </c>
      <c r="T242" s="386">
        <f>IF(AND(COUNTBLANK('3B-Prestaties vloeren'!$F$3:$H$24)=0,COUNTBLANK('3B-Prestaties vloeren'!$L$3:$M$24)=0),IF(R242="Sprayen/conserveren",I242/VLOOKUP(E242,'3B-Prestaties vloeren'!$A$3:$M$24,12,FALSE),0)*(P242-1),0)</f>
        <v>0</v>
      </c>
      <c r="U242" s="386">
        <f>IF(AND(COUNTBLANK('3B-Prestaties vloeren'!$F$3:$H$24)=0,COUNTBLANK('3B-Prestaties vloeren'!$L$3:$M$24)=0),IF(R242="Sprayen/conserveren",I242/VLOOKUP(E242,'3B-Prestaties vloeren'!$A$3:$M$24,13,FALSE),0),0)</f>
        <v>0</v>
      </c>
      <c r="V242" s="386">
        <f>IF(AND(COUNTBLANK('3B-Prestaties vloeren'!$F$3:$H$24)=0,COUNTBLANK('3B-Prestaties vloeren'!$L$3:$M$24)=0),IF(R242="schrobben",I242/VLOOKUP(E242,'3B-Prestaties vloeren'!$A$3:$H$24,6,FALSE),0)*P242,0)</f>
        <v>0</v>
      </c>
      <c r="W242" s="386">
        <f>IF(AND(COUNTBLANK('3B-Prestaties vloeren'!$F$3:$H$24)=0,COUNTBLANK('3B-Prestaties vloeren'!$L$3:$M$24)=0),IF(R242="sproei-extractie",I242/VLOOKUP(E242,'3B-Prestaties vloeren'!$A$3:$H$24,8,FALSE),0)*P242,0)</f>
        <v>0</v>
      </c>
    </row>
    <row r="243" spans="1:23" ht="15" hidden="1">
      <c r="A243" s="378" t="s">
        <v>677</v>
      </c>
      <c r="B243" s="378" t="s">
        <v>678</v>
      </c>
      <c r="C243" s="378">
        <v>1</v>
      </c>
      <c r="D243" s="378" t="s">
        <v>363</v>
      </c>
      <c r="E243" s="378" t="s">
        <v>5</v>
      </c>
      <c r="F243" s="378" t="s">
        <v>65</v>
      </c>
      <c r="G243" s="378" t="str">
        <f>VLOOKUP(F243,'3B-Prestaties vloeren'!$A$28:$B$118,2,0)</f>
        <v>Zacht onbehandeld</v>
      </c>
      <c r="H243" s="378"/>
      <c r="I243" s="378">
        <v>30.25</v>
      </c>
      <c r="J243" s="420" t="s">
        <v>749</v>
      </c>
      <c r="K243" s="426">
        <v>52</v>
      </c>
      <c r="L243" s="378">
        <f t="shared" si="9"/>
        <v>1573</v>
      </c>
      <c r="M243" s="380" t="str">
        <f>IF(K243=0,0,IF(COUNTBLANK('3A-Prestatie'!$B$2:$I$22)=0,L243/VLOOKUP(E243,'3A-Prestatie'!$A$1:$M$22,VLOOKUP(K243,'3A-Prestatie'!$A$28:$B$34,2,FALSE),FALSE),"3A prestatie invullen"))</f>
        <v>3A prestatie invullen</v>
      </c>
      <c r="N243" s="380">
        <f t="shared" si="11"/>
        <v>0</v>
      </c>
      <c r="O243" s="381" t="str">
        <f>VLOOKUP(E243,'3A-Prestatie'!A:M,13,FALSE)</f>
        <v>B</v>
      </c>
      <c r="P243" s="382">
        <f>IF(R243="Niet van toepassing",0,VLOOKUP(E243,'3B-Prestaties vloeren'!$A$3:$D$24,IF(G243="Hard onbehandeld",2,IF(G243="Hard behandeld",3,4)),FALSE))</f>
        <v>1</v>
      </c>
      <c r="Q243" s="383">
        <f t="shared" si="10"/>
        <v>0</v>
      </c>
      <c r="R243" s="384" t="str">
        <f>IF(K243=0,"Niet van toepassing",IF(G243='3B-Prestaties vloeren'!$B$2,"Schrobben",IF(G243='3B-Prestaties vloeren'!$C$2,"Sprayen/conserveren",IF(G243='3B-Prestaties vloeren'!$D$2,"Sproei-extractie",0))))</f>
        <v>Sproei-extractie</v>
      </c>
      <c r="S243" s="385">
        <f>IF('2-Tarieven'!$B$28=0,0,IF(M243=0,0,'2-Tarieven'!$B$28*M243))</f>
        <v>0</v>
      </c>
      <c r="T243" s="386">
        <f>IF(AND(COUNTBLANK('3B-Prestaties vloeren'!$F$3:$H$24)=0,COUNTBLANK('3B-Prestaties vloeren'!$L$3:$M$24)=0),IF(R243="Sprayen/conserveren",I243/VLOOKUP(E243,'3B-Prestaties vloeren'!$A$3:$M$24,12,FALSE),0)*(P243-1),0)</f>
        <v>0</v>
      </c>
      <c r="U243" s="386">
        <f>IF(AND(COUNTBLANK('3B-Prestaties vloeren'!$F$3:$H$24)=0,COUNTBLANK('3B-Prestaties vloeren'!$L$3:$M$24)=0),IF(R243="Sprayen/conserveren",I243/VLOOKUP(E243,'3B-Prestaties vloeren'!$A$3:$M$24,13,FALSE),0),0)</f>
        <v>0</v>
      </c>
      <c r="V243" s="386">
        <f>IF(AND(COUNTBLANK('3B-Prestaties vloeren'!$F$3:$H$24)=0,COUNTBLANK('3B-Prestaties vloeren'!$L$3:$M$24)=0),IF(R243="schrobben",I243/VLOOKUP(E243,'3B-Prestaties vloeren'!$A$3:$H$24,6,FALSE),0)*P243,0)</f>
        <v>0</v>
      </c>
      <c r="W243" s="386">
        <f>IF(AND(COUNTBLANK('3B-Prestaties vloeren'!$F$3:$H$24)=0,COUNTBLANK('3B-Prestaties vloeren'!$L$3:$M$24)=0),IF(R243="sproei-extractie",I243/VLOOKUP(E243,'3B-Prestaties vloeren'!$A$3:$H$24,8,FALSE),0)*P243,0)</f>
        <v>0</v>
      </c>
    </row>
    <row r="244" spans="1:23" ht="15" hidden="1">
      <c r="A244" s="378" t="s">
        <v>677</v>
      </c>
      <c r="B244" s="378" t="s">
        <v>678</v>
      </c>
      <c r="C244" s="378">
        <v>1</v>
      </c>
      <c r="D244" s="378" t="s">
        <v>364</v>
      </c>
      <c r="E244" s="378" t="s">
        <v>5</v>
      </c>
      <c r="F244" s="378" t="s">
        <v>65</v>
      </c>
      <c r="G244" s="378" t="str">
        <f>VLOOKUP(F244,'3B-Prestaties vloeren'!$A$28:$B$118,2,0)</f>
        <v>Zacht onbehandeld</v>
      </c>
      <c r="H244" s="378"/>
      <c r="I244" s="378">
        <v>20.47</v>
      </c>
      <c r="J244" s="420" t="s">
        <v>749</v>
      </c>
      <c r="K244" s="426">
        <v>52</v>
      </c>
      <c r="L244" s="378">
        <f t="shared" si="9"/>
        <v>1064.44</v>
      </c>
      <c r="M244" s="380" t="str">
        <f>IF(K244=0,0,IF(COUNTBLANK('3A-Prestatie'!$B$2:$I$22)=0,L244/VLOOKUP(E244,'3A-Prestatie'!$A$1:$M$22,VLOOKUP(K244,'3A-Prestatie'!$A$28:$B$34,2,FALSE),FALSE),"3A prestatie invullen"))</f>
        <v>3A prestatie invullen</v>
      </c>
      <c r="N244" s="380">
        <f t="shared" si="11"/>
        <v>0</v>
      </c>
      <c r="O244" s="381" t="str">
        <f>VLOOKUP(E244,'3A-Prestatie'!A:M,13,FALSE)</f>
        <v>B</v>
      </c>
      <c r="P244" s="382">
        <f>IF(R244="Niet van toepassing",0,VLOOKUP(E244,'3B-Prestaties vloeren'!$A$3:$D$24,IF(G244="Hard onbehandeld",2,IF(G244="Hard behandeld",3,4)),FALSE))</f>
        <v>1</v>
      </c>
      <c r="Q244" s="383">
        <f t="shared" si="10"/>
        <v>0</v>
      </c>
      <c r="R244" s="384" t="str">
        <f>IF(K244=0,"Niet van toepassing",IF(G244='3B-Prestaties vloeren'!$B$2,"Schrobben",IF(G244='3B-Prestaties vloeren'!$C$2,"Sprayen/conserveren",IF(G244='3B-Prestaties vloeren'!$D$2,"Sproei-extractie",0))))</f>
        <v>Sproei-extractie</v>
      </c>
      <c r="S244" s="385">
        <f>IF('2-Tarieven'!$B$28=0,0,IF(M244=0,0,'2-Tarieven'!$B$28*M244))</f>
        <v>0</v>
      </c>
      <c r="T244" s="386">
        <f>IF(AND(COUNTBLANK('3B-Prestaties vloeren'!$F$3:$H$24)=0,COUNTBLANK('3B-Prestaties vloeren'!$L$3:$M$24)=0),IF(R244="Sprayen/conserveren",I244/VLOOKUP(E244,'3B-Prestaties vloeren'!$A$3:$M$24,12,FALSE),0)*(P244-1),0)</f>
        <v>0</v>
      </c>
      <c r="U244" s="386">
        <f>IF(AND(COUNTBLANK('3B-Prestaties vloeren'!$F$3:$H$24)=0,COUNTBLANK('3B-Prestaties vloeren'!$L$3:$M$24)=0),IF(R244="Sprayen/conserveren",I244/VLOOKUP(E244,'3B-Prestaties vloeren'!$A$3:$M$24,13,FALSE),0),0)</f>
        <v>0</v>
      </c>
      <c r="V244" s="386">
        <f>IF(AND(COUNTBLANK('3B-Prestaties vloeren'!$F$3:$H$24)=0,COUNTBLANK('3B-Prestaties vloeren'!$L$3:$M$24)=0),IF(R244="schrobben",I244/VLOOKUP(E244,'3B-Prestaties vloeren'!$A$3:$H$24,6,FALSE),0)*P244,0)</f>
        <v>0</v>
      </c>
      <c r="W244" s="386">
        <f>IF(AND(COUNTBLANK('3B-Prestaties vloeren'!$F$3:$H$24)=0,COUNTBLANK('3B-Prestaties vloeren'!$L$3:$M$24)=0),IF(R244="sproei-extractie",I244/VLOOKUP(E244,'3B-Prestaties vloeren'!$A$3:$H$24,8,FALSE),0)*P244,0)</f>
        <v>0</v>
      </c>
    </row>
    <row r="245" spans="1:23" ht="15" hidden="1">
      <c r="A245" s="378" t="s">
        <v>677</v>
      </c>
      <c r="B245" s="378" t="s">
        <v>678</v>
      </c>
      <c r="C245" s="378">
        <v>1</v>
      </c>
      <c r="D245" s="378" t="s">
        <v>365</v>
      </c>
      <c r="E245" s="378" t="s">
        <v>5</v>
      </c>
      <c r="F245" s="378" t="s">
        <v>65</v>
      </c>
      <c r="G245" s="378" t="str">
        <f>VLOOKUP(F245,'3B-Prestaties vloeren'!$A$28:$B$118,2,0)</f>
        <v>Zacht onbehandeld</v>
      </c>
      <c r="H245" s="378"/>
      <c r="I245" s="378">
        <v>20.47</v>
      </c>
      <c r="J245" s="420" t="s">
        <v>749</v>
      </c>
      <c r="K245" s="426">
        <v>52</v>
      </c>
      <c r="L245" s="378">
        <f t="shared" si="9"/>
        <v>1064.44</v>
      </c>
      <c r="M245" s="380" t="str">
        <f>IF(K245=0,0,IF(COUNTBLANK('3A-Prestatie'!$B$2:$I$22)=0,L245/VLOOKUP(E245,'3A-Prestatie'!$A$1:$M$22,VLOOKUP(K245,'3A-Prestatie'!$A$28:$B$34,2,FALSE),FALSE),"3A prestatie invullen"))</f>
        <v>3A prestatie invullen</v>
      </c>
      <c r="N245" s="380">
        <f t="shared" si="11"/>
        <v>0</v>
      </c>
      <c r="O245" s="381" t="str">
        <f>VLOOKUP(E245,'3A-Prestatie'!A:M,13,FALSE)</f>
        <v>B</v>
      </c>
      <c r="P245" s="382">
        <f>IF(R245="Niet van toepassing",0,VLOOKUP(E245,'3B-Prestaties vloeren'!$A$3:$D$24,IF(G245="Hard onbehandeld",2,IF(G245="Hard behandeld",3,4)),FALSE))</f>
        <v>1</v>
      </c>
      <c r="Q245" s="383">
        <f t="shared" si="10"/>
        <v>0</v>
      </c>
      <c r="R245" s="384" t="str">
        <f>IF(K245=0,"Niet van toepassing",IF(G245='3B-Prestaties vloeren'!$B$2,"Schrobben",IF(G245='3B-Prestaties vloeren'!$C$2,"Sprayen/conserveren",IF(G245='3B-Prestaties vloeren'!$D$2,"Sproei-extractie",0))))</f>
        <v>Sproei-extractie</v>
      </c>
      <c r="S245" s="385">
        <f>IF('2-Tarieven'!$B$28=0,0,IF(M245=0,0,'2-Tarieven'!$B$28*M245))</f>
        <v>0</v>
      </c>
      <c r="T245" s="386">
        <f>IF(AND(COUNTBLANK('3B-Prestaties vloeren'!$F$3:$H$24)=0,COUNTBLANK('3B-Prestaties vloeren'!$L$3:$M$24)=0),IF(R245="Sprayen/conserveren",I245/VLOOKUP(E245,'3B-Prestaties vloeren'!$A$3:$M$24,12,FALSE),0)*(P245-1),0)</f>
        <v>0</v>
      </c>
      <c r="U245" s="386">
        <f>IF(AND(COUNTBLANK('3B-Prestaties vloeren'!$F$3:$H$24)=0,COUNTBLANK('3B-Prestaties vloeren'!$L$3:$M$24)=0),IF(R245="Sprayen/conserveren",I245/VLOOKUP(E245,'3B-Prestaties vloeren'!$A$3:$M$24,13,FALSE),0),0)</f>
        <v>0</v>
      </c>
      <c r="V245" s="386">
        <f>IF(AND(COUNTBLANK('3B-Prestaties vloeren'!$F$3:$H$24)=0,COUNTBLANK('3B-Prestaties vloeren'!$L$3:$M$24)=0),IF(R245="schrobben",I245/VLOOKUP(E245,'3B-Prestaties vloeren'!$A$3:$H$24,6,FALSE),0)*P245,0)</f>
        <v>0</v>
      </c>
      <c r="W245" s="386">
        <f>IF(AND(COUNTBLANK('3B-Prestaties vloeren'!$F$3:$H$24)=0,COUNTBLANK('3B-Prestaties vloeren'!$L$3:$M$24)=0),IF(R245="sproei-extractie",I245/VLOOKUP(E245,'3B-Prestaties vloeren'!$A$3:$H$24,8,FALSE),0)*P245,0)</f>
        <v>0</v>
      </c>
    </row>
    <row r="246" spans="1:23" ht="15" hidden="1">
      <c r="A246" s="378" t="s">
        <v>677</v>
      </c>
      <c r="B246" s="378" t="s">
        <v>678</v>
      </c>
      <c r="C246" s="378">
        <v>1</v>
      </c>
      <c r="D246" s="378" t="s">
        <v>366</v>
      </c>
      <c r="E246" s="378" t="s">
        <v>5</v>
      </c>
      <c r="F246" s="378" t="s">
        <v>65</v>
      </c>
      <c r="G246" s="378" t="str">
        <f>VLOOKUP(F246,'3B-Prestaties vloeren'!$A$28:$B$118,2,0)</f>
        <v>Zacht onbehandeld</v>
      </c>
      <c r="H246" s="378"/>
      <c r="I246" s="378">
        <v>20.47</v>
      </c>
      <c r="J246" s="420" t="s">
        <v>749</v>
      </c>
      <c r="K246" s="426">
        <v>52</v>
      </c>
      <c r="L246" s="378">
        <f t="shared" si="9"/>
        <v>1064.44</v>
      </c>
      <c r="M246" s="380" t="str">
        <f>IF(K246=0,0,IF(COUNTBLANK('3A-Prestatie'!$B$2:$I$22)=0,L246/VLOOKUP(E246,'3A-Prestatie'!$A$1:$M$22,VLOOKUP(K246,'3A-Prestatie'!$A$28:$B$34,2,FALSE),FALSE),"3A prestatie invullen"))</f>
        <v>3A prestatie invullen</v>
      </c>
      <c r="N246" s="380">
        <f t="shared" si="11"/>
        <v>0</v>
      </c>
      <c r="O246" s="381" t="str">
        <f>VLOOKUP(E246,'3A-Prestatie'!A:M,13,FALSE)</f>
        <v>B</v>
      </c>
      <c r="P246" s="382">
        <f>IF(R246="Niet van toepassing",0,VLOOKUP(E246,'3B-Prestaties vloeren'!$A$3:$D$24,IF(G246="Hard onbehandeld",2,IF(G246="Hard behandeld",3,4)),FALSE))</f>
        <v>1</v>
      </c>
      <c r="Q246" s="383">
        <f t="shared" si="10"/>
        <v>0</v>
      </c>
      <c r="R246" s="384" t="str">
        <f>IF(K246=0,"Niet van toepassing",IF(G246='3B-Prestaties vloeren'!$B$2,"Schrobben",IF(G246='3B-Prestaties vloeren'!$C$2,"Sprayen/conserveren",IF(G246='3B-Prestaties vloeren'!$D$2,"Sproei-extractie",0))))</f>
        <v>Sproei-extractie</v>
      </c>
      <c r="S246" s="385">
        <f>IF('2-Tarieven'!$B$28=0,0,IF(M246=0,0,'2-Tarieven'!$B$28*M246))</f>
        <v>0</v>
      </c>
      <c r="T246" s="386">
        <f>IF(AND(COUNTBLANK('3B-Prestaties vloeren'!$F$3:$H$24)=0,COUNTBLANK('3B-Prestaties vloeren'!$L$3:$M$24)=0),IF(R246="Sprayen/conserveren",I246/VLOOKUP(E246,'3B-Prestaties vloeren'!$A$3:$M$24,12,FALSE),0)*(P246-1),0)</f>
        <v>0</v>
      </c>
      <c r="U246" s="386">
        <f>IF(AND(COUNTBLANK('3B-Prestaties vloeren'!$F$3:$H$24)=0,COUNTBLANK('3B-Prestaties vloeren'!$L$3:$M$24)=0),IF(R246="Sprayen/conserveren",I246/VLOOKUP(E246,'3B-Prestaties vloeren'!$A$3:$M$24,13,FALSE),0),0)</f>
        <v>0</v>
      </c>
      <c r="V246" s="386">
        <f>IF(AND(COUNTBLANK('3B-Prestaties vloeren'!$F$3:$H$24)=0,COUNTBLANK('3B-Prestaties vloeren'!$L$3:$M$24)=0),IF(R246="schrobben",I246/VLOOKUP(E246,'3B-Prestaties vloeren'!$A$3:$H$24,6,FALSE),0)*P246,0)</f>
        <v>0</v>
      </c>
      <c r="W246" s="386">
        <f>IF(AND(COUNTBLANK('3B-Prestaties vloeren'!$F$3:$H$24)=0,COUNTBLANK('3B-Prestaties vloeren'!$L$3:$M$24)=0),IF(R246="sproei-extractie",I246/VLOOKUP(E246,'3B-Prestaties vloeren'!$A$3:$H$24,8,FALSE),0)*P246,0)</f>
        <v>0</v>
      </c>
    </row>
    <row r="247" spans="1:23" ht="15" hidden="1">
      <c r="A247" s="378" t="s">
        <v>677</v>
      </c>
      <c r="B247" s="378" t="s">
        <v>678</v>
      </c>
      <c r="C247" s="378">
        <v>1</v>
      </c>
      <c r="D247" s="378" t="s">
        <v>367</v>
      </c>
      <c r="E247" s="378" t="s">
        <v>5</v>
      </c>
      <c r="F247" s="378" t="s">
        <v>65</v>
      </c>
      <c r="G247" s="378" t="str">
        <f>VLOOKUP(F247,'3B-Prestaties vloeren'!$A$28:$B$118,2,0)</f>
        <v>Zacht onbehandeld</v>
      </c>
      <c r="H247" s="378"/>
      <c r="I247" s="378">
        <v>20.100000000000001</v>
      </c>
      <c r="J247" s="420" t="s">
        <v>749</v>
      </c>
      <c r="K247" s="426">
        <v>52</v>
      </c>
      <c r="L247" s="378">
        <f t="shared" si="9"/>
        <v>1045.2</v>
      </c>
      <c r="M247" s="380" t="str">
        <f>IF(K247=0,0,IF(COUNTBLANK('3A-Prestatie'!$B$2:$I$22)=0,L247/VLOOKUP(E247,'3A-Prestatie'!$A$1:$M$22,VLOOKUP(K247,'3A-Prestatie'!$A$28:$B$34,2,FALSE),FALSE),"3A prestatie invullen"))</f>
        <v>3A prestatie invullen</v>
      </c>
      <c r="N247" s="380">
        <f t="shared" si="11"/>
        <v>0</v>
      </c>
      <c r="O247" s="381" t="str">
        <f>VLOOKUP(E247,'3A-Prestatie'!A:M,13,FALSE)</f>
        <v>B</v>
      </c>
      <c r="P247" s="382">
        <f>IF(R247="Niet van toepassing",0,VLOOKUP(E247,'3B-Prestaties vloeren'!$A$3:$D$24,IF(G247="Hard onbehandeld",2,IF(G247="Hard behandeld",3,4)),FALSE))</f>
        <v>1</v>
      </c>
      <c r="Q247" s="383">
        <f t="shared" si="10"/>
        <v>0</v>
      </c>
      <c r="R247" s="384" t="str">
        <f>IF(K247=0,"Niet van toepassing",IF(G247='3B-Prestaties vloeren'!$B$2,"Schrobben",IF(G247='3B-Prestaties vloeren'!$C$2,"Sprayen/conserveren",IF(G247='3B-Prestaties vloeren'!$D$2,"Sproei-extractie",0))))</f>
        <v>Sproei-extractie</v>
      </c>
      <c r="S247" s="385">
        <f>IF('2-Tarieven'!$B$28=0,0,IF(M247=0,0,'2-Tarieven'!$B$28*M247))</f>
        <v>0</v>
      </c>
      <c r="T247" s="386">
        <f>IF(AND(COUNTBLANK('3B-Prestaties vloeren'!$F$3:$H$24)=0,COUNTBLANK('3B-Prestaties vloeren'!$L$3:$M$24)=0),IF(R247="Sprayen/conserveren",I247/VLOOKUP(E247,'3B-Prestaties vloeren'!$A$3:$M$24,12,FALSE),0)*(P247-1),0)</f>
        <v>0</v>
      </c>
      <c r="U247" s="386">
        <f>IF(AND(COUNTBLANK('3B-Prestaties vloeren'!$F$3:$H$24)=0,COUNTBLANK('3B-Prestaties vloeren'!$L$3:$M$24)=0),IF(R247="Sprayen/conserveren",I247/VLOOKUP(E247,'3B-Prestaties vloeren'!$A$3:$M$24,13,FALSE),0),0)</f>
        <v>0</v>
      </c>
      <c r="V247" s="386">
        <f>IF(AND(COUNTBLANK('3B-Prestaties vloeren'!$F$3:$H$24)=0,COUNTBLANK('3B-Prestaties vloeren'!$L$3:$M$24)=0),IF(R247="schrobben",I247/VLOOKUP(E247,'3B-Prestaties vloeren'!$A$3:$H$24,6,FALSE),0)*P247,0)</f>
        <v>0</v>
      </c>
      <c r="W247" s="386">
        <f>IF(AND(COUNTBLANK('3B-Prestaties vloeren'!$F$3:$H$24)=0,COUNTBLANK('3B-Prestaties vloeren'!$L$3:$M$24)=0),IF(R247="sproei-extractie",I247/VLOOKUP(E247,'3B-Prestaties vloeren'!$A$3:$H$24,8,FALSE),0)*P247,0)</f>
        <v>0</v>
      </c>
    </row>
    <row r="248" spans="1:23" ht="15" hidden="1">
      <c r="A248" s="378" t="s">
        <v>677</v>
      </c>
      <c r="B248" s="378" t="s">
        <v>678</v>
      </c>
      <c r="C248" s="378">
        <v>1</v>
      </c>
      <c r="D248" s="378" t="s">
        <v>456</v>
      </c>
      <c r="E248" s="378" t="s">
        <v>5</v>
      </c>
      <c r="F248" s="378" t="s">
        <v>65</v>
      </c>
      <c r="G248" s="378" t="str">
        <f>VLOOKUP(F248,'3B-Prestaties vloeren'!$A$28:$B$118,2,0)</f>
        <v>Zacht onbehandeld</v>
      </c>
      <c r="H248" s="378"/>
      <c r="I248" s="378">
        <v>30.8</v>
      </c>
      <c r="J248" s="420" t="s">
        <v>749</v>
      </c>
      <c r="K248" s="426">
        <v>52</v>
      </c>
      <c r="L248" s="378">
        <f t="shared" si="9"/>
        <v>1601.6000000000001</v>
      </c>
      <c r="M248" s="380" t="str">
        <f>IF(K248=0,0,IF(COUNTBLANK('3A-Prestatie'!$B$2:$I$22)=0,L248/VLOOKUP(E248,'3A-Prestatie'!$A$1:$M$22,VLOOKUP(K248,'3A-Prestatie'!$A$28:$B$34,2,FALSE),FALSE),"3A prestatie invullen"))</f>
        <v>3A prestatie invullen</v>
      </c>
      <c r="N248" s="380">
        <f t="shared" si="11"/>
        <v>0</v>
      </c>
      <c r="O248" s="381" t="str">
        <f>VLOOKUP(E248,'3A-Prestatie'!A:M,13,FALSE)</f>
        <v>B</v>
      </c>
      <c r="P248" s="382">
        <f>IF(R248="Niet van toepassing",0,VLOOKUP(E248,'3B-Prestaties vloeren'!$A$3:$D$24,IF(G248="Hard onbehandeld",2,IF(G248="Hard behandeld",3,4)),FALSE))</f>
        <v>1</v>
      </c>
      <c r="Q248" s="383">
        <f t="shared" si="10"/>
        <v>0</v>
      </c>
      <c r="R248" s="384" t="str">
        <f>IF(K248=0,"Niet van toepassing",IF(G248='3B-Prestaties vloeren'!$B$2,"Schrobben",IF(G248='3B-Prestaties vloeren'!$C$2,"Sprayen/conserveren",IF(G248='3B-Prestaties vloeren'!$D$2,"Sproei-extractie",0))))</f>
        <v>Sproei-extractie</v>
      </c>
      <c r="S248" s="385">
        <f>IF('2-Tarieven'!$B$28=0,0,IF(M248=0,0,'2-Tarieven'!$B$28*M248))</f>
        <v>0</v>
      </c>
      <c r="T248" s="386">
        <f>IF(AND(COUNTBLANK('3B-Prestaties vloeren'!$F$3:$H$24)=0,COUNTBLANK('3B-Prestaties vloeren'!$L$3:$M$24)=0),IF(R248="Sprayen/conserveren",I248/VLOOKUP(E248,'3B-Prestaties vloeren'!$A$3:$M$24,12,FALSE),0)*(P248-1),0)</f>
        <v>0</v>
      </c>
      <c r="U248" s="386">
        <f>IF(AND(COUNTBLANK('3B-Prestaties vloeren'!$F$3:$H$24)=0,COUNTBLANK('3B-Prestaties vloeren'!$L$3:$M$24)=0),IF(R248="Sprayen/conserveren",I248/VLOOKUP(E248,'3B-Prestaties vloeren'!$A$3:$M$24,13,FALSE),0),0)</f>
        <v>0</v>
      </c>
      <c r="V248" s="386">
        <f>IF(AND(COUNTBLANK('3B-Prestaties vloeren'!$F$3:$H$24)=0,COUNTBLANK('3B-Prestaties vloeren'!$L$3:$M$24)=0),IF(R248="schrobben",I248/VLOOKUP(E248,'3B-Prestaties vloeren'!$A$3:$H$24,6,FALSE),0)*P248,0)</f>
        <v>0</v>
      </c>
      <c r="W248" s="386">
        <f>IF(AND(COUNTBLANK('3B-Prestaties vloeren'!$F$3:$H$24)=0,COUNTBLANK('3B-Prestaties vloeren'!$L$3:$M$24)=0),IF(R248="sproei-extractie",I248/VLOOKUP(E248,'3B-Prestaties vloeren'!$A$3:$H$24,8,FALSE),0)*P248,0)</f>
        <v>0</v>
      </c>
    </row>
    <row r="249" spans="1:23" ht="15" hidden="1">
      <c r="A249" s="378" t="s">
        <v>677</v>
      </c>
      <c r="B249" s="378" t="s">
        <v>678</v>
      </c>
      <c r="C249" s="378">
        <v>1</v>
      </c>
      <c r="D249" s="378" t="s">
        <v>368</v>
      </c>
      <c r="E249" s="378" t="s">
        <v>5</v>
      </c>
      <c r="F249" s="378" t="s">
        <v>65</v>
      </c>
      <c r="G249" s="378" t="str">
        <f>VLOOKUP(F249,'3B-Prestaties vloeren'!$A$28:$B$118,2,0)</f>
        <v>Zacht onbehandeld</v>
      </c>
      <c r="H249" s="378"/>
      <c r="I249" s="378">
        <v>81.400000000000006</v>
      </c>
      <c r="J249" s="420" t="s">
        <v>749</v>
      </c>
      <c r="K249" s="426">
        <v>52</v>
      </c>
      <c r="L249" s="378">
        <f t="shared" si="9"/>
        <v>4232.8</v>
      </c>
      <c r="M249" s="380" t="str">
        <f>IF(K249=0,0,IF(COUNTBLANK('3A-Prestatie'!$B$2:$I$22)=0,L249/VLOOKUP(E249,'3A-Prestatie'!$A$1:$M$22,VLOOKUP(K249,'3A-Prestatie'!$A$28:$B$34,2,FALSE),FALSE),"3A prestatie invullen"))</f>
        <v>3A prestatie invullen</v>
      </c>
      <c r="N249" s="380">
        <f t="shared" si="11"/>
        <v>0</v>
      </c>
      <c r="O249" s="381" t="str">
        <f>VLOOKUP(E249,'3A-Prestatie'!A:M,13,FALSE)</f>
        <v>B</v>
      </c>
      <c r="P249" s="382">
        <f>IF(R249="Niet van toepassing",0,VLOOKUP(E249,'3B-Prestaties vloeren'!$A$3:$D$24,IF(G249="Hard onbehandeld",2,IF(G249="Hard behandeld",3,4)),FALSE))</f>
        <v>1</v>
      </c>
      <c r="Q249" s="383">
        <f t="shared" si="10"/>
        <v>0</v>
      </c>
      <c r="R249" s="384" t="str">
        <f>IF(K249=0,"Niet van toepassing",IF(G249='3B-Prestaties vloeren'!$B$2,"Schrobben",IF(G249='3B-Prestaties vloeren'!$C$2,"Sprayen/conserveren",IF(G249='3B-Prestaties vloeren'!$D$2,"Sproei-extractie",0))))</f>
        <v>Sproei-extractie</v>
      </c>
      <c r="S249" s="385">
        <f>IF('2-Tarieven'!$B$28=0,0,IF(M249=0,0,'2-Tarieven'!$B$28*M249))</f>
        <v>0</v>
      </c>
      <c r="T249" s="386">
        <f>IF(AND(COUNTBLANK('3B-Prestaties vloeren'!$F$3:$H$24)=0,COUNTBLANK('3B-Prestaties vloeren'!$L$3:$M$24)=0),IF(R249="Sprayen/conserveren",I249/VLOOKUP(E249,'3B-Prestaties vloeren'!$A$3:$M$24,12,FALSE),0)*(P249-1),0)</f>
        <v>0</v>
      </c>
      <c r="U249" s="386">
        <f>IF(AND(COUNTBLANK('3B-Prestaties vloeren'!$F$3:$H$24)=0,COUNTBLANK('3B-Prestaties vloeren'!$L$3:$M$24)=0),IF(R249="Sprayen/conserveren",I249/VLOOKUP(E249,'3B-Prestaties vloeren'!$A$3:$M$24,13,FALSE),0),0)</f>
        <v>0</v>
      </c>
      <c r="V249" s="386">
        <f>IF(AND(COUNTBLANK('3B-Prestaties vloeren'!$F$3:$H$24)=0,COUNTBLANK('3B-Prestaties vloeren'!$L$3:$M$24)=0),IF(R249="schrobben",I249/VLOOKUP(E249,'3B-Prestaties vloeren'!$A$3:$H$24,6,FALSE),0)*P249,0)</f>
        <v>0</v>
      </c>
      <c r="W249" s="386">
        <f>IF(AND(COUNTBLANK('3B-Prestaties vloeren'!$F$3:$H$24)=0,COUNTBLANK('3B-Prestaties vloeren'!$L$3:$M$24)=0),IF(R249="sproei-extractie",I249/VLOOKUP(E249,'3B-Prestaties vloeren'!$A$3:$H$24,8,FALSE),0)*P249,0)</f>
        <v>0</v>
      </c>
    </row>
    <row r="250" spans="1:23" ht="15" hidden="1">
      <c r="A250" s="378" t="s">
        <v>677</v>
      </c>
      <c r="B250" s="378" t="s">
        <v>678</v>
      </c>
      <c r="C250" s="378">
        <v>1</v>
      </c>
      <c r="D250" s="378" t="s">
        <v>369</v>
      </c>
      <c r="E250" s="378" t="s">
        <v>5</v>
      </c>
      <c r="F250" s="378" t="s">
        <v>65</v>
      </c>
      <c r="G250" s="378" t="str">
        <f>VLOOKUP(F250,'3B-Prestaties vloeren'!$A$28:$B$118,2,0)</f>
        <v>Zacht onbehandeld</v>
      </c>
      <c r="H250" s="378"/>
      <c r="I250" s="378">
        <v>35.4</v>
      </c>
      <c r="J250" s="420" t="s">
        <v>749</v>
      </c>
      <c r="K250" s="426">
        <v>52</v>
      </c>
      <c r="L250" s="378">
        <f t="shared" si="9"/>
        <v>1840.8</v>
      </c>
      <c r="M250" s="380" t="str">
        <f>IF(K250=0,0,IF(COUNTBLANK('3A-Prestatie'!$B$2:$I$22)=0,L250/VLOOKUP(E250,'3A-Prestatie'!$A$1:$M$22,VLOOKUP(K250,'3A-Prestatie'!$A$28:$B$34,2,FALSE),FALSE),"3A prestatie invullen"))</f>
        <v>3A prestatie invullen</v>
      </c>
      <c r="N250" s="380">
        <f t="shared" si="11"/>
        <v>0</v>
      </c>
      <c r="O250" s="381" t="str">
        <f>VLOOKUP(E250,'3A-Prestatie'!A:M,13,FALSE)</f>
        <v>B</v>
      </c>
      <c r="P250" s="382">
        <f>IF(R250="Niet van toepassing",0,VLOOKUP(E250,'3B-Prestaties vloeren'!$A$3:$D$24,IF(G250="Hard onbehandeld",2,IF(G250="Hard behandeld",3,4)),FALSE))</f>
        <v>1</v>
      </c>
      <c r="Q250" s="383">
        <f t="shared" si="10"/>
        <v>0</v>
      </c>
      <c r="R250" s="384" t="str">
        <f>IF(K250=0,"Niet van toepassing",IF(G250='3B-Prestaties vloeren'!$B$2,"Schrobben",IF(G250='3B-Prestaties vloeren'!$C$2,"Sprayen/conserveren",IF(G250='3B-Prestaties vloeren'!$D$2,"Sproei-extractie",0))))</f>
        <v>Sproei-extractie</v>
      </c>
      <c r="S250" s="385">
        <f>IF('2-Tarieven'!$B$28=0,0,IF(M250=0,0,'2-Tarieven'!$B$28*M250))</f>
        <v>0</v>
      </c>
      <c r="T250" s="386">
        <f>IF(AND(COUNTBLANK('3B-Prestaties vloeren'!$F$3:$H$24)=0,COUNTBLANK('3B-Prestaties vloeren'!$L$3:$M$24)=0),IF(R250="Sprayen/conserveren",I250/VLOOKUP(E250,'3B-Prestaties vloeren'!$A$3:$M$24,12,FALSE),0)*(P250-1),0)</f>
        <v>0</v>
      </c>
      <c r="U250" s="386">
        <f>IF(AND(COUNTBLANK('3B-Prestaties vloeren'!$F$3:$H$24)=0,COUNTBLANK('3B-Prestaties vloeren'!$L$3:$M$24)=0),IF(R250="Sprayen/conserveren",I250/VLOOKUP(E250,'3B-Prestaties vloeren'!$A$3:$M$24,13,FALSE),0),0)</f>
        <v>0</v>
      </c>
      <c r="V250" s="386">
        <f>IF(AND(COUNTBLANK('3B-Prestaties vloeren'!$F$3:$H$24)=0,COUNTBLANK('3B-Prestaties vloeren'!$L$3:$M$24)=0),IF(R250="schrobben",I250/VLOOKUP(E250,'3B-Prestaties vloeren'!$A$3:$H$24,6,FALSE),0)*P250,0)</f>
        <v>0</v>
      </c>
      <c r="W250" s="386">
        <f>IF(AND(COUNTBLANK('3B-Prestaties vloeren'!$F$3:$H$24)=0,COUNTBLANK('3B-Prestaties vloeren'!$L$3:$M$24)=0),IF(R250="sproei-extractie",I250/VLOOKUP(E250,'3B-Prestaties vloeren'!$A$3:$H$24,8,FALSE),0)*P250,0)</f>
        <v>0</v>
      </c>
    </row>
    <row r="251" spans="1:23" ht="15" hidden="1">
      <c r="A251" s="378" t="s">
        <v>677</v>
      </c>
      <c r="B251" s="378" t="s">
        <v>678</v>
      </c>
      <c r="C251" s="378">
        <v>1</v>
      </c>
      <c r="D251" s="378" t="s">
        <v>370</v>
      </c>
      <c r="E251" s="378" t="s">
        <v>5</v>
      </c>
      <c r="F251" s="378" t="s">
        <v>65</v>
      </c>
      <c r="G251" s="378" t="str">
        <f>VLOOKUP(F251,'3B-Prestaties vloeren'!$A$28:$B$118,2,0)</f>
        <v>Zacht onbehandeld</v>
      </c>
      <c r="H251" s="378"/>
      <c r="I251" s="378">
        <v>17.68</v>
      </c>
      <c r="J251" s="420" t="s">
        <v>749</v>
      </c>
      <c r="K251" s="426">
        <v>52</v>
      </c>
      <c r="L251" s="378">
        <f t="shared" si="9"/>
        <v>919.36</v>
      </c>
      <c r="M251" s="380" t="str">
        <f>IF(K251=0,0,IF(COUNTBLANK('3A-Prestatie'!$B$2:$I$22)=0,L251/VLOOKUP(E251,'3A-Prestatie'!$A$1:$M$22,VLOOKUP(K251,'3A-Prestatie'!$A$28:$B$34,2,FALSE),FALSE),"3A prestatie invullen"))</f>
        <v>3A prestatie invullen</v>
      </c>
      <c r="N251" s="380">
        <f t="shared" si="11"/>
        <v>0</v>
      </c>
      <c r="O251" s="381" t="str">
        <f>VLOOKUP(E251,'3A-Prestatie'!A:M,13,FALSE)</f>
        <v>B</v>
      </c>
      <c r="P251" s="382">
        <f>IF(R251="Niet van toepassing",0,VLOOKUP(E251,'3B-Prestaties vloeren'!$A$3:$D$24,IF(G251="Hard onbehandeld",2,IF(G251="Hard behandeld",3,4)),FALSE))</f>
        <v>1</v>
      </c>
      <c r="Q251" s="383">
        <f t="shared" si="10"/>
        <v>0</v>
      </c>
      <c r="R251" s="384" t="str">
        <f>IF(K251=0,"Niet van toepassing",IF(G251='3B-Prestaties vloeren'!$B$2,"Schrobben",IF(G251='3B-Prestaties vloeren'!$C$2,"Sprayen/conserveren",IF(G251='3B-Prestaties vloeren'!$D$2,"Sproei-extractie",0))))</f>
        <v>Sproei-extractie</v>
      </c>
      <c r="S251" s="385">
        <f>IF('2-Tarieven'!$B$28=0,0,IF(M251=0,0,'2-Tarieven'!$B$28*M251))</f>
        <v>0</v>
      </c>
      <c r="T251" s="386">
        <f>IF(AND(COUNTBLANK('3B-Prestaties vloeren'!$F$3:$H$24)=0,COUNTBLANK('3B-Prestaties vloeren'!$L$3:$M$24)=0),IF(R251="Sprayen/conserveren",I251/VLOOKUP(E251,'3B-Prestaties vloeren'!$A$3:$M$24,12,FALSE),0)*(P251-1),0)</f>
        <v>0</v>
      </c>
      <c r="U251" s="386">
        <f>IF(AND(COUNTBLANK('3B-Prestaties vloeren'!$F$3:$H$24)=0,COUNTBLANK('3B-Prestaties vloeren'!$L$3:$M$24)=0),IF(R251="Sprayen/conserveren",I251/VLOOKUP(E251,'3B-Prestaties vloeren'!$A$3:$M$24,13,FALSE),0),0)</f>
        <v>0</v>
      </c>
      <c r="V251" s="386">
        <f>IF(AND(COUNTBLANK('3B-Prestaties vloeren'!$F$3:$H$24)=0,COUNTBLANK('3B-Prestaties vloeren'!$L$3:$M$24)=0),IF(R251="schrobben",I251/VLOOKUP(E251,'3B-Prestaties vloeren'!$A$3:$H$24,6,FALSE),0)*P251,0)</f>
        <v>0</v>
      </c>
      <c r="W251" s="386">
        <f>IF(AND(COUNTBLANK('3B-Prestaties vloeren'!$F$3:$H$24)=0,COUNTBLANK('3B-Prestaties vloeren'!$L$3:$M$24)=0),IF(R251="sproei-extractie",I251/VLOOKUP(E251,'3B-Prestaties vloeren'!$A$3:$H$24,8,FALSE),0)*P251,0)</f>
        <v>0</v>
      </c>
    </row>
    <row r="252" spans="1:23" ht="15" hidden="1">
      <c r="A252" s="378" t="s">
        <v>677</v>
      </c>
      <c r="B252" s="378" t="s">
        <v>678</v>
      </c>
      <c r="C252" s="378">
        <v>1</v>
      </c>
      <c r="D252" s="378" t="s">
        <v>371</v>
      </c>
      <c r="E252" s="378" t="s">
        <v>5</v>
      </c>
      <c r="F252" s="378" t="s">
        <v>65</v>
      </c>
      <c r="G252" s="378" t="str">
        <f>VLOOKUP(F252,'3B-Prestaties vloeren'!$A$28:$B$118,2,0)</f>
        <v>Zacht onbehandeld</v>
      </c>
      <c r="H252" s="378"/>
      <c r="I252" s="378">
        <v>35.85</v>
      </c>
      <c r="J252" s="420" t="s">
        <v>749</v>
      </c>
      <c r="K252" s="426">
        <v>52</v>
      </c>
      <c r="L252" s="378">
        <f t="shared" si="9"/>
        <v>1864.2</v>
      </c>
      <c r="M252" s="380" t="str">
        <f>IF(K252=0,0,IF(COUNTBLANK('3A-Prestatie'!$B$2:$I$22)=0,L252/VLOOKUP(E252,'3A-Prestatie'!$A$1:$M$22,VLOOKUP(K252,'3A-Prestatie'!$A$28:$B$34,2,FALSE),FALSE),"3A prestatie invullen"))</f>
        <v>3A prestatie invullen</v>
      </c>
      <c r="N252" s="380">
        <f t="shared" si="11"/>
        <v>0</v>
      </c>
      <c r="O252" s="381" t="str">
        <f>VLOOKUP(E252,'3A-Prestatie'!A:M,13,FALSE)</f>
        <v>B</v>
      </c>
      <c r="P252" s="382">
        <f>IF(R252="Niet van toepassing",0,VLOOKUP(E252,'3B-Prestaties vloeren'!$A$3:$D$24,IF(G252="Hard onbehandeld",2,IF(G252="Hard behandeld",3,4)),FALSE))</f>
        <v>1</v>
      </c>
      <c r="Q252" s="383">
        <f t="shared" si="10"/>
        <v>0</v>
      </c>
      <c r="R252" s="384" t="str">
        <f>IF(K252=0,"Niet van toepassing",IF(G252='3B-Prestaties vloeren'!$B$2,"Schrobben",IF(G252='3B-Prestaties vloeren'!$C$2,"Sprayen/conserveren",IF(G252='3B-Prestaties vloeren'!$D$2,"Sproei-extractie",0))))</f>
        <v>Sproei-extractie</v>
      </c>
      <c r="S252" s="385">
        <f>IF('2-Tarieven'!$B$28=0,0,IF(M252=0,0,'2-Tarieven'!$B$28*M252))</f>
        <v>0</v>
      </c>
      <c r="T252" s="386">
        <f>IF(AND(COUNTBLANK('3B-Prestaties vloeren'!$F$3:$H$24)=0,COUNTBLANK('3B-Prestaties vloeren'!$L$3:$M$24)=0),IF(R252="Sprayen/conserveren",I252/VLOOKUP(E252,'3B-Prestaties vloeren'!$A$3:$M$24,12,FALSE),0)*(P252-1),0)</f>
        <v>0</v>
      </c>
      <c r="U252" s="386">
        <f>IF(AND(COUNTBLANK('3B-Prestaties vloeren'!$F$3:$H$24)=0,COUNTBLANK('3B-Prestaties vloeren'!$L$3:$M$24)=0),IF(R252="Sprayen/conserveren",I252/VLOOKUP(E252,'3B-Prestaties vloeren'!$A$3:$M$24,13,FALSE),0),0)</f>
        <v>0</v>
      </c>
      <c r="V252" s="386">
        <f>IF(AND(COUNTBLANK('3B-Prestaties vloeren'!$F$3:$H$24)=0,COUNTBLANK('3B-Prestaties vloeren'!$L$3:$M$24)=0),IF(R252="schrobben",I252/VLOOKUP(E252,'3B-Prestaties vloeren'!$A$3:$H$24,6,FALSE),0)*P252,0)</f>
        <v>0</v>
      </c>
      <c r="W252" s="386">
        <f>IF(AND(COUNTBLANK('3B-Prestaties vloeren'!$F$3:$H$24)=0,COUNTBLANK('3B-Prestaties vloeren'!$L$3:$M$24)=0),IF(R252="sproei-extractie",I252/VLOOKUP(E252,'3B-Prestaties vloeren'!$A$3:$H$24,8,FALSE),0)*P252,0)</f>
        <v>0</v>
      </c>
    </row>
    <row r="253" spans="1:23" ht="15" hidden="1">
      <c r="A253" s="378" t="s">
        <v>677</v>
      </c>
      <c r="B253" s="378" t="s">
        <v>678</v>
      </c>
      <c r="C253" s="378">
        <v>2</v>
      </c>
      <c r="D253" s="378" t="s">
        <v>373</v>
      </c>
      <c r="E253" s="378" t="s">
        <v>285</v>
      </c>
      <c r="F253" s="378" t="s">
        <v>416</v>
      </c>
      <c r="G253" s="378" t="str">
        <f>VLOOKUP(F253,'3B-Prestaties vloeren'!$A$28:$B$118,2,0)</f>
        <v>Hard onbehandeld</v>
      </c>
      <c r="H253" s="378" t="s">
        <v>686</v>
      </c>
      <c r="I253" s="378">
        <v>17.37</v>
      </c>
      <c r="J253" s="420" t="s">
        <v>749</v>
      </c>
      <c r="K253" s="426">
        <v>255</v>
      </c>
      <c r="L253" s="378">
        <f t="shared" si="9"/>
        <v>4429.3500000000004</v>
      </c>
      <c r="M253" s="380" t="str">
        <f>IF(K253=0,0,IF(COUNTBLANK('3A-Prestatie'!$B$2:$I$22)=0,L253/VLOOKUP(E253,'3A-Prestatie'!$A$1:$M$22,VLOOKUP(K253,'3A-Prestatie'!$A$28:$B$34,2,FALSE),FALSE),"3A prestatie invullen"))</f>
        <v>3A prestatie invullen</v>
      </c>
      <c r="N253" s="380">
        <f t="shared" si="11"/>
        <v>0</v>
      </c>
      <c r="O253" s="381" t="str">
        <f>VLOOKUP(E253,'3A-Prestatie'!A:M,13,FALSE)</f>
        <v>V</v>
      </c>
      <c r="P253" s="382">
        <f>IF(R253="Niet van toepassing",0,VLOOKUP(E253,'3B-Prestaties vloeren'!$A$3:$D$24,IF(G253="Hard onbehandeld",2,IF(G253="Hard behandeld",3,4)),FALSE))</f>
        <v>52</v>
      </c>
      <c r="Q253" s="383">
        <f t="shared" si="10"/>
        <v>0</v>
      </c>
      <c r="R253" s="384" t="str">
        <f>IF(K253=0,"Niet van toepassing",IF(G253='3B-Prestaties vloeren'!$B$2,"Schrobben",IF(G253='3B-Prestaties vloeren'!$C$2,"Sprayen/conserveren",IF(G253='3B-Prestaties vloeren'!$D$2,"Sproei-extractie",0))))</f>
        <v>Schrobben</v>
      </c>
      <c r="S253" s="385">
        <f>IF('2-Tarieven'!$B$28=0,0,IF(M253=0,0,'2-Tarieven'!$B$28*M253))</f>
        <v>0</v>
      </c>
      <c r="T253" s="386">
        <f>IF(AND(COUNTBLANK('3B-Prestaties vloeren'!$F$3:$H$24)=0,COUNTBLANK('3B-Prestaties vloeren'!$L$3:$M$24)=0),IF(R253="Sprayen/conserveren",I253/VLOOKUP(E253,'3B-Prestaties vloeren'!$A$3:$M$24,12,FALSE),0)*(P253-1),0)</f>
        <v>0</v>
      </c>
      <c r="U253" s="386">
        <f>IF(AND(COUNTBLANK('3B-Prestaties vloeren'!$F$3:$H$24)=0,COUNTBLANK('3B-Prestaties vloeren'!$L$3:$M$24)=0),IF(R253="Sprayen/conserveren",I253/VLOOKUP(E253,'3B-Prestaties vloeren'!$A$3:$M$24,13,FALSE),0),0)</f>
        <v>0</v>
      </c>
      <c r="V253" s="386">
        <f>IF(AND(COUNTBLANK('3B-Prestaties vloeren'!$F$3:$H$24)=0,COUNTBLANK('3B-Prestaties vloeren'!$L$3:$M$24)=0),IF(R253="schrobben",I253/VLOOKUP(E253,'3B-Prestaties vloeren'!$A$3:$H$24,6,FALSE),0)*P253,0)</f>
        <v>0</v>
      </c>
      <c r="W253" s="386">
        <f>IF(AND(COUNTBLANK('3B-Prestaties vloeren'!$F$3:$H$24)=0,COUNTBLANK('3B-Prestaties vloeren'!$L$3:$M$24)=0),IF(R253="sproei-extractie",I253/VLOOKUP(E253,'3B-Prestaties vloeren'!$A$3:$H$24,8,FALSE),0)*P253,0)</f>
        <v>0</v>
      </c>
    </row>
    <row r="254" spans="1:23" ht="15" hidden="1">
      <c r="A254" s="378" t="s">
        <v>677</v>
      </c>
      <c r="B254" s="378" t="s">
        <v>678</v>
      </c>
      <c r="C254" s="378">
        <v>2</v>
      </c>
      <c r="D254" s="378" t="s">
        <v>374</v>
      </c>
      <c r="E254" s="378" t="s">
        <v>653</v>
      </c>
      <c r="F254" s="378" t="s">
        <v>647</v>
      </c>
      <c r="G254" s="378" t="str">
        <f>VLOOKUP(F254,'3B-Prestaties vloeren'!$A$28:$B$118,2,0)</f>
        <v>Hard onbehandeld</v>
      </c>
      <c r="H254" s="378"/>
      <c r="I254" s="378">
        <v>6.4</v>
      </c>
      <c r="J254" s="421" t="s">
        <v>511</v>
      </c>
      <c r="K254" s="426">
        <v>255</v>
      </c>
      <c r="L254" s="378">
        <f t="shared" si="9"/>
        <v>1632</v>
      </c>
      <c r="M254" s="380" t="str">
        <f>IF(K254=0,0,IF(COUNTBLANK('3A-Prestatie'!$B$2:$I$22)=0,L254/VLOOKUP(E254,'3A-Prestatie'!$A$1:$M$22,VLOOKUP(K254,'3A-Prestatie'!$A$28:$B$34,2,FALSE),FALSE),"3A prestatie invullen"))</f>
        <v>3A prestatie invullen</v>
      </c>
      <c r="N254" s="380">
        <f t="shared" si="11"/>
        <v>0</v>
      </c>
      <c r="O254" s="381" t="str">
        <f>VLOOKUP(E254,'3A-Prestatie'!A:M,13,FALSE)</f>
        <v>S</v>
      </c>
      <c r="P254" s="382">
        <f>IF(R254="Niet van toepassing",0,VLOOKUP(E254,'3B-Prestaties vloeren'!$A$3:$D$24,IF(G254="Hard onbehandeld",2,IF(G254="Hard behandeld",3,4)),FALSE))</f>
        <v>52</v>
      </c>
      <c r="Q254" s="383">
        <f t="shared" si="10"/>
        <v>0</v>
      </c>
      <c r="R254" s="384" t="str">
        <f>IF(K254=0,"Niet van toepassing",IF(G254='3B-Prestaties vloeren'!$B$2,"Schrobben",IF(G254='3B-Prestaties vloeren'!$C$2,"Sprayen/conserveren",IF(G254='3B-Prestaties vloeren'!$D$2,"Sproei-extractie",0))))</f>
        <v>Schrobben</v>
      </c>
      <c r="S254" s="385">
        <f>IF('2-Tarieven'!$B$28=0,0,IF(M254=0,0,'2-Tarieven'!$B$28*M254))</f>
        <v>0</v>
      </c>
      <c r="T254" s="386">
        <f>IF(AND(COUNTBLANK('3B-Prestaties vloeren'!$F$3:$H$24)=0,COUNTBLANK('3B-Prestaties vloeren'!$L$3:$M$24)=0),IF(R254="Sprayen/conserveren",I254/VLOOKUP(E254,'3B-Prestaties vloeren'!$A$3:$M$24,12,FALSE),0)*(P254-1),0)</f>
        <v>0</v>
      </c>
      <c r="U254" s="386">
        <f>IF(AND(COUNTBLANK('3B-Prestaties vloeren'!$F$3:$H$24)=0,COUNTBLANK('3B-Prestaties vloeren'!$L$3:$M$24)=0),IF(R254="Sprayen/conserveren",I254/VLOOKUP(E254,'3B-Prestaties vloeren'!$A$3:$M$24,13,FALSE),0),0)</f>
        <v>0</v>
      </c>
      <c r="V254" s="386">
        <f>IF(AND(COUNTBLANK('3B-Prestaties vloeren'!$F$3:$H$24)=0,COUNTBLANK('3B-Prestaties vloeren'!$L$3:$M$24)=0),IF(R254="schrobben",I254/VLOOKUP(E254,'3B-Prestaties vloeren'!$A$3:$H$24,6,FALSE),0)*P254,0)</f>
        <v>0</v>
      </c>
      <c r="W254" s="386">
        <f>IF(AND(COUNTBLANK('3B-Prestaties vloeren'!$F$3:$H$24)=0,COUNTBLANK('3B-Prestaties vloeren'!$L$3:$M$24)=0),IF(R254="sproei-extractie",I254/VLOOKUP(E254,'3B-Prestaties vloeren'!$A$3:$H$24,8,FALSE),0)*P254,0)</f>
        <v>0</v>
      </c>
    </row>
    <row r="255" spans="1:23" ht="15" hidden="1">
      <c r="A255" s="378" t="s">
        <v>677</v>
      </c>
      <c r="B255" s="378" t="s">
        <v>678</v>
      </c>
      <c r="C255" s="378">
        <v>2</v>
      </c>
      <c r="D255" s="378" t="s">
        <v>691</v>
      </c>
      <c r="E255" s="378" t="s">
        <v>728</v>
      </c>
      <c r="F255" s="378" t="s">
        <v>647</v>
      </c>
      <c r="G255" s="378" t="str">
        <f>VLOOKUP(F255,'3B-Prestaties vloeren'!$A$28:$B$118,2,0)</f>
        <v>Hard onbehandeld</v>
      </c>
      <c r="H255" s="378" t="s">
        <v>330</v>
      </c>
      <c r="I255" s="416" t="s">
        <v>657</v>
      </c>
      <c r="J255" s="422"/>
      <c r="K255" s="426">
        <v>0</v>
      </c>
      <c r="L255" s="378">
        <f t="shared" si="9"/>
        <v>0</v>
      </c>
      <c r="M255" s="380">
        <f>IF(K255=0,0,IF(COUNTBLANK('3A-Prestatie'!$B$2:$I$22)=0,L255/VLOOKUP(E255,'3A-Prestatie'!$A$1:$M$22,VLOOKUP(K255,'3A-Prestatie'!$A$28:$B$34,2,FALSE),FALSE),"3A prestatie invullen"))</f>
        <v>0</v>
      </c>
      <c r="N255" s="380">
        <f t="shared" si="11"/>
        <v>0</v>
      </c>
      <c r="O255" s="381" t="str">
        <f>VLOOKUP(E255,'3A-Prestatie'!A:M,13,FALSE)</f>
        <v>N.v.t.</v>
      </c>
      <c r="P255" s="382">
        <f>IF(R255="Niet van toepassing",0,VLOOKUP(E255,'3B-Prestaties vloeren'!$A$3:$D$24,IF(G255="Hard onbehandeld",2,IF(G255="Hard behandeld",3,4)),FALSE))</f>
        <v>0</v>
      </c>
      <c r="Q255" s="383">
        <f t="shared" si="10"/>
        <v>0</v>
      </c>
      <c r="R255" s="384" t="str">
        <f>IF(K255=0,"Niet van toepassing",IF(G255='3B-Prestaties vloeren'!$B$2,"Schrobben",IF(G255='3B-Prestaties vloeren'!$C$2,"Sprayen/conserveren",IF(G255='3B-Prestaties vloeren'!$D$2,"Sproei-extractie",0))))</f>
        <v>Niet van toepassing</v>
      </c>
      <c r="S255" s="385">
        <f>IF('2-Tarieven'!$B$28=0,0,IF(M255=0,0,'2-Tarieven'!$B$28*M255))</f>
        <v>0</v>
      </c>
      <c r="T255" s="386">
        <f>IF(AND(COUNTBLANK('3B-Prestaties vloeren'!$F$3:$H$24)=0,COUNTBLANK('3B-Prestaties vloeren'!$L$3:$M$24)=0),IF(R255="Sprayen/conserveren",I255/VLOOKUP(E255,'3B-Prestaties vloeren'!$A$3:$M$24,12,FALSE),0)*(P255-1),0)</f>
        <v>0</v>
      </c>
      <c r="U255" s="386">
        <f>IF(AND(COUNTBLANK('3B-Prestaties vloeren'!$F$3:$H$24)=0,COUNTBLANK('3B-Prestaties vloeren'!$L$3:$M$24)=0),IF(R255="Sprayen/conserveren",I255/VLOOKUP(E255,'3B-Prestaties vloeren'!$A$3:$M$24,13,FALSE),0),0)</f>
        <v>0</v>
      </c>
      <c r="V255" s="386">
        <f>IF(AND(COUNTBLANK('3B-Prestaties vloeren'!$F$3:$H$24)=0,COUNTBLANK('3B-Prestaties vloeren'!$L$3:$M$24)=0),IF(R255="schrobben",I255/VLOOKUP(E255,'3B-Prestaties vloeren'!$A$3:$H$24,6,FALSE),0)*P255,0)</f>
        <v>0</v>
      </c>
      <c r="W255" s="386">
        <f>IF(AND(COUNTBLANK('3B-Prestaties vloeren'!$F$3:$H$24)=0,COUNTBLANK('3B-Prestaties vloeren'!$L$3:$M$24)=0),IF(R255="sproei-extractie",I255/VLOOKUP(E255,'3B-Prestaties vloeren'!$A$3:$H$24,8,FALSE),0)*P255,0)</f>
        <v>0</v>
      </c>
    </row>
    <row r="256" spans="1:23" ht="15" hidden="1">
      <c r="A256" s="378" t="s">
        <v>677</v>
      </c>
      <c r="B256" s="378" t="s">
        <v>678</v>
      </c>
      <c r="C256" s="378">
        <v>2</v>
      </c>
      <c r="D256" s="378" t="s">
        <v>375</v>
      </c>
      <c r="E256" s="378" t="s">
        <v>653</v>
      </c>
      <c r="F256" s="378" t="s">
        <v>647</v>
      </c>
      <c r="G256" s="378" t="str">
        <f>VLOOKUP(F256,'3B-Prestaties vloeren'!$A$28:$B$118,2,0)</f>
        <v>Hard onbehandeld</v>
      </c>
      <c r="H256" s="378"/>
      <c r="I256" s="378">
        <v>7.6</v>
      </c>
      <c r="J256" s="421" t="s">
        <v>511</v>
      </c>
      <c r="K256" s="426">
        <v>255</v>
      </c>
      <c r="L256" s="378">
        <f t="shared" si="9"/>
        <v>1938</v>
      </c>
      <c r="M256" s="380" t="str">
        <f>IF(K256=0,0,IF(COUNTBLANK('3A-Prestatie'!$B$2:$I$22)=0,L256/VLOOKUP(E256,'3A-Prestatie'!$A$1:$M$22,VLOOKUP(K256,'3A-Prestatie'!$A$28:$B$34,2,FALSE),FALSE),"3A prestatie invullen"))</f>
        <v>3A prestatie invullen</v>
      </c>
      <c r="N256" s="380">
        <f t="shared" si="11"/>
        <v>0</v>
      </c>
      <c r="O256" s="381" t="str">
        <f>VLOOKUP(E256,'3A-Prestatie'!A:M,13,FALSE)</f>
        <v>S</v>
      </c>
      <c r="P256" s="382">
        <f>IF(R256="Niet van toepassing",0,VLOOKUP(E256,'3B-Prestaties vloeren'!$A$3:$D$24,IF(G256="Hard onbehandeld",2,IF(G256="Hard behandeld",3,4)),FALSE))</f>
        <v>52</v>
      </c>
      <c r="Q256" s="383">
        <f t="shared" si="10"/>
        <v>0</v>
      </c>
      <c r="R256" s="384" t="str">
        <f>IF(K256=0,"Niet van toepassing",IF(G256='3B-Prestaties vloeren'!$B$2,"Schrobben",IF(G256='3B-Prestaties vloeren'!$C$2,"Sprayen/conserveren",IF(G256='3B-Prestaties vloeren'!$D$2,"Sproei-extractie",0))))</f>
        <v>Schrobben</v>
      </c>
      <c r="S256" s="385">
        <f>IF('2-Tarieven'!$B$28=0,0,IF(M256=0,0,'2-Tarieven'!$B$28*M256))</f>
        <v>0</v>
      </c>
      <c r="T256" s="386">
        <f>IF(AND(COUNTBLANK('3B-Prestaties vloeren'!$F$3:$H$24)=0,COUNTBLANK('3B-Prestaties vloeren'!$L$3:$M$24)=0),IF(R256="Sprayen/conserveren",I256/VLOOKUP(E256,'3B-Prestaties vloeren'!$A$3:$M$24,12,FALSE),0)*(P256-1),0)</f>
        <v>0</v>
      </c>
      <c r="U256" s="386">
        <f>IF(AND(COUNTBLANK('3B-Prestaties vloeren'!$F$3:$H$24)=0,COUNTBLANK('3B-Prestaties vloeren'!$L$3:$M$24)=0),IF(R256="Sprayen/conserveren",I256/VLOOKUP(E256,'3B-Prestaties vloeren'!$A$3:$M$24,13,FALSE),0),0)</f>
        <v>0</v>
      </c>
      <c r="V256" s="386">
        <f>IF(AND(COUNTBLANK('3B-Prestaties vloeren'!$F$3:$H$24)=0,COUNTBLANK('3B-Prestaties vloeren'!$L$3:$M$24)=0),IF(R256="schrobben",I256/VLOOKUP(E256,'3B-Prestaties vloeren'!$A$3:$H$24,6,FALSE),0)*P256,0)</f>
        <v>0</v>
      </c>
      <c r="W256" s="386">
        <f>IF(AND(COUNTBLANK('3B-Prestaties vloeren'!$F$3:$H$24)=0,COUNTBLANK('3B-Prestaties vloeren'!$L$3:$M$24)=0),IF(R256="sproei-extractie",I256/VLOOKUP(E256,'3B-Prestaties vloeren'!$A$3:$H$24,8,FALSE),0)*P256,0)</f>
        <v>0</v>
      </c>
    </row>
    <row r="257" spans="1:23" ht="15" hidden="1">
      <c r="A257" s="378" t="s">
        <v>677</v>
      </c>
      <c r="B257" s="378" t="s">
        <v>678</v>
      </c>
      <c r="C257" s="378">
        <v>2</v>
      </c>
      <c r="D257" s="378" t="s">
        <v>692</v>
      </c>
      <c r="E257" s="378" t="s">
        <v>728</v>
      </c>
      <c r="F257" s="378" t="s">
        <v>647</v>
      </c>
      <c r="G257" s="378" t="str">
        <f>VLOOKUP(F257,'3B-Prestaties vloeren'!$A$28:$B$118,2,0)</f>
        <v>Hard onbehandeld</v>
      </c>
      <c r="H257" s="378" t="s">
        <v>330</v>
      </c>
      <c r="I257" s="416" t="s">
        <v>657</v>
      </c>
      <c r="J257" s="422"/>
      <c r="K257" s="426">
        <v>0</v>
      </c>
      <c r="L257" s="378">
        <f t="shared" si="9"/>
        <v>0</v>
      </c>
      <c r="M257" s="380">
        <f>IF(K257=0,0,IF(COUNTBLANK('3A-Prestatie'!$B$2:$I$22)=0,L257/VLOOKUP(E257,'3A-Prestatie'!$A$1:$M$22,VLOOKUP(K257,'3A-Prestatie'!$A$28:$B$34,2,FALSE),FALSE),"3A prestatie invullen"))</f>
        <v>0</v>
      </c>
      <c r="N257" s="380">
        <f t="shared" si="11"/>
        <v>0</v>
      </c>
      <c r="O257" s="381" t="str">
        <f>VLOOKUP(E257,'3A-Prestatie'!A:M,13,FALSE)</f>
        <v>N.v.t.</v>
      </c>
      <c r="P257" s="382">
        <f>IF(R257="Niet van toepassing",0,VLOOKUP(E257,'3B-Prestaties vloeren'!$A$3:$D$24,IF(G257="Hard onbehandeld",2,IF(G257="Hard behandeld",3,4)),FALSE))</f>
        <v>0</v>
      </c>
      <c r="Q257" s="383">
        <f t="shared" si="10"/>
        <v>0</v>
      </c>
      <c r="R257" s="384" t="str">
        <f>IF(K257=0,"Niet van toepassing",IF(G257='3B-Prestaties vloeren'!$B$2,"Schrobben",IF(G257='3B-Prestaties vloeren'!$C$2,"Sprayen/conserveren",IF(G257='3B-Prestaties vloeren'!$D$2,"Sproei-extractie",0))))</f>
        <v>Niet van toepassing</v>
      </c>
      <c r="S257" s="385">
        <f>IF('2-Tarieven'!$B$28=0,0,IF(M257=0,0,'2-Tarieven'!$B$28*M257))</f>
        <v>0</v>
      </c>
      <c r="T257" s="386">
        <f>IF(AND(COUNTBLANK('3B-Prestaties vloeren'!$F$3:$H$24)=0,COUNTBLANK('3B-Prestaties vloeren'!$L$3:$M$24)=0),IF(R257="Sprayen/conserveren",I257/VLOOKUP(E257,'3B-Prestaties vloeren'!$A$3:$M$24,12,FALSE),0)*(P257-1),0)</f>
        <v>0</v>
      </c>
      <c r="U257" s="386">
        <f>IF(AND(COUNTBLANK('3B-Prestaties vloeren'!$F$3:$H$24)=0,COUNTBLANK('3B-Prestaties vloeren'!$L$3:$M$24)=0),IF(R257="Sprayen/conserveren",I257/VLOOKUP(E257,'3B-Prestaties vloeren'!$A$3:$M$24,13,FALSE),0),0)</f>
        <v>0</v>
      </c>
      <c r="V257" s="386">
        <f>IF(AND(COUNTBLANK('3B-Prestaties vloeren'!$F$3:$H$24)=0,COUNTBLANK('3B-Prestaties vloeren'!$L$3:$M$24)=0),IF(R257="schrobben",I257/VLOOKUP(E257,'3B-Prestaties vloeren'!$A$3:$H$24,6,FALSE),0)*P257,0)</f>
        <v>0</v>
      </c>
      <c r="W257" s="386">
        <f>IF(AND(COUNTBLANK('3B-Prestaties vloeren'!$F$3:$H$24)=0,COUNTBLANK('3B-Prestaties vloeren'!$L$3:$M$24)=0),IF(R257="sproei-extractie",I257/VLOOKUP(E257,'3B-Prestaties vloeren'!$A$3:$H$24,8,FALSE),0)*P257,0)</f>
        <v>0</v>
      </c>
    </row>
    <row r="258" spans="1:23" ht="15" hidden="1">
      <c r="A258" s="378" t="s">
        <v>677</v>
      </c>
      <c r="B258" s="378" t="s">
        <v>678</v>
      </c>
      <c r="C258" s="378">
        <v>2</v>
      </c>
      <c r="D258" s="378" t="s">
        <v>376</v>
      </c>
      <c r="E258" s="378" t="s">
        <v>5</v>
      </c>
      <c r="F258" s="378" t="s">
        <v>65</v>
      </c>
      <c r="G258" s="378" t="str">
        <f>VLOOKUP(F258,'3B-Prestaties vloeren'!$A$28:$B$118,2,0)</f>
        <v>Zacht onbehandeld</v>
      </c>
      <c r="H258" s="378"/>
      <c r="I258" s="378">
        <v>38.4</v>
      </c>
      <c r="J258" s="420" t="s">
        <v>749</v>
      </c>
      <c r="K258" s="426">
        <v>52</v>
      </c>
      <c r="L258" s="378">
        <f t="shared" ref="L258:L321" si="12">IF(K258=0,0,K258*I258)</f>
        <v>1996.8</v>
      </c>
      <c r="M258" s="380" t="str">
        <f>IF(K258=0,0,IF(COUNTBLANK('3A-Prestatie'!$B$2:$I$22)=0,L258/VLOOKUP(E258,'3A-Prestatie'!$A$1:$M$22,VLOOKUP(K258,'3A-Prestatie'!$A$28:$B$34,2,FALSE),FALSE),"3A prestatie invullen"))</f>
        <v>3A prestatie invullen</v>
      </c>
      <c r="N258" s="380">
        <f t="shared" si="11"/>
        <v>0</v>
      </c>
      <c r="O258" s="381" t="str">
        <f>VLOOKUP(E258,'3A-Prestatie'!A:M,13,FALSE)</f>
        <v>B</v>
      </c>
      <c r="P258" s="382">
        <f>IF(R258="Niet van toepassing",0,VLOOKUP(E258,'3B-Prestaties vloeren'!$A$3:$D$24,IF(G258="Hard onbehandeld",2,IF(G258="Hard behandeld",3,4)),FALSE))</f>
        <v>1</v>
      </c>
      <c r="Q258" s="383">
        <f t="shared" ref="Q258:Q321" si="13">SUM(T258:W258)</f>
        <v>0</v>
      </c>
      <c r="R258" s="384" t="str">
        <f>IF(K258=0,"Niet van toepassing",IF(G258='3B-Prestaties vloeren'!$B$2,"Schrobben",IF(G258='3B-Prestaties vloeren'!$C$2,"Sprayen/conserveren",IF(G258='3B-Prestaties vloeren'!$D$2,"Sproei-extractie",0))))</f>
        <v>Sproei-extractie</v>
      </c>
      <c r="S258" s="385">
        <f>IF('2-Tarieven'!$B$28=0,0,IF(M258=0,0,'2-Tarieven'!$B$28*M258))</f>
        <v>0</v>
      </c>
      <c r="T258" s="386">
        <f>IF(AND(COUNTBLANK('3B-Prestaties vloeren'!$F$3:$H$24)=0,COUNTBLANK('3B-Prestaties vloeren'!$L$3:$M$24)=0),IF(R258="Sprayen/conserveren",I258/VLOOKUP(E258,'3B-Prestaties vloeren'!$A$3:$M$24,12,FALSE),0)*(P258-1),0)</f>
        <v>0</v>
      </c>
      <c r="U258" s="386">
        <f>IF(AND(COUNTBLANK('3B-Prestaties vloeren'!$F$3:$H$24)=0,COUNTBLANK('3B-Prestaties vloeren'!$L$3:$M$24)=0),IF(R258="Sprayen/conserveren",I258/VLOOKUP(E258,'3B-Prestaties vloeren'!$A$3:$M$24,13,FALSE),0),0)</f>
        <v>0</v>
      </c>
      <c r="V258" s="386">
        <f>IF(AND(COUNTBLANK('3B-Prestaties vloeren'!$F$3:$H$24)=0,COUNTBLANK('3B-Prestaties vloeren'!$L$3:$M$24)=0),IF(R258="schrobben",I258/VLOOKUP(E258,'3B-Prestaties vloeren'!$A$3:$H$24,6,FALSE),0)*P258,0)</f>
        <v>0</v>
      </c>
      <c r="W258" s="386">
        <f>IF(AND(COUNTBLANK('3B-Prestaties vloeren'!$F$3:$H$24)=0,COUNTBLANK('3B-Prestaties vloeren'!$L$3:$M$24)=0),IF(R258="sproei-extractie",I258/VLOOKUP(E258,'3B-Prestaties vloeren'!$A$3:$H$24,8,FALSE),0)*P258,0)</f>
        <v>0</v>
      </c>
    </row>
    <row r="259" spans="1:23" ht="15" hidden="1">
      <c r="A259" s="378" t="s">
        <v>677</v>
      </c>
      <c r="B259" s="378" t="s">
        <v>678</v>
      </c>
      <c r="C259" s="378">
        <v>2</v>
      </c>
      <c r="D259" s="378" t="s">
        <v>377</v>
      </c>
      <c r="E259" s="378" t="s">
        <v>5</v>
      </c>
      <c r="F259" s="378" t="s">
        <v>65</v>
      </c>
      <c r="G259" s="378" t="str">
        <f>VLOOKUP(F259,'3B-Prestaties vloeren'!$A$28:$B$118,2,0)</f>
        <v>Zacht onbehandeld</v>
      </c>
      <c r="H259" s="378"/>
      <c r="I259" s="378">
        <v>50</v>
      </c>
      <c r="J259" s="420" t="s">
        <v>749</v>
      </c>
      <c r="K259" s="426">
        <v>52</v>
      </c>
      <c r="L259" s="378">
        <f t="shared" si="12"/>
        <v>2600</v>
      </c>
      <c r="M259" s="380" t="str">
        <f>IF(K259=0,0,IF(COUNTBLANK('3A-Prestatie'!$B$2:$I$22)=0,L259/VLOOKUP(E259,'3A-Prestatie'!$A$1:$M$22,VLOOKUP(K259,'3A-Prestatie'!$A$28:$B$34,2,FALSE),FALSE),"3A prestatie invullen"))</f>
        <v>3A prestatie invullen</v>
      </c>
      <c r="N259" s="380">
        <f t="shared" ref="N259:N322" si="14">IF(M259="3A prestatie invullen",0,IF(K259&lt;&gt;0,L259/M259,0))</f>
        <v>0</v>
      </c>
      <c r="O259" s="381" t="str">
        <f>VLOOKUP(E259,'3A-Prestatie'!A:M,13,FALSE)</f>
        <v>B</v>
      </c>
      <c r="P259" s="382">
        <f>IF(R259="Niet van toepassing",0,VLOOKUP(E259,'3B-Prestaties vloeren'!$A$3:$D$24,IF(G259="Hard onbehandeld",2,IF(G259="Hard behandeld",3,4)),FALSE))</f>
        <v>1</v>
      </c>
      <c r="Q259" s="383">
        <f t="shared" si="13"/>
        <v>0</v>
      </c>
      <c r="R259" s="384" t="str">
        <f>IF(K259=0,"Niet van toepassing",IF(G259='3B-Prestaties vloeren'!$B$2,"Schrobben",IF(G259='3B-Prestaties vloeren'!$C$2,"Sprayen/conserveren",IF(G259='3B-Prestaties vloeren'!$D$2,"Sproei-extractie",0))))</f>
        <v>Sproei-extractie</v>
      </c>
      <c r="S259" s="385">
        <f>IF('2-Tarieven'!$B$28=0,0,IF(M259=0,0,'2-Tarieven'!$B$28*M259))</f>
        <v>0</v>
      </c>
      <c r="T259" s="386">
        <f>IF(AND(COUNTBLANK('3B-Prestaties vloeren'!$F$3:$H$24)=0,COUNTBLANK('3B-Prestaties vloeren'!$L$3:$M$24)=0),IF(R259="Sprayen/conserveren",I259/VLOOKUP(E259,'3B-Prestaties vloeren'!$A$3:$M$24,12,FALSE),0)*(P259-1),0)</f>
        <v>0</v>
      </c>
      <c r="U259" s="386">
        <f>IF(AND(COUNTBLANK('3B-Prestaties vloeren'!$F$3:$H$24)=0,COUNTBLANK('3B-Prestaties vloeren'!$L$3:$M$24)=0),IF(R259="Sprayen/conserveren",I259/VLOOKUP(E259,'3B-Prestaties vloeren'!$A$3:$M$24,13,FALSE),0),0)</f>
        <v>0</v>
      </c>
      <c r="V259" s="386">
        <f>IF(AND(COUNTBLANK('3B-Prestaties vloeren'!$F$3:$H$24)=0,COUNTBLANK('3B-Prestaties vloeren'!$L$3:$M$24)=0),IF(R259="schrobben",I259/VLOOKUP(E259,'3B-Prestaties vloeren'!$A$3:$H$24,6,FALSE),0)*P259,0)</f>
        <v>0</v>
      </c>
      <c r="W259" s="386">
        <f>IF(AND(COUNTBLANK('3B-Prestaties vloeren'!$F$3:$H$24)=0,COUNTBLANK('3B-Prestaties vloeren'!$L$3:$M$24)=0),IF(R259="sproei-extractie",I259/VLOOKUP(E259,'3B-Prestaties vloeren'!$A$3:$H$24,8,FALSE),0)*P259,0)</f>
        <v>0</v>
      </c>
    </row>
    <row r="260" spans="1:23" ht="15" hidden="1">
      <c r="A260" s="378" t="s">
        <v>677</v>
      </c>
      <c r="B260" s="378" t="s">
        <v>678</v>
      </c>
      <c r="C260" s="378">
        <v>2</v>
      </c>
      <c r="D260" s="378" t="s">
        <v>378</v>
      </c>
      <c r="E260" s="378" t="s">
        <v>5</v>
      </c>
      <c r="F260" s="378" t="s">
        <v>65</v>
      </c>
      <c r="G260" s="378" t="str">
        <f>VLOOKUP(F260,'3B-Prestaties vloeren'!$A$28:$B$118,2,0)</f>
        <v>Zacht onbehandeld</v>
      </c>
      <c r="H260" s="378"/>
      <c r="I260" s="378">
        <v>19.55</v>
      </c>
      <c r="J260" s="420" t="s">
        <v>749</v>
      </c>
      <c r="K260" s="426">
        <v>52</v>
      </c>
      <c r="L260" s="378">
        <f t="shared" si="12"/>
        <v>1016.6</v>
      </c>
      <c r="M260" s="380" t="str">
        <f>IF(K260=0,0,IF(COUNTBLANK('3A-Prestatie'!$B$2:$I$22)=0,L260/VLOOKUP(E260,'3A-Prestatie'!$A$1:$M$22,VLOOKUP(K260,'3A-Prestatie'!$A$28:$B$34,2,FALSE),FALSE),"3A prestatie invullen"))</f>
        <v>3A prestatie invullen</v>
      </c>
      <c r="N260" s="380">
        <f t="shared" si="14"/>
        <v>0</v>
      </c>
      <c r="O260" s="381" t="str">
        <f>VLOOKUP(E260,'3A-Prestatie'!A:M,13,FALSE)</f>
        <v>B</v>
      </c>
      <c r="P260" s="382">
        <f>IF(R260="Niet van toepassing",0,VLOOKUP(E260,'3B-Prestaties vloeren'!$A$3:$D$24,IF(G260="Hard onbehandeld",2,IF(G260="Hard behandeld",3,4)),FALSE))</f>
        <v>1</v>
      </c>
      <c r="Q260" s="383">
        <f t="shared" si="13"/>
        <v>0</v>
      </c>
      <c r="R260" s="384" t="str">
        <f>IF(K260=0,"Niet van toepassing",IF(G260='3B-Prestaties vloeren'!$B$2,"Schrobben",IF(G260='3B-Prestaties vloeren'!$C$2,"Sprayen/conserveren",IF(G260='3B-Prestaties vloeren'!$D$2,"Sproei-extractie",0))))</f>
        <v>Sproei-extractie</v>
      </c>
      <c r="S260" s="385">
        <f>IF('2-Tarieven'!$B$28=0,0,IF(M260=0,0,'2-Tarieven'!$B$28*M260))</f>
        <v>0</v>
      </c>
      <c r="T260" s="386">
        <f>IF(AND(COUNTBLANK('3B-Prestaties vloeren'!$F$3:$H$24)=0,COUNTBLANK('3B-Prestaties vloeren'!$L$3:$M$24)=0),IF(R260="Sprayen/conserveren",I260/VLOOKUP(E260,'3B-Prestaties vloeren'!$A$3:$M$24,12,FALSE),0)*(P260-1),0)</f>
        <v>0</v>
      </c>
      <c r="U260" s="386">
        <f>IF(AND(COUNTBLANK('3B-Prestaties vloeren'!$F$3:$H$24)=0,COUNTBLANK('3B-Prestaties vloeren'!$L$3:$M$24)=0),IF(R260="Sprayen/conserveren",I260/VLOOKUP(E260,'3B-Prestaties vloeren'!$A$3:$M$24,13,FALSE),0),0)</f>
        <v>0</v>
      </c>
      <c r="V260" s="386">
        <f>IF(AND(COUNTBLANK('3B-Prestaties vloeren'!$F$3:$H$24)=0,COUNTBLANK('3B-Prestaties vloeren'!$L$3:$M$24)=0),IF(R260="schrobben",I260/VLOOKUP(E260,'3B-Prestaties vloeren'!$A$3:$H$24,6,FALSE),0)*P260,0)</f>
        <v>0</v>
      </c>
      <c r="W260" s="386">
        <f>IF(AND(COUNTBLANK('3B-Prestaties vloeren'!$F$3:$H$24)=0,COUNTBLANK('3B-Prestaties vloeren'!$L$3:$M$24)=0),IF(R260="sproei-extractie",I260/VLOOKUP(E260,'3B-Prestaties vloeren'!$A$3:$H$24,8,FALSE),0)*P260,0)</f>
        <v>0</v>
      </c>
    </row>
    <row r="261" spans="1:23" ht="15" hidden="1">
      <c r="A261" s="378" t="s">
        <v>677</v>
      </c>
      <c r="B261" s="378" t="s">
        <v>678</v>
      </c>
      <c r="C261" s="378">
        <v>2</v>
      </c>
      <c r="D261" s="378" t="s">
        <v>379</v>
      </c>
      <c r="E261" s="378" t="s">
        <v>285</v>
      </c>
      <c r="F261" s="378" t="s">
        <v>416</v>
      </c>
      <c r="G261" s="378" t="str">
        <f>VLOOKUP(F261,'3B-Prestaties vloeren'!$A$28:$B$118,2,0)</f>
        <v>Hard onbehandeld</v>
      </c>
      <c r="H261" s="378"/>
      <c r="I261" s="378">
        <v>21.85</v>
      </c>
      <c r="J261" s="420" t="s">
        <v>749</v>
      </c>
      <c r="K261" s="426">
        <v>255</v>
      </c>
      <c r="L261" s="378">
        <f t="shared" si="12"/>
        <v>5571.75</v>
      </c>
      <c r="M261" s="380" t="str">
        <f>IF(K261=0,0,IF(COUNTBLANK('3A-Prestatie'!$B$2:$I$22)=0,L261/VLOOKUP(E261,'3A-Prestatie'!$A$1:$M$22,VLOOKUP(K261,'3A-Prestatie'!$A$28:$B$34,2,FALSE),FALSE),"3A prestatie invullen"))</f>
        <v>3A prestatie invullen</v>
      </c>
      <c r="N261" s="380">
        <f t="shared" si="14"/>
        <v>0</v>
      </c>
      <c r="O261" s="381" t="str">
        <f>VLOOKUP(E261,'3A-Prestatie'!A:M,13,FALSE)</f>
        <v>V</v>
      </c>
      <c r="P261" s="382">
        <f>IF(R261="Niet van toepassing",0,VLOOKUP(E261,'3B-Prestaties vloeren'!$A$3:$D$24,IF(G261="Hard onbehandeld",2,IF(G261="Hard behandeld",3,4)),FALSE))</f>
        <v>52</v>
      </c>
      <c r="Q261" s="383">
        <f t="shared" si="13"/>
        <v>0</v>
      </c>
      <c r="R261" s="384" t="str">
        <f>IF(K261=0,"Niet van toepassing",IF(G261='3B-Prestaties vloeren'!$B$2,"Schrobben",IF(G261='3B-Prestaties vloeren'!$C$2,"Sprayen/conserveren",IF(G261='3B-Prestaties vloeren'!$D$2,"Sproei-extractie",0))))</f>
        <v>Schrobben</v>
      </c>
      <c r="S261" s="385">
        <f>IF('2-Tarieven'!$B$28=0,0,IF(M261=0,0,'2-Tarieven'!$B$28*M261))</f>
        <v>0</v>
      </c>
      <c r="T261" s="386">
        <f>IF(AND(COUNTBLANK('3B-Prestaties vloeren'!$F$3:$H$24)=0,COUNTBLANK('3B-Prestaties vloeren'!$L$3:$M$24)=0),IF(R261="Sprayen/conserveren",I261/VLOOKUP(E261,'3B-Prestaties vloeren'!$A$3:$M$24,12,FALSE),0)*(P261-1),0)</f>
        <v>0</v>
      </c>
      <c r="U261" s="386">
        <f>IF(AND(COUNTBLANK('3B-Prestaties vloeren'!$F$3:$H$24)=0,COUNTBLANK('3B-Prestaties vloeren'!$L$3:$M$24)=0),IF(R261="Sprayen/conserveren",I261/VLOOKUP(E261,'3B-Prestaties vloeren'!$A$3:$M$24,13,FALSE),0),0)</f>
        <v>0</v>
      </c>
      <c r="V261" s="386">
        <f>IF(AND(COUNTBLANK('3B-Prestaties vloeren'!$F$3:$H$24)=0,COUNTBLANK('3B-Prestaties vloeren'!$L$3:$M$24)=0),IF(R261="schrobben",I261/VLOOKUP(E261,'3B-Prestaties vloeren'!$A$3:$H$24,6,FALSE),0)*P261,0)</f>
        <v>0</v>
      </c>
      <c r="W261" s="386">
        <f>IF(AND(COUNTBLANK('3B-Prestaties vloeren'!$F$3:$H$24)=0,COUNTBLANK('3B-Prestaties vloeren'!$L$3:$M$24)=0),IF(R261="sproei-extractie",I261/VLOOKUP(E261,'3B-Prestaties vloeren'!$A$3:$H$24,8,FALSE),0)*P261,0)</f>
        <v>0</v>
      </c>
    </row>
    <row r="262" spans="1:23" ht="15" hidden="1">
      <c r="A262" s="378" t="s">
        <v>677</v>
      </c>
      <c r="B262" s="378" t="s">
        <v>678</v>
      </c>
      <c r="C262" s="378">
        <v>2</v>
      </c>
      <c r="D262" s="378" t="s">
        <v>8</v>
      </c>
      <c r="E262" s="378" t="s">
        <v>5</v>
      </c>
      <c r="F262" s="378" t="s">
        <v>65</v>
      </c>
      <c r="G262" s="378" t="str">
        <f>VLOOKUP(F262,'3B-Prestaties vloeren'!$A$28:$B$118,2,0)</f>
        <v>Zacht onbehandeld</v>
      </c>
      <c r="H262" s="378"/>
      <c r="I262" s="378">
        <v>27.8</v>
      </c>
      <c r="J262" s="420" t="s">
        <v>749</v>
      </c>
      <c r="K262" s="426">
        <v>52</v>
      </c>
      <c r="L262" s="378">
        <f t="shared" si="12"/>
        <v>1445.6000000000001</v>
      </c>
      <c r="M262" s="380" t="str">
        <f>IF(K262=0,0,IF(COUNTBLANK('3A-Prestatie'!$B$2:$I$22)=0,L262/VLOOKUP(E262,'3A-Prestatie'!$A$1:$M$22,VLOOKUP(K262,'3A-Prestatie'!$A$28:$B$34,2,FALSE),FALSE),"3A prestatie invullen"))</f>
        <v>3A prestatie invullen</v>
      </c>
      <c r="N262" s="380">
        <f t="shared" si="14"/>
        <v>0</v>
      </c>
      <c r="O262" s="381" t="str">
        <f>VLOOKUP(E262,'3A-Prestatie'!A:M,13,FALSE)</f>
        <v>B</v>
      </c>
      <c r="P262" s="382">
        <f>IF(R262="Niet van toepassing",0,VLOOKUP(E262,'3B-Prestaties vloeren'!$A$3:$D$24,IF(G262="Hard onbehandeld",2,IF(G262="Hard behandeld",3,4)),FALSE))</f>
        <v>1</v>
      </c>
      <c r="Q262" s="383">
        <f t="shared" si="13"/>
        <v>0</v>
      </c>
      <c r="R262" s="384" t="str">
        <f>IF(K262=0,"Niet van toepassing",IF(G262='3B-Prestaties vloeren'!$B$2,"Schrobben",IF(G262='3B-Prestaties vloeren'!$C$2,"Sprayen/conserveren",IF(G262='3B-Prestaties vloeren'!$D$2,"Sproei-extractie",0))))</f>
        <v>Sproei-extractie</v>
      </c>
      <c r="S262" s="385">
        <f>IF('2-Tarieven'!$B$28=0,0,IF(M262=0,0,'2-Tarieven'!$B$28*M262))</f>
        <v>0</v>
      </c>
      <c r="T262" s="386">
        <f>IF(AND(COUNTBLANK('3B-Prestaties vloeren'!$F$3:$H$24)=0,COUNTBLANK('3B-Prestaties vloeren'!$L$3:$M$24)=0),IF(R262="Sprayen/conserveren",I262/VLOOKUP(E262,'3B-Prestaties vloeren'!$A$3:$M$24,12,FALSE),0)*(P262-1),0)</f>
        <v>0</v>
      </c>
      <c r="U262" s="386">
        <f>IF(AND(COUNTBLANK('3B-Prestaties vloeren'!$F$3:$H$24)=0,COUNTBLANK('3B-Prestaties vloeren'!$L$3:$M$24)=0),IF(R262="Sprayen/conserveren",I262/VLOOKUP(E262,'3B-Prestaties vloeren'!$A$3:$M$24,13,FALSE),0),0)</f>
        <v>0</v>
      </c>
      <c r="V262" s="386">
        <f>IF(AND(COUNTBLANK('3B-Prestaties vloeren'!$F$3:$H$24)=0,COUNTBLANK('3B-Prestaties vloeren'!$L$3:$M$24)=0),IF(R262="schrobben",I262/VLOOKUP(E262,'3B-Prestaties vloeren'!$A$3:$H$24,6,FALSE),0)*P262,0)</f>
        <v>0</v>
      </c>
      <c r="W262" s="386">
        <f>IF(AND(COUNTBLANK('3B-Prestaties vloeren'!$F$3:$H$24)=0,COUNTBLANK('3B-Prestaties vloeren'!$L$3:$M$24)=0),IF(R262="sproei-extractie",I262/VLOOKUP(E262,'3B-Prestaties vloeren'!$A$3:$H$24,8,FALSE),0)*P262,0)</f>
        <v>0</v>
      </c>
    </row>
    <row r="263" spans="1:23" ht="15" hidden="1">
      <c r="A263" s="378" t="s">
        <v>677</v>
      </c>
      <c r="B263" s="378" t="s">
        <v>678</v>
      </c>
      <c r="C263" s="378">
        <v>2</v>
      </c>
      <c r="D263" s="378" t="s">
        <v>9</v>
      </c>
      <c r="E263" s="378" t="s">
        <v>5</v>
      </c>
      <c r="F263" s="378" t="s">
        <v>65</v>
      </c>
      <c r="G263" s="378" t="str">
        <f>VLOOKUP(F263,'3B-Prestaties vloeren'!$A$28:$B$118,2,0)</f>
        <v>Zacht onbehandeld</v>
      </c>
      <c r="H263" s="378"/>
      <c r="I263" s="378">
        <v>80.2</v>
      </c>
      <c r="J263" s="420" t="s">
        <v>749</v>
      </c>
      <c r="K263" s="426">
        <v>52</v>
      </c>
      <c r="L263" s="378">
        <f t="shared" si="12"/>
        <v>4170.4000000000005</v>
      </c>
      <c r="M263" s="380" t="str">
        <f>IF(K263=0,0,IF(COUNTBLANK('3A-Prestatie'!$B$2:$I$22)=0,L263/VLOOKUP(E263,'3A-Prestatie'!$A$1:$M$22,VLOOKUP(K263,'3A-Prestatie'!$A$28:$B$34,2,FALSE),FALSE),"3A prestatie invullen"))</f>
        <v>3A prestatie invullen</v>
      </c>
      <c r="N263" s="380">
        <f t="shared" si="14"/>
        <v>0</v>
      </c>
      <c r="O263" s="381" t="str">
        <f>VLOOKUP(E263,'3A-Prestatie'!A:M,13,FALSE)</f>
        <v>B</v>
      </c>
      <c r="P263" s="382">
        <f>IF(R263="Niet van toepassing",0,VLOOKUP(E263,'3B-Prestaties vloeren'!$A$3:$D$24,IF(G263="Hard onbehandeld",2,IF(G263="Hard behandeld",3,4)),FALSE))</f>
        <v>1</v>
      </c>
      <c r="Q263" s="383">
        <f t="shared" si="13"/>
        <v>0</v>
      </c>
      <c r="R263" s="384" t="str">
        <f>IF(K263=0,"Niet van toepassing",IF(G263='3B-Prestaties vloeren'!$B$2,"Schrobben",IF(G263='3B-Prestaties vloeren'!$C$2,"Sprayen/conserveren",IF(G263='3B-Prestaties vloeren'!$D$2,"Sproei-extractie",0))))</f>
        <v>Sproei-extractie</v>
      </c>
      <c r="S263" s="385">
        <f>IF('2-Tarieven'!$B$28=0,0,IF(M263=0,0,'2-Tarieven'!$B$28*M263))</f>
        <v>0</v>
      </c>
      <c r="T263" s="386">
        <f>IF(AND(COUNTBLANK('3B-Prestaties vloeren'!$F$3:$H$24)=0,COUNTBLANK('3B-Prestaties vloeren'!$L$3:$M$24)=0),IF(R263="Sprayen/conserveren",I263/VLOOKUP(E263,'3B-Prestaties vloeren'!$A$3:$M$24,12,FALSE),0)*(P263-1),0)</f>
        <v>0</v>
      </c>
      <c r="U263" s="386">
        <f>IF(AND(COUNTBLANK('3B-Prestaties vloeren'!$F$3:$H$24)=0,COUNTBLANK('3B-Prestaties vloeren'!$L$3:$M$24)=0),IF(R263="Sprayen/conserveren",I263/VLOOKUP(E263,'3B-Prestaties vloeren'!$A$3:$M$24,13,FALSE),0),0)</f>
        <v>0</v>
      </c>
      <c r="V263" s="386">
        <f>IF(AND(COUNTBLANK('3B-Prestaties vloeren'!$F$3:$H$24)=0,COUNTBLANK('3B-Prestaties vloeren'!$L$3:$M$24)=0),IF(R263="schrobben",I263/VLOOKUP(E263,'3B-Prestaties vloeren'!$A$3:$H$24,6,FALSE),0)*P263,0)</f>
        <v>0</v>
      </c>
      <c r="W263" s="386">
        <f>IF(AND(COUNTBLANK('3B-Prestaties vloeren'!$F$3:$H$24)=0,COUNTBLANK('3B-Prestaties vloeren'!$L$3:$M$24)=0),IF(R263="sproei-extractie",I263/VLOOKUP(E263,'3B-Prestaties vloeren'!$A$3:$H$24,8,FALSE),0)*P263,0)</f>
        <v>0</v>
      </c>
    </row>
    <row r="264" spans="1:23" ht="15" hidden="1">
      <c r="A264" s="378" t="s">
        <v>677</v>
      </c>
      <c r="B264" s="378" t="s">
        <v>678</v>
      </c>
      <c r="C264" s="378">
        <v>2</v>
      </c>
      <c r="D264" s="378" t="s">
        <v>10</v>
      </c>
      <c r="E264" s="378" t="s">
        <v>6</v>
      </c>
      <c r="F264" s="378" t="s">
        <v>416</v>
      </c>
      <c r="G264" s="378" t="str">
        <f>VLOOKUP(F264,'3B-Prestaties vloeren'!$A$28:$B$118,2,0)</f>
        <v>Hard onbehandeld</v>
      </c>
      <c r="H264" s="378" t="s">
        <v>686</v>
      </c>
      <c r="I264" s="378">
        <v>110.21</v>
      </c>
      <c r="J264" s="420" t="s">
        <v>749</v>
      </c>
      <c r="K264" s="426">
        <v>52</v>
      </c>
      <c r="L264" s="378">
        <f t="shared" si="12"/>
        <v>5730.92</v>
      </c>
      <c r="M264" s="380" t="str">
        <f>IF(K264=0,0,IF(COUNTBLANK('3A-Prestatie'!$B$2:$I$22)=0,L264/VLOOKUP(E264,'3A-Prestatie'!$A$1:$M$22,VLOOKUP(K264,'3A-Prestatie'!$A$28:$B$34,2,FALSE),FALSE),"3A prestatie invullen"))</f>
        <v>3A prestatie invullen</v>
      </c>
      <c r="N264" s="380">
        <f t="shared" si="14"/>
        <v>0</v>
      </c>
      <c r="O264" s="381" t="str">
        <f>VLOOKUP(E264,'3A-Prestatie'!A:M,13,FALSE)</f>
        <v>V</v>
      </c>
      <c r="P264" s="382">
        <f>IF(R264="Niet van toepassing",0,VLOOKUP(E264,'3B-Prestaties vloeren'!$A$3:$D$24,IF(G264="Hard onbehandeld",2,IF(G264="Hard behandeld",3,4)),FALSE))</f>
        <v>4</v>
      </c>
      <c r="Q264" s="383">
        <f t="shared" si="13"/>
        <v>0</v>
      </c>
      <c r="R264" s="384" t="str">
        <f>IF(K264=0,"Niet van toepassing",IF(G264='3B-Prestaties vloeren'!$B$2,"Schrobben",IF(G264='3B-Prestaties vloeren'!$C$2,"Sprayen/conserveren",IF(G264='3B-Prestaties vloeren'!$D$2,"Sproei-extractie",0))))</f>
        <v>Schrobben</v>
      </c>
      <c r="S264" s="385">
        <f>IF('2-Tarieven'!$B$28=0,0,IF(M264=0,0,'2-Tarieven'!$B$28*M264))</f>
        <v>0</v>
      </c>
      <c r="T264" s="386">
        <f>IF(AND(COUNTBLANK('3B-Prestaties vloeren'!$F$3:$H$24)=0,COUNTBLANK('3B-Prestaties vloeren'!$L$3:$M$24)=0),IF(R264="Sprayen/conserveren",I264/VLOOKUP(E264,'3B-Prestaties vloeren'!$A$3:$M$24,12,FALSE),0)*(P264-1),0)</f>
        <v>0</v>
      </c>
      <c r="U264" s="386">
        <f>IF(AND(COUNTBLANK('3B-Prestaties vloeren'!$F$3:$H$24)=0,COUNTBLANK('3B-Prestaties vloeren'!$L$3:$M$24)=0),IF(R264="Sprayen/conserveren",I264/VLOOKUP(E264,'3B-Prestaties vloeren'!$A$3:$M$24,13,FALSE),0),0)</f>
        <v>0</v>
      </c>
      <c r="V264" s="386">
        <f>IF(AND(COUNTBLANK('3B-Prestaties vloeren'!$F$3:$H$24)=0,COUNTBLANK('3B-Prestaties vloeren'!$L$3:$M$24)=0),IF(R264="schrobben",I264/VLOOKUP(E264,'3B-Prestaties vloeren'!$A$3:$H$24,6,FALSE),0)*P264,0)</f>
        <v>0</v>
      </c>
      <c r="W264" s="386">
        <f>IF(AND(COUNTBLANK('3B-Prestaties vloeren'!$F$3:$H$24)=0,COUNTBLANK('3B-Prestaties vloeren'!$L$3:$M$24)=0),IF(R264="sproei-extractie",I264/VLOOKUP(E264,'3B-Prestaties vloeren'!$A$3:$H$24,8,FALSE),0)*P264,0)</f>
        <v>0</v>
      </c>
    </row>
    <row r="265" spans="1:23" ht="15" hidden="1">
      <c r="A265" s="378" t="s">
        <v>677</v>
      </c>
      <c r="B265" s="378" t="s">
        <v>678</v>
      </c>
      <c r="C265" s="378">
        <v>2</v>
      </c>
      <c r="D265" s="378" t="s">
        <v>11</v>
      </c>
      <c r="E265" s="378" t="s">
        <v>653</v>
      </c>
      <c r="F265" s="378" t="s">
        <v>647</v>
      </c>
      <c r="G265" s="378" t="str">
        <f>VLOOKUP(F265,'3B-Prestaties vloeren'!$A$28:$B$118,2,0)</f>
        <v>Hard onbehandeld</v>
      </c>
      <c r="H265" s="378"/>
      <c r="I265" s="378">
        <v>18.64</v>
      </c>
      <c r="J265" s="421" t="s">
        <v>511</v>
      </c>
      <c r="K265" s="426">
        <v>255</v>
      </c>
      <c r="L265" s="378">
        <f t="shared" si="12"/>
        <v>4753.2</v>
      </c>
      <c r="M265" s="380" t="str">
        <f>IF(K265=0,0,IF(COUNTBLANK('3A-Prestatie'!$B$2:$I$22)=0,L265/VLOOKUP(E265,'3A-Prestatie'!$A$1:$M$22,VLOOKUP(K265,'3A-Prestatie'!$A$28:$B$34,2,FALSE),FALSE),"3A prestatie invullen"))</f>
        <v>3A prestatie invullen</v>
      </c>
      <c r="N265" s="380">
        <f t="shared" si="14"/>
        <v>0</v>
      </c>
      <c r="O265" s="381" t="str">
        <f>VLOOKUP(E265,'3A-Prestatie'!A:M,13,FALSE)</f>
        <v>S</v>
      </c>
      <c r="P265" s="382">
        <f>IF(R265="Niet van toepassing",0,VLOOKUP(E265,'3B-Prestaties vloeren'!$A$3:$D$24,IF(G265="Hard onbehandeld",2,IF(G265="Hard behandeld",3,4)),FALSE))</f>
        <v>52</v>
      </c>
      <c r="Q265" s="383">
        <f t="shared" si="13"/>
        <v>0</v>
      </c>
      <c r="R265" s="384" t="str">
        <f>IF(K265=0,"Niet van toepassing",IF(G265='3B-Prestaties vloeren'!$B$2,"Schrobben",IF(G265='3B-Prestaties vloeren'!$C$2,"Sprayen/conserveren",IF(G265='3B-Prestaties vloeren'!$D$2,"Sproei-extractie",0))))</f>
        <v>Schrobben</v>
      </c>
      <c r="S265" s="385">
        <f>IF('2-Tarieven'!$B$28=0,0,IF(M265=0,0,'2-Tarieven'!$B$28*M265))</f>
        <v>0</v>
      </c>
      <c r="T265" s="386">
        <f>IF(AND(COUNTBLANK('3B-Prestaties vloeren'!$F$3:$H$24)=0,COUNTBLANK('3B-Prestaties vloeren'!$L$3:$M$24)=0),IF(R265="Sprayen/conserveren",I265/VLOOKUP(E265,'3B-Prestaties vloeren'!$A$3:$M$24,12,FALSE),0)*(P265-1),0)</f>
        <v>0</v>
      </c>
      <c r="U265" s="386">
        <f>IF(AND(COUNTBLANK('3B-Prestaties vloeren'!$F$3:$H$24)=0,COUNTBLANK('3B-Prestaties vloeren'!$L$3:$M$24)=0),IF(R265="Sprayen/conserveren",I265/VLOOKUP(E265,'3B-Prestaties vloeren'!$A$3:$M$24,13,FALSE),0),0)</f>
        <v>0</v>
      </c>
      <c r="V265" s="386">
        <f>IF(AND(COUNTBLANK('3B-Prestaties vloeren'!$F$3:$H$24)=0,COUNTBLANK('3B-Prestaties vloeren'!$L$3:$M$24)=0),IF(R265="schrobben",I265/VLOOKUP(E265,'3B-Prestaties vloeren'!$A$3:$H$24,6,FALSE),0)*P265,0)</f>
        <v>0</v>
      </c>
      <c r="W265" s="386">
        <f>IF(AND(COUNTBLANK('3B-Prestaties vloeren'!$F$3:$H$24)=0,COUNTBLANK('3B-Prestaties vloeren'!$L$3:$M$24)=0),IF(R265="sproei-extractie",I265/VLOOKUP(E265,'3B-Prestaties vloeren'!$A$3:$H$24,8,FALSE),0)*P265,0)</f>
        <v>0</v>
      </c>
    </row>
    <row r="266" spans="1:23" ht="15" hidden="1">
      <c r="A266" s="378" t="s">
        <v>677</v>
      </c>
      <c r="B266" s="378" t="s">
        <v>678</v>
      </c>
      <c r="C266" s="378">
        <v>2</v>
      </c>
      <c r="D266" s="378" t="s">
        <v>693</v>
      </c>
      <c r="E266" s="378" t="s">
        <v>728</v>
      </c>
      <c r="F266" s="378" t="s">
        <v>647</v>
      </c>
      <c r="G266" s="378" t="str">
        <f>VLOOKUP(F266,'3B-Prestaties vloeren'!$A$28:$B$118,2,0)</f>
        <v>Hard onbehandeld</v>
      </c>
      <c r="H266" s="378" t="s">
        <v>330</v>
      </c>
      <c r="I266" s="416" t="s">
        <v>657</v>
      </c>
      <c r="J266" s="422"/>
      <c r="K266" s="426">
        <v>0</v>
      </c>
      <c r="L266" s="378">
        <f t="shared" si="12"/>
        <v>0</v>
      </c>
      <c r="M266" s="380">
        <f>IF(K266=0,0,IF(COUNTBLANK('3A-Prestatie'!$B$2:$I$22)=0,L266/VLOOKUP(E266,'3A-Prestatie'!$A$1:$M$22,VLOOKUP(K266,'3A-Prestatie'!$A$28:$B$34,2,FALSE),FALSE),"3A prestatie invullen"))</f>
        <v>0</v>
      </c>
      <c r="N266" s="380">
        <f t="shared" si="14"/>
        <v>0</v>
      </c>
      <c r="O266" s="381" t="str">
        <f>VLOOKUP(E266,'3A-Prestatie'!A:M,13,FALSE)</f>
        <v>N.v.t.</v>
      </c>
      <c r="P266" s="382">
        <f>IF(R266="Niet van toepassing",0,VLOOKUP(E266,'3B-Prestaties vloeren'!$A$3:$D$24,IF(G266="Hard onbehandeld",2,IF(G266="Hard behandeld",3,4)),FALSE))</f>
        <v>0</v>
      </c>
      <c r="Q266" s="383">
        <f t="shared" si="13"/>
        <v>0</v>
      </c>
      <c r="R266" s="384" t="str">
        <f>IF(K266=0,"Niet van toepassing",IF(G266='3B-Prestaties vloeren'!$B$2,"Schrobben",IF(G266='3B-Prestaties vloeren'!$C$2,"Sprayen/conserveren",IF(G266='3B-Prestaties vloeren'!$D$2,"Sproei-extractie",0))))</f>
        <v>Niet van toepassing</v>
      </c>
      <c r="S266" s="385">
        <f>IF('2-Tarieven'!$B$28=0,0,IF(M266=0,0,'2-Tarieven'!$B$28*M266))</f>
        <v>0</v>
      </c>
      <c r="T266" s="386">
        <f>IF(AND(COUNTBLANK('3B-Prestaties vloeren'!$F$3:$H$24)=0,COUNTBLANK('3B-Prestaties vloeren'!$L$3:$M$24)=0),IF(R266="Sprayen/conserveren",I266/VLOOKUP(E266,'3B-Prestaties vloeren'!$A$3:$M$24,12,FALSE),0)*(P266-1),0)</f>
        <v>0</v>
      </c>
      <c r="U266" s="386">
        <f>IF(AND(COUNTBLANK('3B-Prestaties vloeren'!$F$3:$H$24)=0,COUNTBLANK('3B-Prestaties vloeren'!$L$3:$M$24)=0),IF(R266="Sprayen/conserveren",I266/VLOOKUP(E266,'3B-Prestaties vloeren'!$A$3:$M$24,13,FALSE),0),0)</f>
        <v>0</v>
      </c>
      <c r="V266" s="386">
        <f>IF(AND(COUNTBLANK('3B-Prestaties vloeren'!$F$3:$H$24)=0,COUNTBLANK('3B-Prestaties vloeren'!$L$3:$M$24)=0),IF(R266="schrobben",I266/VLOOKUP(E266,'3B-Prestaties vloeren'!$A$3:$H$24,6,FALSE),0)*P266,0)</f>
        <v>0</v>
      </c>
      <c r="W266" s="386">
        <f>IF(AND(COUNTBLANK('3B-Prestaties vloeren'!$F$3:$H$24)=0,COUNTBLANK('3B-Prestaties vloeren'!$L$3:$M$24)=0),IF(R266="sproei-extractie",I266/VLOOKUP(E266,'3B-Prestaties vloeren'!$A$3:$H$24,8,FALSE),0)*P266,0)</f>
        <v>0</v>
      </c>
    </row>
    <row r="267" spans="1:23" ht="15" hidden="1">
      <c r="A267" s="378" t="s">
        <v>677</v>
      </c>
      <c r="B267" s="378" t="s">
        <v>678</v>
      </c>
      <c r="C267" s="378">
        <v>2</v>
      </c>
      <c r="D267" s="378" t="s">
        <v>12</v>
      </c>
      <c r="E267" s="378" t="s">
        <v>653</v>
      </c>
      <c r="F267" s="378" t="s">
        <v>647</v>
      </c>
      <c r="G267" s="378" t="str">
        <f>VLOOKUP(F267,'3B-Prestaties vloeren'!$A$28:$B$118,2,0)</f>
        <v>Hard onbehandeld</v>
      </c>
      <c r="H267" s="378"/>
      <c r="I267" s="378">
        <v>3.7</v>
      </c>
      <c r="J267" s="421" t="s">
        <v>511</v>
      </c>
      <c r="K267" s="426">
        <v>255</v>
      </c>
      <c r="L267" s="378">
        <f t="shared" si="12"/>
        <v>943.5</v>
      </c>
      <c r="M267" s="380" t="str">
        <f>IF(K267=0,0,IF(COUNTBLANK('3A-Prestatie'!$B$2:$I$22)=0,L267/VLOOKUP(E267,'3A-Prestatie'!$A$1:$M$22,VLOOKUP(K267,'3A-Prestatie'!$A$28:$B$34,2,FALSE),FALSE),"3A prestatie invullen"))</f>
        <v>3A prestatie invullen</v>
      </c>
      <c r="N267" s="380">
        <f t="shared" si="14"/>
        <v>0</v>
      </c>
      <c r="O267" s="381" t="str">
        <f>VLOOKUP(E267,'3A-Prestatie'!A:M,13,FALSE)</f>
        <v>S</v>
      </c>
      <c r="P267" s="382">
        <f>IF(R267="Niet van toepassing",0,VLOOKUP(E267,'3B-Prestaties vloeren'!$A$3:$D$24,IF(G267="Hard onbehandeld",2,IF(G267="Hard behandeld",3,4)),FALSE))</f>
        <v>52</v>
      </c>
      <c r="Q267" s="383">
        <f t="shared" si="13"/>
        <v>0</v>
      </c>
      <c r="R267" s="384" t="str">
        <f>IF(K267=0,"Niet van toepassing",IF(G267='3B-Prestaties vloeren'!$B$2,"Schrobben",IF(G267='3B-Prestaties vloeren'!$C$2,"Sprayen/conserveren",IF(G267='3B-Prestaties vloeren'!$D$2,"Sproei-extractie",0))))</f>
        <v>Schrobben</v>
      </c>
      <c r="S267" s="385">
        <f>IF('2-Tarieven'!$B$28=0,0,IF(M267=0,0,'2-Tarieven'!$B$28*M267))</f>
        <v>0</v>
      </c>
      <c r="T267" s="386">
        <f>IF(AND(COUNTBLANK('3B-Prestaties vloeren'!$F$3:$H$24)=0,COUNTBLANK('3B-Prestaties vloeren'!$L$3:$M$24)=0),IF(R267="Sprayen/conserveren",I267/VLOOKUP(E267,'3B-Prestaties vloeren'!$A$3:$M$24,12,FALSE),0)*(P267-1),0)</f>
        <v>0</v>
      </c>
      <c r="U267" s="386">
        <f>IF(AND(COUNTBLANK('3B-Prestaties vloeren'!$F$3:$H$24)=0,COUNTBLANK('3B-Prestaties vloeren'!$L$3:$M$24)=0),IF(R267="Sprayen/conserveren",I267/VLOOKUP(E267,'3B-Prestaties vloeren'!$A$3:$M$24,13,FALSE),0),0)</f>
        <v>0</v>
      </c>
      <c r="V267" s="386">
        <f>IF(AND(COUNTBLANK('3B-Prestaties vloeren'!$F$3:$H$24)=0,COUNTBLANK('3B-Prestaties vloeren'!$L$3:$M$24)=0),IF(R267="schrobben",I267/VLOOKUP(E267,'3B-Prestaties vloeren'!$A$3:$H$24,6,FALSE),0)*P267,0)</f>
        <v>0</v>
      </c>
      <c r="W267" s="386">
        <f>IF(AND(COUNTBLANK('3B-Prestaties vloeren'!$F$3:$H$24)=0,COUNTBLANK('3B-Prestaties vloeren'!$L$3:$M$24)=0),IF(R267="sproei-extractie",I267/VLOOKUP(E267,'3B-Prestaties vloeren'!$A$3:$H$24,8,FALSE),0)*P267,0)</f>
        <v>0</v>
      </c>
    </row>
    <row r="268" spans="1:23" ht="15" hidden="1">
      <c r="A268" s="378" t="s">
        <v>677</v>
      </c>
      <c r="B268" s="378" t="s">
        <v>678</v>
      </c>
      <c r="C268" s="378">
        <v>2</v>
      </c>
      <c r="D268" s="378" t="s">
        <v>694</v>
      </c>
      <c r="E268" s="378" t="s">
        <v>728</v>
      </c>
      <c r="F268" s="378" t="s">
        <v>647</v>
      </c>
      <c r="G268" s="378" t="str">
        <f>VLOOKUP(F268,'3B-Prestaties vloeren'!$A$28:$B$118,2,0)</f>
        <v>Hard onbehandeld</v>
      </c>
      <c r="H268" s="378" t="s">
        <v>330</v>
      </c>
      <c r="I268" s="416" t="s">
        <v>657</v>
      </c>
      <c r="J268" s="422"/>
      <c r="K268" s="426">
        <v>0</v>
      </c>
      <c r="L268" s="378">
        <f t="shared" si="12"/>
        <v>0</v>
      </c>
      <c r="M268" s="380">
        <f>IF(K268=0,0,IF(COUNTBLANK('3A-Prestatie'!$B$2:$I$22)=0,L268/VLOOKUP(E268,'3A-Prestatie'!$A$1:$M$22,VLOOKUP(K268,'3A-Prestatie'!$A$28:$B$34,2,FALSE),FALSE),"3A prestatie invullen"))</f>
        <v>0</v>
      </c>
      <c r="N268" s="380">
        <f t="shared" si="14"/>
        <v>0</v>
      </c>
      <c r="O268" s="381" t="str">
        <f>VLOOKUP(E268,'3A-Prestatie'!A:M,13,FALSE)</f>
        <v>N.v.t.</v>
      </c>
      <c r="P268" s="382">
        <f>IF(R268="Niet van toepassing",0,VLOOKUP(E268,'3B-Prestaties vloeren'!$A$3:$D$24,IF(G268="Hard onbehandeld",2,IF(G268="Hard behandeld",3,4)),FALSE))</f>
        <v>0</v>
      </c>
      <c r="Q268" s="383">
        <f t="shared" si="13"/>
        <v>0</v>
      </c>
      <c r="R268" s="384" t="str">
        <f>IF(K268=0,"Niet van toepassing",IF(G268='3B-Prestaties vloeren'!$B$2,"Schrobben",IF(G268='3B-Prestaties vloeren'!$C$2,"Sprayen/conserveren",IF(G268='3B-Prestaties vloeren'!$D$2,"Sproei-extractie",0))))</f>
        <v>Niet van toepassing</v>
      </c>
      <c r="S268" s="385">
        <f>IF('2-Tarieven'!$B$28=0,0,IF(M268=0,0,'2-Tarieven'!$B$28*M268))</f>
        <v>0</v>
      </c>
      <c r="T268" s="386">
        <f>IF(AND(COUNTBLANK('3B-Prestaties vloeren'!$F$3:$H$24)=0,COUNTBLANK('3B-Prestaties vloeren'!$L$3:$M$24)=0),IF(R268="Sprayen/conserveren",I268/VLOOKUP(E268,'3B-Prestaties vloeren'!$A$3:$M$24,12,FALSE),0)*(P268-1),0)</f>
        <v>0</v>
      </c>
      <c r="U268" s="386">
        <f>IF(AND(COUNTBLANK('3B-Prestaties vloeren'!$F$3:$H$24)=0,COUNTBLANK('3B-Prestaties vloeren'!$L$3:$M$24)=0),IF(R268="Sprayen/conserveren",I268/VLOOKUP(E268,'3B-Prestaties vloeren'!$A$3:$M$24,13,FALSE),0),0)</f>
        <v>0</v>
      </c>
      <c r="V268" s="386">
        <f>IF(AND(COUNTBLANK('3B-Prestaties vloeren'!$F$3:$H$24)=0,COUNTBLANK('3B-Prestaties vloeren'!$L$3:$M$24)=0),IF(R268="schrobben",I268/VLOOKUP(E268,'3B-Prestaties vloeren'!$A$3:$H$24,6,FALSE),0)*P268,0)</f>
        <v>0</v>
      </c>
      <c r="W268" s="386">
        <f>IF(AND(COUNTBLANK('3B-Prestaties vloeren'!$F$3:$H$24)=0,COUNTBLANK('3B-Prestaties vloeren'!$L$3:$M$24)=0),IF(R268="sproei-extractie",I268/VLOOKUP(E268,'3B-Prestaties vloeren'!$A$3:$H$24,8,FALSE),0)*P268,0)</f>
        <v>0</v>
      </c>
    </row>
    <row r="269" spans="1:23" ht="15" hidden="1">
      <c r="A269" s="378" t="s">
        <v>677</v>
      </c>
      <c r="B269" s="378" t="s">
        <v>678</v>
      </c>
      <c r="C269" s="378">
        <v>2</v>
      </c>
      <c r="D269" s="378" t="s">
        <v>380</v>
      </c>
      <c r="E269" s="378" t="s">
        <v>728</v>
      </c>
      <c r="F269" s="378" t="s">
        <v>695</v>
      </c>
      <c r="G269" s="378" t="str">
        <f>VLOOKUP(F269,'3B-Prestaties vloeren'!$A$28:$B$118,2,0)</f>
        <v>N.v.t.</v>
      </c>
      <c r="H269" s="378" t="s">
        <v>287</v>
      </c>
      <c r="I269" s="378">
        <v>2.37</v>
      </c>
      <c r="J269" s="419"/>
      <c r="K269" s="426">
        <v>0</v>
      </c>
      <c r="L269" s="378">
        <f t="shared" si="12"/>
        <v>0</v>
      </c>
      <c r="M269" s="380">
        <f>IF(K269=0,0,IF(COUNTBLANK('3A-Prestatie'!$B$2:$I$22)=0,L269/VLOOKUP(E269,'3A-Prestatie'!$A$1:$M$22,VLOOKUP(K269,'3A-Prestatie'!$A$28:$B$34,2,FALSE),FALSE),"3A prestatie invullen"))</f>
        <v>0</v>
      </c>
      <c r="N269" s="380">
        <f t="shared" si="14"/>
        <v>0</v>
      </c>
      <c r="O269" s="381" t="str">
        <f>VLOOKUP(E269,'3A-Prestatie'!A:M,13,FALSE)</f>
        <v>N.v.t.</v>
      </c>
      <c r="P269" s="382">
        <f>IF(R269="Niet van toepassing",0,VLOOKUP(E269,'3B-Prestaties vloeren'!$A$3:$D$24,IF(G269="Hard onbehandeld",2,IF(G269="Hard behandeld",3,4)),FALSE))</f>
        <v>0</v>
      </c>
      <c r="Q269" s="383">
        <f t="shared" si="13"/>
        <v>0</v>
      </c>
      <c r="R269" s="384" t="str">
        <f>IF(K269=0,"Niet van toepassing",IF(G269='3B-Prestaties vloeren'!$B$2,"Schrobben",IF(G269='3B-Prestaties vloeren'!$C$2,"Sprayen/conserveren",IF(G269='3B-Prestaties vloeren'!$D$2,"Sproei-extractie",0))))</f>
        <v>Niet van toepassing</v>
      </c>
      <c r="S269" s="385">
        <f>IF('2-Tarieven'!$B$28=0,0,IF(M269=0,0,'2-Tarieven'!$B$28*M269))</f>
        <v>0</v>
      </c>
      <c r="T269" s="386">
        <f>IF(AND(COUNTBLANK('3B-Prestaties vloeren'!$F$3:$H$24)=0,COUNTBLANK('3B-Prestaties vloeren'!$L$3:$M$24)=0),IF(R269="Sprayen/conserveren",I269/VLOOKUP(E269,'3B-Prestaties vloeren'!$A$3:$M$24,12,FALSE),0)*(P269-1),0)</f>
        <v>0</v>
      </c>
      <c r="U269" s="386">
        <f>IF(AND(COUNTBLANK('3B-Prestaties vloeren'!$F$3:$H$24)=0,COUNTBLANK('3B-Prestaties vloeren'!$L$3:$M$24)=0),IF(R269="Sprayen/conserveren",I269/VLOOKUP(E269,'3B-Prestaties vloeren'!$A$3:$M$24,13,FALSE),0),0)</f>
        <v>0</v>
      </c>
      <c r="V269" s="386">
        <f>IF(AND(COUNTBLANK('3B-Prestaties vloeren'!$F$3:$H$24)=0,COUNTBLANK('3B-Prestaties vloeren'!$L$3:$M$24)=0),IF(R269="schrobben",I269/VLOOKUP(E269,'3B-Prestaties vloeren'!$A$3:$H$24,6,FALSE),0)*P269,0)</f>
        <v>0</v>
      </c>
      <c r="W269" s="386">
        <f>IF(AND(COUNTBLANK('3B-Prestaties vloeren'!$F$3:$H$24)=0,COUNTBLANK('3B-Prestaties vloeren'!$L$3:$M$24)=0),IF(R269="sproei-extractie",I269/VLOOKUP(E269,'3B-Prestaties vloeren'!$A$3:$H$24,8,FALSE),0)*P269,0)</f>
        <v>0</v>
      </c>
    </row>
    <row r="270" spans="1:23" ht="15" hidden="1">
      <c r="A270" s="378" t="s">
        <v>677</v>
      </c>
      <c r="B270" s="378" t="s">
        <v>678</v>
      </c>
      <c r="C270" s="378">
        <v>2</v>
      </c>
      <c r="D270" s="378" t="s">
        <v>381</v>
      </c>
      <c r="E270" s="378" t="s">
        <v>372</v>
      </c>
      <c r="F270" s="378" t="s">
        <v>416</v>
      </c>
      <c r="G270" s="378" t="str">
        <f>VLOOKUP(F270,'3B-Prestaties vloeren'!$A$28:$B$118,2,0)</f>
        <v>Hard onbehandeld</v>
      </c>
      <c r="H270" s="378" t="s">
        <v>686</v>
      </c>
      <c r="I270" s="378">
        <v>1.17</v>
      </c>
      <c r="J270" s="420" t="s">
        <v>749</v>
      </c>
      <c r="K270" s="426">
        <v>255</v>
      </c>
      <c r="L270" s="378">
        <f t="shared" si="12"/>
        <v>298.34999999999997</v>
      </c>
      <c r="M270" s="380" t="str">
        <f>IF(K270=0,0,IF(COUNTBLANK('3A-Prestatie'!$B$2:$I$22)=0,L270/VLOOKUP(E270,'3A-Prestatie'!$A$1:$M$22,VLOOKUP(K270,'3A-Prestatie'!$A$28:$B$34,2,FALSE),FALSE),"3A prestatie invullen"))</f>
        <v>3A prestatie invullen</v>
      </c>
      <c r="N270" s="380">
        <f t="shared" si="14"/>
        <v>0</v>
      </c>
      <c r="O270" s="381" t="str">
        <f>VLOOKUP(E270,'3A-Prestatie'!A:M,13,FALSE)</f>
        <v>V</v>
      </c>
      <c r="P270" s="382">
        <f>IF(R270="Niet van toepassing",0,VLOOKUP(E270,'3B-Prestaties vloeren'!$A$3:$D$24,IF(G270="Hard onbehandeld",2,IF(G270="Hard behandeld",3,4)),FALSE))</f>
        <v>12</v>
      </c>
      <c r="Q270" s="383">
        <f t="shared" si="13"/>
        <v>0</v>
      </c>
      <c r="R270" s="384" t="str">
        <f>IF(K270=0,"Niet van toepassing",IF(G270='3B-Prestaties vloeren'!$B$2,"Schrobben",IF(G270='3B-Prestaties vloeren'!$C$2,"Sprayen/conserveren",IF(G270='3B-Prestaties vloeren'!$D$2,"Sproei-extractie",0))))</f>
        <v>Schrobben</v>
      </c>
      <c r="S270" s="385">
        <f>IF('2-Tarieven'!$B$28=0,0,IF(M270=0,0,'2-Tarieven'!$B$28*M270))</f>
        <v>0</v>
      </c>
      <c r="T270" s="386">
        <f>IF(AND(COUNTBLANK('3B-Prestaties vloeren'!$F$3:$H$24)=0,COUNTBLANK('3B-Prestaties vloeren'!$L$3:$M$24)=0),IF(R270="Sprayen/conserveren",I270/VLOOKUP(E270,'3B-Prestaties vloeren'!$A$3:$M$24,12,FALSE),0)*(P270-1),0)</f>
        <v>0</v>
      </c>
      <c r="U270" s="386">
        <f>IF(AND(COUNTBLANK('3B-Prestaties vloeren'!$F$3:$H$24)=0,COUNTBLANK('3B-Prestaties vloeren'!$L$3:$M$24)=0),IF(R270="Sprayen/conserveren",I270/VLOOKUP(E270,'3B-Prestaties vloeren'!$A$3:$M$24,13,FALSE),0),0)</f>
        <v>0</v>
      </c>
      <c r="V270" s="386">
        <f>IF(AND(COUNTBLANK('3B-Prestaties vloeren'!$F$3:$H$24)=0,COUNTBLANK('3B-Prestaties vloeren'!$L$3:$M$24)=0),IF(R270="schrobben",I270/VLOOKUP(E270,'3B-Prestaties vloeren'!$A$3:$H$24,6,FALSE),0)*P270,0)</f>
        <v>0</v>
      </c>
      <c r="W270" s="386">
        <f>IF(AND(COUNTBLANK('3B-Prestaties vloeren'!$F$3:$H$24)=0,COUNTBLANK('3B-Prestaties vloeren'!$L$3:$M$24)=0),IF(R270="sproei-extractie",I270/VLOOKUP(E270,'3B-Prestaties vloeren'!$A$3:$H$24,8,FALSE),0)*P270,0)</f>
        <v>0</v>
      </c>
    </row>
    <row r="271" spans="1:23" ht="15" hidden="1">
      <c r="A271" s="378" t="s">
        <v>677</v>
      </c>
      <c r="B271" s="378" t="s">
        <v>678</v>
      </c>
      <c r="C271" s="378">
        <v>2</v>
      </c>
      <c r="D271" s="378" t="s">
        <v>382</v>
      </c>
      <c r="E271" s="378" t="s">
        <v>372</v>
      </c>
      <c r="F271" s="378" t="s">
        <v>647</v>
      </c>
      <c r="G271" s="378" t="str">
        <f>VLOOKUP(F271,'3B-Prestaties vloeren'!$A$28:$B$118,2,0)</f>
        <v>Hard onbehandeld</v>
      </c>
      <c r="H271" s="378"/>
      <c r="I271" s="378">
        <v>5.35</v>
      </c>
      <c r="J271" s="420" t="s">
        <v>749</v>
      </c>
      <c r="K271" s="426">
        <v>255</v>
      </c>
      <c r="L271" s="378">
        <f t="shared" si="12"/>
        <v>1364.25</v>
      </c>
      <c r="M271" s="380" t="str">
        <f>IF(K271=0,0,IF(COUNTBLANK('3A-Prestatie'!$B$2:$I$22)=0,L271/VLOOKUP(E271,'3A-Prestatie'!$A$1:$M$22,VLOOKUP(K271,'3A-Prestatie'!$A$28:$B$34,2,FALSE),FALSE),"3A prestatie invullen"))</f>
        <v>3A prestatie invullen</v>
      </c>
      <c r="N271" s="380">
        <f t="shared" si="14"/>
        <v>0</v>
      </c>
      <c r="O271" s="381" t="str">
        <f>VLOOKUP(E271,'3A-Prestatie'!A:M,13,FALSE)</f>
        <v>V</v>
      </c>
      <c r="P271" s="382">
        <f>IF(R271="Niet van toepassing",0,VLOOKUP(E271,'3B-Prestaties vloeren'!$A$3:$D$24,IF(G271="Hard onbehandeld",2,IF(G271="Hard behandeld",3,4)),FALSE))</f>
        <v>12</v>
      </c>
      <c r="Q271" s="383">
        <f t="shared" si="13"/>
        <v>0</v>
      </c>
      <c r="R271" s="384" t="str">
        <f>IF(K271=0,"Niet van toepassing",IF(G271='3B-Prestaties vloeren'!$B$2,"Schrobben",IF(G271='3B-Prestaties vloeren'!$C$2,"Sprayen/conserveren",IF(G271='3B-Prestaties vloeren'!$D$2,"Sproei-extractie",0))))</f>
        <v>Schrobben</v>
      </c>
      <c r="S271" s="385">
        <f>IF('2-Tarieven'!$B$28=0,0,IF(M271=0,0,'2-Tarieven'!$B$28*M271))</f>
        <v>0</v>
      </c>
      <c r="T271" s="386">
        <f>IF(AND(COUNTBLANK('3B-Prestaties vloeren'!$F$3:$H$24)=0,COUNTBLANK('3B-Prestaties vloeren'!$L$3:$M$24)=0),IF(R271="Sprayen/conserveren",I271/VLOOKUP(E271,'3B-Prestaties vloeren'!$A$3:$M$24,12,FALSE),0)*(P271-1),0)</f>
        <v>0</v>
      </c>
      <c r="U271" s="386">
        <f>IF(AND(COUNTBLANK('3B-Prestaties vloeren'!$F$3:$H$24)=0,COUNTBLANK('3B-Prestaties vloeren'!$L$3:$M$24)=0),IF(R271="Sprayen/conserveren",I271/VLOOKUP(E271,'3B-Prestaties vloeren'!$A$3:$M$24,13,FALSE),0),0)</f>
        <v>0</v>
      </c>
      <c r="V271" s="386">
        <f>IF(AND(COUNTBLANK('3B-Prestaties vloeren'!$F$3:$H$24)=0,COUNTBLANK('3B-Prestaties vloeren'!$L$3:$M$24)=0),IF(R271="schrobben",I271/VLOOKUP(E271,'3B-Prestaties vloeren'!$A$3:$H$24,6,FALSE),0)*P271,0)</f>
        <v>0</v>
      </c>
      <c r="W271" s="386">
        <f>IF(AND(COUNTBLANK('3B-Prestaties vloeren'!$F$3:$H$24)=0,COUNTBLANK('3B-Prestaties vloeren'!$L$3:$M$24)=0),IF(R271="sproei-extractie",I271/VLOOKUP(E271,'3B-Prestaties vloeren'!$A$3:$H$24,8,FALSE),0)*P271,0)</f>
        <v>0</v>
      </c>
    </row>
    <row r="272" spans="1:23" ht="15" hidden="1">
      <c r="A272" s="378" t="s">
        <v>677</v>
      </c>
      <c r="B272" s="378" t="s">
        <v>678</v>
      </c>
      <c r="C272" s="378">
        <v>2</v>
      </c>
      <c r="D272" s="378" t="s">
        <v>383</v>
      </c>
      <c r="E272" s="378" t="s">
        <v>302</v>
      </c>
      <c r="F272" s="378" t="s">
        <v>647</v>
      </c>
      <c r="G272" s="378" t="str">
        <f>VLOOKUP(F272,'3B-Prestaties vloeren'!$A$28:$B$118,2,0)</f>
        <v>Hard onbehandeld</v>
      </c>
      <c r="H272" s="378"/>
      <c r="I272" s="378">
        <v>2.34</v>
      </c>
      <c r="J272" s="419"/>
      <c r="K272" s="426">
        <v>0</v>
      </c>
      <c r="L272" s="378">
        <f t="shared" si="12"/>
        <v>0</v>
      </c>
      <c r="M272" s="380">
        <f>IF(K272=0,0,IF(COUNTBLANK('3A-Prestatie'!$B$2:$I$22)=0,L272/VLOOKUP(E272,'3A-Prestatie'!$A$1:$M$22,VLOOKUP(K272,'3A-Prestatie'!$A$28:$B$34,2,FALSE),FALSE),"3A prestatie invullen"))</f>
        <v>0</v>
      </c>
      <c r="N272" s="380">
        <f t="shared" si="14"/>
        <v>0</v>
      </c>
      <c r="O272" s="381" t="str">
        <f>VLOOKUP(E272,'3A-Prestatie'!A:M,13,FALSE)</f>
        <v>S</v>
      </c>
      <c r="P272" s="382">
        <f>IF(R272="Niet van toepassing",0,VLOOKUP(E272,'3B-Prestaties vloeren'!$A$3:$D$24,IF(G272="Hard onbehandeld",2,IF(G272="Hard behandeld",3,4)),FALSE))</f>
        <v>0</v>
      </c>
      <c r="Q272" s="383">
        <f t="shared" si="13"/>
        <v>0</v>
      </c>
      <c r="R272" s="384" t="str">
        <f>IF(K272=0,"Niet van toepassing",IF(G272='3B-Prestaties vloeren'!$B$2,"Schrobben",IF(G272='3B-Prestaties vloeren'!$C$2,"Sprayen/conserveren",IF(G272='3B-Prestaties vloeren'!$D$2,"Sproei-extractie",0))))</f>
        <v>Niet van toepassing</v>
      </c>
      <c r="S272" s="385">
        <f>IF('2-Tarieven'!$B$28=0,0,IF(M272=0,0,'2-Tarieven'!$B$28*M272))</f>
        <v>0</v>
      </c>
      <c r="T272" s="386">
        <f>IF(AND(COUNTBLANK('3B-Prestaties vloeren'!$F$3:$H$24)=0,COUNTBLANK('3B-Prestaties vloeren'!$L$3:$M$24)=0),IF(R272="Sprayen/conserveren",I272/VLOOKUP(E272,'3B-Prestaties vloeren'!$A$3:$M$24,12,FALSE),0)*(P272-1),0)</f>
        <v>0</v>
      </c>
      <c r="U272" s="386">
        <f>IF(AND(COUNTBLANK('3B-Prestaties vloeren'!$F$3:$H$24)=0,COUNTBLANK('3B-Prestaties vloeren'!$L$3:$M$24)=0),IF(R272="Sprayen/conserveren",I272/VLOOKUP(E272,'3B-Prestaties vloeren'!$A$3:$M$24,13,FALSE),0),0)</f>
        <v>0</v>
      </c>
      <c r="V272" s="386">
        <f>IF(AND(COUNTBLANK('3B-Prestaties vloeren'!$F$3:$H$24)=0,COUNTBLANK('3B-Prestaties vloeren'!$L$3:$M$24)=0),IF(R272="schrobben",I272/VLOOKUP(E272,'3B-Prestaties vloeren'!$A$3:$H$24,6,FALSE),0)*P272,0)</f>
        <v>0</v>
      </c>
      <c r="W272" s="386">
        <f>IF(AND(COUNTBLANK('3B-Prestaties vloeren'!$F$3:$H$24)=0,COUNTBLANK('3B-Prestaties vloeren'!$L$3:$M$24)=0),IF(R272="sproei-extractie",I272/VLOOKUP(E272,'3B-Prestaties vloeren'!$A$3:$H$24,8,FALSE),0)*P272,0)</f>
        <v>0</v>
      </c>
    </row>
    <row r="273" spans="1:23" ht="15" hidden="1">
      <c r="A273" s="378" t="s">
        <v>677</v>
      </c>
      <c r="B273" s="378" t="s">
        <v>678</v>
      </c>
      <c r="C273" s="378">
        <v>2</v>
      </c>
      <c r="D273" s="378" t="s">
        <v>384</v>
      </c>
      <c r="E273" s="378" t="s">
        <v>5</v>
      </c>
      <c r="F273" s="378" t="s">
        <v>65</v>
      </c>
      <c r="G273" s="378" t="str">
        <f>VLOOKUP(F273,'3B-Prestaties vloeren'!$A$28:$B$118,2,0)</f>
        <v>Zacht onbehandeld</v>
      </c>
      <c r="H273" s="378"/>
      <c r="I273" s="378">
        <v>20.47</v>
      </c>
      <c r="J273" s="420" t="s">
        <v>749</v>
      </c>
      <c r="K273" s="426">
        <v>52</v>
      </c>
      <c r="L273" s="378">
        <f t="shared" si="12"/>
        <v>1064.44</v>
      </c>
      <c r="M273" s="380" t="str">
        <f>IF(K273=0,0,IF(COUNTBLANK('3A-Prestatie'!$B$2:$I$22)=0,L273/VLOOKUP(E273,'3A-Prestatie'!$A$1:$M$22,VLOOKUP(K273,'3A-Prestatie'!$A$28:$B$34,2,FALSE),FALSE),"3A prestatie invullen"))</f>
        <v>3A prestatie invullen</v>
      </c>
      <c r="N273" s="380">
        <f t="shared" si="14"/>
        <v>0</v>
      </c>
      <c r="O273" s="381" t="str">
        <f>VLOOKUP(E273,'3A-Prestatie'!A:M,13,FALSE)</f>
        <v>B</v>
      </c>
      <c r="P273" s="382">
        <f>IF(R273="Niet van toepassing",0,VLOOKUP(E273,'3B-Prestaties vloeren'!$A$3:$D$24,IF(G273="Hard onbehandeld",2,IF(G273="Hard behandeld",3,4)),FALSE))</f>
        <v>1</v>
      </c>
      <c r="Q273" s="383">
        <f t="shared" si="13"/>
        <v>0</v>
      </c>
      <c r="R273" s="384" t="str">
        <f>IF(K273=0,"Niet van toepassing",IF(G273='3B-Prestaties vloeren'!$B$2,"Schrobben",IF(G273='3B-Prestaties vloeren'!$C$2,"Sprayen/conserveren",IF(G273='3B-Prestaties vloeren'!$D$2,"Sproei-extractie",0))))</f>
        <v>Sproei-extractie</v>
      </c>
      <c r="S273" s="385">
        <f>IF('2-Tarieven'!$B$28=0,0,IF(M273=0,0,'2-Tarieven'!$B$28*M273))</f>
        <v>0</v>
      </c>
      <c r="T273" s="386">
        <f>IF(AND(COUNTBLANK('3B-Prestaties vloeren'!$F$3:$H$24)=0,COUNTBLANK('3B-Prestaties vloeren'!$L$3:$M$24)=0),IF(R273="Sprayen/conserveren",I273/VLOOKUP(E273,'3B-Prestaties vloeren'!$A$3:$M$24,12,FALSE),0)*(P273-1),0)</f>
        <v>0</v>
      </c>
      <c r="U273" s="386">
        <f>IF(AND(COUNTBLANK('3B-Prestaties vloeren'!$F$3:$H$24)=0,COUNTBLANK('3B-Prestaties vloeren'!$L$3:$M$24)=0),IF(R273="Sprayen/conserveren",I273/VLOOKUP(E273,'3B-Prestaties vloeren'!$A$3:$M$24,13,FALSE),0),0)</f>
        <v>0</v>
      </c>
      <c r="V273" s="386">
        <f>IF(AND(COUNTBLANK('3B-Prestaties vloeren'!$F$3:$H$24)=0,COUNTBLANK('3B-Prestaties vloeren'!$L$3:$M$24)=0),IF(R273="schrobben",I273/VLOOKUP(E273,'3B-Prestaties vloeren'!$A$3:$H$24,6,FALSE),0)*P273,0)</f>
        <v>0</v>
      </c>
      <c r="W273" s="386">
        <f>IF(AND(COUNTBLANK('3B-Prestaties vloeren'!$F$3:$H$24)=0,COUNTBLANK('3B-Prestaties vloeren'!$L$3:$M$24)=0),IF(R273="sproei-extractie",I273/VLOOKUP(E273,'3B-Prestaties vloeren'!$A$3:$H$24,8,FALSE),0)*P273,0)</f>
        <v>0</v>
      </c>
    </row>
    <row r="274" spans="1:23" ht="15" hidden="1">
      <c r="A274" s="378" t="s">
        <v>677</v>
      </c>
      <c r="B274" s="378" t="s">
        <v>678</v>
      </c>
      <c r="C274" s="378">
        <v>2</v>
      </c>
      <c r="D274" s="378" t="s">
        <v>16</v>
      </c>
      <c r="E274" s="378" t="s">
        <v>5</v>
      </c>
      <c r="F274" s="378" t="s">
        <v>65</v>
      </c>
      <c r="G274" s="378" t="str">
        <f>VLOOKUP(F274,'3B-Prestaties vloeren'!$A$28:$B$118,2,0)</f>
        <v>Zacht onbehandeld</v>
      </c>
      <c r="H274" s="378"/>
      <c r="I274" s="378">
        <v>20.47</v>
      </c>
      <c r="J274" s="420" t="s">
        <v>749</v>
      </c>
      <c r="K274" s="426">
        <v>52</v>
      </c>
      <c r="L274" s="378">
        <f t="shared" si="12"/>
        <v>1064.44</v>
      </c>
      <c r="M274" s="380" t="str">
        <f>IF(K274=0,0,IF(COUNTBLANK('3A-Prestatie'!$B$2:$I$22)=0,L274/VLOOKUP(E274,'3A-Prestatie'!$A$1:$M$22,VLOOKUP(K274,'3A-Prestatie'!$A$28:$B$34,2,FALSE),FALSE),"3A prestatie invullen"))</f>
        <v>3A prestatie invullen</v>
      </c>
      <c r="N274" s="380">
        <f t="shared" si="14"/>
        <v>0</v>
      </c>
      <c r="O274" s="381" t="str">
        <f>VLOOKUP(E274,'3A-Prestatie'!A:M,13,FALSE)</f>
        <v>B</v>
      </c>
      <c r="P274" s="382">
        <f>IF(R274="Niet van toepassing",0,VLOOKUP(E274,'3B-Prestaties vloeren'!$A$3:$D$24,IF(G274="Hard onbehandeld",2,IF(G274="Hard behandeld",3,4)),FALSE))</f>
        <v>1</v>
      </c>
      <c r="Q274" s="383">
        <f t="shared" si="13"/>
        <v>0</v>
      </c>
      <c r="R274" s="384" t="str">
        <f>IF(K274=0,"Niet van toepassing",IF(G274='3B-Prestaties vloeren'!$B$2,"Schrobben",IF(G274='3B-Prestaties vloeren'!$C$2,"Sprayen/conserveren",IF(G274='3B-Prestaties vloeren'!$D$2,"Sproei-extractie",0))))</f>
        <v>Sproei-extractie</v>
      </c>
      <c r="S274" s="385">
        <f>IF('2-Tarieven'!$B$28=0,0,IF(M274=0,0,'2-Tarieven'!$B$28*M274))</f>
        <v>0</v>
      </c>
      <c r="T274" s="386">
        <f>IF(AND(COUNTBLANK('3B-Prestaties vloeren'!$F$3:$H$24)=0,COUNTBLANK('3B-Prestaties vloeren'!$L$3:$M$24)=0),IF(R274="Sprayen/conserveren",I274/VLOOKUP(E274,'3B-Prestaties vloeren'!$A$3:$M$24,12,FALSE),0)*(P274-1),0)</f>
        <v>0</v>
      </c>
      <c r="U274" s="386">
        <f>IF(AND(COUNTBLANK('3B-Prestaties vloeren'!$F$3:$H$24)=0,COUNTBLANK('3B-Prestaties vloeren'!$L$3:$M$24)=0),IF(R274="Sprayen/conserveren",I274/VLOOKUP(E274,'3B-Prestaties vloeren'!$A$3:$M$24,13,FALSE),0),0)</f>
        <v>0</v>
      </c>
      <c r="V274" s="386">
        <f>IF(AND(COUNTBLANK('3B-Prestaties vloeren'!$F$3:$H$24)=0,COUNTBLANK('3B-Prestaties vloeren'!$L$3:$M$24)=0),IF(R274="schrobben",I274/VLOOKUP(E274,'3B-Prestaties vloeren'!$A$3:$H$24,6,FALSE),0)*P274,0)</f>
        <v>0</v>
      </c>
      <c r="W274" s="386">
        <f>IF(AND(COUNTBLANK('3B-Prestaties vloeren'!$F$3:$H$24)=0,COUNTBLANK('3B-Prestaties vloeren'!$L$3:$M$24)=0),IF(R274="sproei-extractie",I274/VLOOKUP(E274,'3B-Prestaties vloeren'!$A$3:$H$24,8,FALSE),0)*P274,0)</f>
        <v>0</v>
      </c>
    </row>
    <row r="275" spans="1:23" ht="15" hidden="1">
      <c r="A275" s="378" t="s">
        <v>677</v>
      </c>
      <c r="B275" s="378" t="s">
        <v>678</v>
      </c>
      <c r="C275" s="378">
        <v>2</v>
      </c>
      <c r="D275" s="378" t="s">
        <v>14</v>
      </c>
      <c r="E275" s="378" t="s">
        <v>5</v>
      </c>
      <c r="F275" s="378" t="s">
        <v>65</v>
      </c>
      <c r="G275" s="378" t="str">
        <f>VLOOKUP(F275,'3B-Prestaties vloeren'!$A$28:$B$118,2,0)</f>
        <v>Zacht onbehandeld</v>
      </c>
      <c r="H275" s="378"/>
      <c r="I275" s="378">
        <v>41.82</v>
      </c>
      <c r="J275" s="420" t="s">
        <v>749</v>
      </c>
      <c r="K275" s="426">
        <v>52</v>
      </c>
      <c r="L275" s="378">
        <f t="shared" si="12"/>
        <v>2174.64</v>
      </c>
      <c r="M275" s="380" t="str">
        <f>IF(K275=0,0,IF(COUNTBLANK('3A-Prestatie'!$B$2:$I$22)=0,L275/VLOOKUP(E275,'3A-Prestatie'!$A$1:$M$22,VLOOKUP(K275,'3A-Prestatie'!$A$28:$B$34,2,FALSE),FALSE),"3A prestatie invullen"))</f>
        <v>3A prestatie invullen</v>
      </c>
      <c r="N275" s="380">
        <f t="shared" si="14"/>
        <v>0</v>
      </c>
      <c r="O275" s="381" t="str">
        <f>VLOOKUP(E275,'3A-Prestatie'!A:M,13,FALSE)</f>
        <v>B</v>
      </c>
      <c r="P275" s="382">
        <f>IF(R275="Niet van toepassing",0,VLOOKUP(E275,'3B-Prestaties vloeren'!$A$3:$D$24,IF(G275="Hard onbehandeld",2,IF(G275="Hard behandeld",3,4)),FALSE))</f>
        <v>1</v>
      </c>
      <c r="Q275" s="383">
        <f t="shared" si="13"/>
        <v>0</v>
      </c>
      <c r="R275" s="384" t="str">
        <f>IF(K275=0,"Niet van toepassing",IF(G275='3B-Prestaties vloeren'!$B$2,"Schrobben",IF(G275='3B-Prestaties vloeren'!$C$2,"Sprayen/conserveren",IF(G275='3B-Prestaties vloeren'!$D$2,"Sproei-extractie",0))))</f>
        <v>Sproei-extractie</v>
      </c>
      <c r="S275" s="385">
        <f>IF('2-Tarieven'!$B$28=0,0,IF(M275=0,0,'2-Tarieven'!$B$28*M275))</f>
        <v>0</v>
      </c>
      <c r="T275" s="386">
        <f>IF(AND(COUNTBLANK('3B-Prestaties vloeren'!$F$3:$H$24)=0,COUNTBLANK('3B-Prestaties vloeren'!$L$3:$M$24)=0),IF(R275="Sprayen/conserveren",I275/VLOOKUP(E275,'3B-Prestaties vloeren'!$A$3:$M$24,12,FALSE),0)*(P275-1),0)</f>
        <v>0</v>
      </c>
      <c r="U275" s="386">
        <f>IF(AND(COUNTBLANK('3B-Prestaties vloeren'!$F$3:$H$24)=0,COUNTBLANK('3B-Prestaties vloeren'!$L$3:$M$24)=0),IF(R275="Sprayen/conserveren",I275/VLOOKUP(E275,'3B-Prestaties vloeren'!$A$3:$M$24,13,FALSE),0),0)</f>
        <v>0</v>
      </c>
      <c r="V275" s="386">
        <f>IF(AND(COUNTBLANK('3B-Prestaties vloeren'!$F$3:$H$24)=0,COUNTBLANK('3B-Prestaties vloeren'!$L$3:$M$24)=0),IF(R275="schrobben",I275/VLOOKUP(E275,'3B-Prestaties vloeren'!$A$3:$H$24,6,FALSE),0)*P275,0)</f>
        <v>0</v>
      </c>
      <c r="W275" s="386">
        <f>IF(AND(COUNTBLANK('3B-Prestaties vloeren'!$F$3:$H$24)=0,COUNTBLANK('3B-Prestaties vloeren'!$L$3:$M$24)=0),IF(R275="sproei-extractie",I275/VLOOKUP(E275,'3B-Prestaties vloeren'!$A$3:$H$24,8,FALSE),0)*P275,0)</f>
        <v>0</v>
      </c>
    </row>
    <row r="276" spans="1:23" ht="15" hidden="1">
      <c r="A276" s="378" t="s">
        <v>677</v>
      </c>
      <c r="B276" s="378" t="s">
        <v>678</v>
      </c>
      <c r="C276" s="378">
        <v>2</v>
      </c>
      <c r="D276" s="378" t="s">
        <v>385</v>
      </c>
      <c r="E276" s="378" t="s">
        <v>5</v>
      </c>
      <c r="F276" s="378" t="s">
        <v>65</v>
      </c>
      <c r="G276" s="378" t="str">
        <f>VLOOKUP(F276,'3B-Prestaties vloeren'!$A$28:$B$118,2,0)</f>
        <v>Zacht onbehandeld</v>
      </c>
      <c r="H276" s="378"/>
      <c r="I276" s="378">
        <v>41.82</v>
      </c>
      <c r="J276" s="420" t="s">
        <v>749</v>
      </c>
      <c r="K276" s="426">
        <v>52</v>
      </c>
      <c r="L276" s="378">
        <f t="shared" si="12"/>
        <v>2174.64</v>
      </c>
      <c r="M276" s="380" t="str">
        <f>IF(K276=0,0,IF(COUNTBLANK('3A-Prestatie'!$B$2:$I$22)=0,L276/VLOOKUP(E276,'3A-Prestatie'!$A$1:$M$22,VLOOKUP(K276,'3A-Prestatie'!$A$28:$B$34,2,FALSE),FALSE),"3A prestatie invullen"))</f>
        <v>3A prestatie invullen</v>
      </c>
      <c r="N276" s="380">
        <f t="shared" si="14"/>
        <v>0</v>
      </c>
      <c r="O276" s="381" t="str">
        <f>VLOOKUP(E276,'3A-Prestatie'!A:M,13,FALSE)</f>
        <v>B</v>
      </c>
      <c r="P276" s="382">
        <f>IF(R276="Niet van toepassing",0,VLOOKUP(E276,'3B-Prestaties vloeren'!$A$3:$D$24,IF(G276="Hard onbehandeld",2,IF(G276="Hard behandeld",3,4)),FALSE))</f>
        <v>1</v>
      </c>
      <c r="Q276" s="383">
        <f t="shared" si="13"/>
        <v>0</v>
      </c>
      <c r="R276" s="384" t="str">
        <f>IF(K276=0,"Niet van toepassing",IF(G276='3B-Prestaties vloeren'!$B$2,"Schrobben",IF(G276='3B-Prestaties vloeren'!$C$2,"Sprayen/conserveren",IF(G276='3B-Prestaties vloeren'!$D$2,"Sproei-extractie",0))))</f>
        <v>Sproei-extractie</v>
      </c>
      <c r="S276" s="385">
        <f>IF('2-Tarieven'!$B$28=0,0,IF(M276=0,0,'2-Tarieven'!$B$28*M276))</f>
        <v>0</v>
      </c>
      <c r="T276" s="386">
        <f>IF(AND(COUNTBLANK('3B-Prestaties vloeren'!$F$3:$H$24)=0,COUNTBLANK('3B-Prestaties vloeren'!$L$3:$M$24)=0),IF(R276="Sprayen/conserveren",I276/VLOOKUP(E276,'3B-Prestaties vloeren'!$A$3:$M$24,12,FALSE),0)*(P276-1),0)</f>
        <v>0</v>
      </c>
      <c r="U276" s="386">
        <f>IF(AND(COUNTBLANK('3B-Prestaties vloeren'!$F$3:$H$24)=0,COUNTBLANK('3B-Prestaties vloeren'!$L$3:$M$24)=0),IF(R276="Sprayen/conserveren",I276/VLOOKUP(E276,'3B-Prestaties vloeren'!$A$3:$M$24,13,FALSE),0),0)</f>
        <v>0</v>
      </c>
      <c r="V276" s="386">
        <f>IF(AND(COUNTBLANK('3B-Prestaties vloeren'!$F$3:$H$24)=0,COUNTBLANK('3B-Prestaties vloeren'!$L$3:$M$24)=0),IF(R276="schrobben",I276/VLOOKUP(E276,'3B-Prestaties vloeren'!$A$3:$H$24,6,FALSE),0)*P276,0)</f>
        <v>0</v>
      </c>
      <c r="W276" s="386">
        <f>IF(AND(COUNTBLANK('3B-Prestaties vloeren'!$F$3:$H$24)=0,COUNTBLANK('3B-Prestaties vloeren'!$L$3:$M$24)=0),IF(R276="sproei-extractie",I276/VLOOKUP(E276,'3B-Prestaties vloeren'!$A$3:$H$24,8,FALSE),0)*P276,0)</f>
        <v>0</v>
      </c>
    </row>
    <row r="277" spans="1:23" ht="15" hidden="1">
      <c r="A277" s="378" t="s">
        <v>677</v>
      </c>
      <c r="B277" s="378" t="s">
        <v>678</v>
      </c>
      <c r="C277" s="378">
        <v>2</v>
      </c>
      <c r="D277" s="378" t="s">
        <v>386</v>
      </c>
      <c r="E277" s="378" t="s">
        <v>5</v>
      </c>
      <c r="F277" s="378" t="s">
        <v>65</v>
      </c>
      <c r="G277" s="378" t="str">
        <f>VLOOKUP(F277,'3B-Prestaties vloeren'!$A$28:$B$118,2,0)</f>
        <v>Zacht onbehandeld</v>
      </c>
      <c r="H277" s="378"/>
      <c r="I277" s="378">
        <v>41.53</v>
      </c>
      <c r="J277" s="420" t="s">
        <v>749</v>
      </c>
      <c r="K277" s="426">
        <v>52</v>
      </c>
      <c r="L277" s="378">
        <f t="shared" si="12"/>
        <v>2159.56</v>
      </c>
      <c r="M277" s="380" t="str">
        <f>IF(K277=0,0,IF(COUNTBLANK('3A-Prestatie'!$B$2:$I$22)=0,L277/VLOOKUP(E277,'3A-Prestatie'!$A$1:$M$22,VLOOKUP(K277,'3A-Prestatie'!$A$28:$B$34,2,FALSE),FALSE),"3A prestatie invullen"))</f>
        <v>3A prestatie invullen</v>
      </c>
      <c r="N277" s="380">
        <f t="shared" si="14"/>
        <v>0</v>
      </c>
      <c r="O277" s="381" t="str">
        <f>VLOOKUP(E277,'3A-Prestatie'!A:M,13,FALSE)</f>
        <v>B</v>
      </c>
      <c r="P277" s="382">
        <f>IF(R277="Niet van toepassing",0,VLOOKUP(E277,'3B-Prestaties vloeren'!$A$3:$D$24,IF(G277="Hard onbehandeld",2,IF(G277="Hard behandeld",3,4)),FALSE))</f>
        <v>1</v>
      </c>
      <c r="Q277" s="383">
        <f t="shared" si="13"/>
        <v>0</v>
      </c>
      <c r="R277" s="384" t="str">
        <f>IF(K277=0,"Niet van toepassing",IF(G277='3B-Prestaties vloeren'!$B$2,"Schrobben",IF(G277='3B-Prestaties vloeren'!$C$2,"Sprayen/conserveren",IF(G277='3B-Prestaties vloeren'!$D$2,"Sproei-extractie",0))))</f>
        <v>Sproei-extractie</v>
      </c>
      <c r="S277" s="385">
        <f>IF('2-Tarieven'!$B$28=0,0,IF(M277=0,0,'2-Tarieven'!$B$28*M277))</f>
        <v>0</v>
      </c>
      <c r="T277" s="386">
        <f>IF(AND(COUNTBLANK('3B-Prestaties vloeren'!$F$3:$H$24)=0,COUNTBLANK('3B-Prestaties vloeren'!$L$3:$M$24)=0),IF(R277="Sprayen/conserveren",I277/VLOOKUP(E277,'3B-Prestaties vloeren'!$A$3:$M$24,12,FALSE),0)*(P277-1),0)</f>
        <v>0</v>
      </c>
      <c r="U277" s="386">
        <f>IF(AND(COUNTBLANK('3B-Prestaties vloeren'!$F$3:$H$24)=0,COUNTBLANK('3B-Prestaties vloeren'!$L$3:$M$24)=0),IF(R277="Sprayen/conserveren",I277/VLOOKUP(E277,'3B-Prestaties vloeren'!$A$3:$M$24,13,FALSE),0),0)</f>
        <v>0</v>
      </c>
      <c r="V277" s="386">
        <f>IF(AND(COUNTBLANK('3B-Prestaties vloeren'!$F$3:$H$24)=0,COUNTBLANK('3B-Prestaties vloeren'!$L$3:$M$24)=0),IF(R277="schrobben",I277/VLOOKUP(E277,'3B-Prestaties vloeren'!$A$3:$H$24,6,FALSE),0)*P277,0)</f>
        <v>0</v>
      </c>
      <c r="W277" s="386">
        <f>IF(AND(COUNTBLANK('3B-Prestaties vloeren'!$F$3:$H$24)=0,COUNTBLANK('3B-Prestaties vloeren'!$L$3:$M$24)=0),IF(R277="sproei-extractie",I277/VLOOKUP(E277,'3B-Prestaties vloeren'!$A$3:$H$24,8,FALSE),0)*P277,0)</f>
        <v>0</v>
      </c>
    </row>
    <row r="278" spans="1:23" ht="15" hidden="1">
      <c r="A278" s="378" t="s">
        <v>677</v>
      </c>
      <c r="B278" s="378" t="s">
        <v>678</v>
      </c>
      <c r="C278" s="378">
        <v>2</v>
      </c>
      <c r="D278" s="378" t="s">
        <v>387</v>
      </c>
      <c r="E278" s="378" t="s">
        <v>5</v>
      </c>
      <c r="F278" s="378" t="s">
        <v>65</v>
      </c>
      <c r="G278" s="378" t="str">
        <f>VLOOKUP(F278,'3B-Prestaties vloeren'!$A$28:$B$118,2,0)</f>
        <v>Zacht onbehandeld</v>
      </c>
      <c r="H278" s="378"/>
      <c r="I278" s="378">
        <v>20.47</v>
      </c>
      <c r="J278" s="420" t="s">
        <v>749</v>
      </c>
      <c r="K278" s="426">
        <v>52</v>
      </c>
      <c r="L278" s="378">
        <f t="shared" si="12"/>
        <v>1064.44</v>
      </c>
      <c r="M278" s="380" t="str">
        <f>IF(K278=0,0,IF(COUNTBLANK('3A-Prestatie'!$B$2:$I$22)=0,L278/VLOOKUP(E278,'3A-Prestatie'!$A$1:$M$22,VLOOKUP(K278,'3A-Prestatie'!$A$28:$B$34,2,FALSE),FALSE),"3A prestatie invullen"))</f>
        <v>3A prestatie invullen</v>
      </c>
      <c r="N278" s="380">
        <f t="shared" si="14"/>
        <v>0</v>
      </c>
      <c r="O278" s="381" t="str">
        <f>VLOOKUP(E278,'3A-Prestatie'!A:M,13,FALSE)</f>
        <v>B</v>
      </c>
      <c r="P278" s="382">
        <f>IF(R278="Niet van toepassing",0,VLOOKUP(E278,'3B-Prestaties vloeren'!$A$3:$D$24,IF(G278="Hard onbehandeld",2,IF(G278="Hard behandeld",3,4)),FALSE))</f>
        <v>1</v>
      </c>
      <c r="Q278" s="383">
        <f t="shared" si="13"/>
        <v>0</v>
      </c>
      <c r="R278" s="384" t="str">
        <f>IF(K278=0,"Niet van toepassing",IF(G278='3B-Prestaties vloeren'!$B$2,"Schrobben",IF(G278='3B-Prestaties vloeren'!$C$2,"Sprayen/conserveren",IF(G278='3B-Prestaties vloeren'!$D$2,"Sproei-extractie",0))))</f>
        <v>Sproei-extractie</v>
      </c>
      <c r="S278" s="385">
        <f>IF('2-Tarieven'!$B$28=0,0,IF(M278=0,0,'2-Tarieven'!$B$28*M278))</f>
        <v>0</v>
      </c>
      <c r="T278" s="386">
        <f>IF(AND(COUNTBLANK('3B-Prestaties vloeren'!$F$3:$H$24)=0,COUNTBLANK('3B-Prestaties vloeren'!$L$3:$M$24)=0),IF(R278="Sprayen/conserveren",I278/VLOOKUP(E278,'3B-Prestaties vloeren'!$A$3:$M$24,12,FALSE),0)*(P278-1),0)</f>
        <v>0</v>
      </c>
      <c r="U278" s="386">
        <f>IF(AND(COUNTBLANK('3B-Prestaties vloeren'!$F$3:$H$24)=0,COUNTBLANK('3B-Prestaties vloeren'!$L$3:$M$24)=0),IF(R278="Sprayen/conserveren",I278/VLOOKUP(E278,'3B-Prestaties vloeren'!$A$3:$M$24,13,FALSE),0),0)</f>
        <v>0</v>
      </c>
      <c r="V278" s="386">
        <f>IF(AND(COUNTBLANK('3B-Prestaties vloeren'!$F$3:$H$24)=0,COUNTBLANK('3B-Prestaties vloeren'!$L$3:$M$24)=0),IF(R278="schrobben",I278/VLOOKUP(E278,'3B-Prestaties vloeren'!$A$3:$H$24,6,FALSE),0)*P278,0)</f>
        <v>0</v>
      </c>
      <c r="W278" s="386">
        <f>IF(AND(COUNTBLANK('3B-Prestaties vloeren'!$F$3:$H$24)=0,COUNTBLANK('3B-Prestaties vloeren'!$L$3:$M$24)=0),IF(R278="sproei-extractie",I278/VLOOKUP(E278,'3B-Prestaties vloeren'!$A$3:$H$24,8,FALSE),0)*P278,0)</f>
        <v>0</v>
      </c>
    </row>
    <row r="279" spans="1:23" ht="15" hidden="1">
      <c r="A279" s="378" t="s">
        <v>677</v>
      </c>
      <c r="B279" s="378" t="s">
        <v>678</v>
      </c>
      <c r="C279" s="378">
        <v>2</v>
      </c>
      <c r="D279" s="378" t="s">
        <v>17</v>
      </c>
      <c r="E279" s="378" t="s">
        <v>5</v>
      </c>
      <c r="F279" s="378" t="s">
        <v>65</v>
      </c>
      <c r="G279" s="378" t="str">
        <f>VLOOKUP(F279,'3B-Prestaties vloeren'!$A$28:$B$118,2,0)</f>
        <v>Zacht onbehandeld</v>
      </c>
      <c r="H279" s="378"/>
      <c r="I279" s="378">
        <v>20.47</v>
      </c>
      <c r="J279" s="420" t="s">
        <v>749</v>
      </c>
      <c r="K279" s="426">
        <v>52</v>
      </c>
      <c r="L279" s="378">
        <f t="shared" si="12"/>
        <v>1064.44</v>
      </c>
      <c r="M279" s="380" t="str">
        <f>IF(K279=0,0,IF(COUNTBLANK('3A-Prestatie'!$B$2:$I$22)=0,L279/VLOOKUP(E279,'3A-Prestatie'!$A$1:$M$22,VLOOKUP(K279,'3A-Prestatie'!$A$28:$B$34,2,FALSE),FALSE),"3A prestatie invullen"))</f>
        <v>3A prestatie invullen</v>
      </c>
      <c r="N279" s="380">
        <f t="shared" si="14"/>
        <v>0</v>
      </c>
      <c r="O279" s="381" t="str">
        <f>VLOOKUP(E279,'3A-Prestatie'!A:M,13,FALSE)</f>
        <v>B</v>
      </c>
      <c r="P279" s="382">
        <f>IF(R279="Niet van toepassing",0,VLOOKUP(E279,'3B-Prestaties vloeren'!$A$3:$D$24,IF(G279="Hard onbehandeld",2,IF(G279="Hard behandeld",3,4)),FALSE))</f>
        <v>1</v>
      </c>
      <c r="Q279" s="383">
        <f t="shared" si="13"/>
        <v>0</v>
      </c>
      <c r="R279" s="384" t="str">
        <f>IF(K279=0,"Niet van toepassing",IF(G279='3B-Prestaties vloeren'!$B$2,"Schrobben",IF(G279='3B-Prestaties vloeren'!$C$2,"Sprayen/conserveren",IF(G279='3B-Prestaties vloeren'!$D$2,"Sproei-extractie",0))))</f>
        <v>Sproei-extractie</v>
      </c>
      <c r="S279" s="385">
        <f>IF('2-Tarieven'!$B$28=0,0,IF(M279=0,0,'2-Tarieven'!$B$28*M279))</f>
        <v>0</v>
      </c>
      <c r="T279" s="386">
        <f>IF(AND(COUNTBLANK('3B-Prestaties vloeren'!$F$3:$H$24)=0,COUNTBLANK('3B-Prestaties vloeren'!$L$3:$M$24)=0),IF(R279="Sprayen/conserveren",I279/VLOOKUP(E279,'3B-Prestaties vloeren'!$A$3:$M$24,12,FALSE),0)*(P279-1),0)</f>
        <v>0</v>
      </c>
      <c r="U279" s="386">
        <f>IF(AND(COUNTBLANK('3B-Prestaties vloeren'!$F$3:$H$24)=0,COUNTBLANK('3B-Prestaties vloeren'!$L$3:$M$24)=0),IF(R279="Sprayen/conserveren",I279/VLOOKUP(E279,'3B-Prestaties vloeren'!$A$3:$M$24,13,FALSE),0),0)</f>
        <v>0</v>
      </c>
      <c r="V279" s="386">
        <f>IF(AND(COUNTBLANK('3B-Prestaties vloeren'!$F$3:$H$24)=0,COUNTBLANK('3B-Prestaties vloeren'!$L$3:$M$24)=0),IF(R279="schrobben",I279/VLOOKUP(E279,'3B-Prestaties vloeren'!$A$3:$H$24,6,FALSE),0)*P279,0)</f>
        <v>0</v>
      </c>
      <c r="W279" s="386">
        <f>IF(AND(COUNTBLANK('3B-Prestaties vloeren'!$F$3:$H$24)=0,COUNTBLANK('3B-Prestaties vloeren'!$L$3:$M$24)=0),IF(R279="sproei-extractie",I279/VLOOKUP(E279,'3B-Prestaties vloeren'!$A$3:$H$24,8,FALSE),0)*P279,0)</f>
        <v>0</v>
      </c>
    </row>
    <row r="280" spans="1:23" ht="15" hidden="1">
      <c r="A280" s="378" t="s">
        <v>677</v>
      </c>
      <c r="B280" s="378" t="s">
        <v>678</v>
      </c>
      <c r="C280" s="378">
        <v>2</v>
      </c>
      <c r="D280" s="378" t="s">
        <v>388</v>
      </c>
      <c r="E280" s="378" t="s">
        <v>5</v>
      </c>
      <c r="F280" s="378" t="s">
        <v>65</v>
      </c>
      <c r="G280" s="378" t="str">
        <f>VLOOKUP(F280,'3B-Prestaties vloeren'!$A$28:$B$118,2,0)</f>
        <v>Zacht onbehandeld</v>
      </c>
      <c r="H280" s="378"/>
      <c r="I280" s="378">
        <v>43.59</v>
      </c>
      <c r="J280" s="420" t="s">
        <v>749</v>
      </c>
      <c r="K280" s="426">
        <v>52</v>
      </c>
      <c r="L280" s="378">
        <f t="shared" si="12"/>
        <v>2266.6800000000003</v>
      </c>
      <c r="M280" s="380" t="str">
        <f>IF(K280=0,0,IF(COUNTBLANK('3A-Prestatie'!$B$2:$I$22)=0,L280/VLOOKUP(E280,'3A-Prestatie'!$A$1:$M$22,VLOOKUP(K280,'3A-Prestatie'!$A$28:$B$34,2,FALSE),FALSE),"3A prestatie invullen"))</f>
        <v>3A prestatie invullen</v>
      </c>
      <c r="N280" s="380">
        <f t="shared" si="14"/>
        <v>0</v>
      </c>
      <c r="O280" s="381" t="str">
        <f>VLOOKUP(E280,'3A-Prestatie'!A:M,13,FALSE)</f>
        <v>B</v>
      </c>
      <c r="P280" s="382">
        <f>IF(R280="Niet van toepassing",0,VLOOKUP(E280,'3B-Prestaties vloeren'!$A$3:$D$24,IF(G280="Hard onbehandeld",2,IF(G280="Hard behandeld",3,4)),FALSE))</f>
        <v>1</v>
      </c>
      <c r="Q280" s="383">
        <f t="shared" si="13"/>
        <v>0</v>
      </c>
      <c r="R280" s="384" t="str">
        <f>IF(K280=0,"Niet van toepassing",IF(G280='3B-Prestaties vloeren'!$B$2,"Schrobben",IF(G280='3B-Prestaties vloeren'!$C$2,"Sprayen/conserveren",IF(G280='3B-Prestaties vloeren'!$D$2,"Sproei-extractie",0))))</f>
        <v>Sproei-extractie</v>
      </c>
      <c r="S280" s="385">
        <f>IF('2-Tarieven'!$B$28=0,0,IF(M280=0,0,'2-Tarieven'!$B$28*M280))</f>
        <v>0</v>
      </c>
      <c r="T280" s="386">
        <f>IF(AND(COUNTBLANK('3B-Prestaties vloeren'!$F$3:$H$24)=0,COUNTBLANK('3B-Prestaties vloeren'!$L$3:$M$24)=0),IF(R280="Sprayen/conserveren",I280/VLOOKUP(E280,'3B-Prestaties vloeren'!$A$3:$M$24,12,FALSE),0)*(P280-1),0)</f>
        <v>0</v>
      </c>
      <c r="U280" s="386">
        <f>IF(AND(COUNTBLANK('3B-Prestaties vloeren'!$F$3:$H$24)=0,COUNTBLANK('3B-Prestaties vloeren'!$L$3:$M$24)=0),IF(R280="Sprayen/conserveren",I280/VLOOKUP(E280,'3B-Prestaties vloeren'!$A$3:$M$24,13,FALSE),0),0)</f>
        <v>0</v>
      </c>
      <c r="V280" s="386">
        <f>IF(AND(COUNTBLANK('3B-Prestaties vloeren'!$F$3:$H$24)=0,COUNTBLANK('3B-Prestaties vloeren'!$L$3:$M$24)=0),IF(R280="schrobben",I280/VLOOKUP(E280,'3B-Prestaties vloeren'!$A$3:$H$24,6,FALSE),0)*P280,0)</f>
        <v>0</v>
      </c>
      <c r="W280" s="386">
        <f>IF(AND(COUNTBLANK('3B-Prestaties vloeren'!$F$3:$H$24)=0,COUNTBLANK('3B-Prestaties vloeren'!$L$3:$M$24)=0),IF(R280="sproei-extractie",I280/VLOOKUP(E280,'3B-Prestaties vloeren'!$A$3:$H$24,8,FALSE),0)*P280,0)</f>
        <v>0</v>
      </c>
    </row>
    <row r="281" spans="1:23" ht="15" hidden="1">
      <c r="A281" s="378" t="s">
        <v>677</v>
      </c>
      <c r="B281" s="378" t="s">
        <v>678</v>
      </c>
      <c r="C281" s="378">
        <v>2</v>
      </c>
      <c r="D281" s="378" t="s">
        <v>389</v>
      </c>
      <c r="E281" s="378" t="s">
        <v>5</v>
      </c>
      <c r="F281" s="378" t="s">
        <v>65</v>
      </c>
      <c r="G281" s="378" t="str">
        <f>VLOOKUP(F281,'3B-Prestaties vloeren'!$A$28:$B$118,2,0)</f>
        <v>Zacht onbehandeld</v>
      </c>
      <c r="H281" s="378"/>
      <c r="I281" s="378">
        <v>22.58</v>
      </c>
      <c r="J281" s="420" t="s">
        <v>749</v>
      </c>
      <c r="K281" s="426">
        <v>52</v>
      </c>
      <c r="L281" s="378">
        <f t="shared" si="12"/>
        <v>1174.1599999999999</v>
      </c>
      <c r="M281" s="380" t="str">
        <f>IF(K281=0,0,IF(COUNTBLANK('3A-Prestatie'!$B$2:$I$22)=0,L281/VLOOKUP(E281,'3A-Prestatie'!$A$1:$M$22,VLOOKUP(K281,'3A-Prestatie'!$A$28:$B$34,2,FALSE),FALSE),"3A prestatie invullen"))</f>
        <v>3A prestatie invullen</v>
      </c>
      <c r="N281" s="380">
        <f t="shared" si="14"/>
        <v>0</v>
      </c>
      <c r="O281" s="381" t="str">
        <f>VLOOKUP(E281,'3A-Prestatie'!A:M,13,FALSE)</f>
        <v>B</v>
      </c>
      <c r="P281" s="382">
        <f>IF(R281="Niet van toepassing",0,VLOOKUP(E281,'3B-Prestaties vloeren'!$A$3:$D$24,IF(G281="Hard onbehandeld",2,IF(G281="Hard behandeld",3,4)),FALSE))</f>
        <v>1</v>
      </c>
      <c r="Q281" s="383">
        <f t="shared" si="13"/>
        <v>0</v>
      </c>
      <c r="R281" s="384" t="str">
        <f>IF(K281=0,"Niet van toepassing",IF(G281='3B-Prestaties vloeren'!$B$2,"Schrobben",IF(G281='3B-Prestaties vloeren'!$C$2,"Sprayen/conserveren",IF(G281='3B-Prestaties vloeren'!$D$2,"Sproei-extractie",0))))</f>
        <v>Sproei-extractie</v>
      </c>
      <c r="S281" s="385">
        <f>IF('2-Tarieven'!$B$28=0,0,IF(M281=0,0,'2-Tarieven'!$B$28*M281))</f>
        <v>0</v>
      </c>
      <c r="T281" s="386">
        <f>IF(AND(COUNTBLANK('3B-Prestaties vloeren'!$F$3:$H$24)=0,COUNTBLANK('3B-Prestaties vloeren'!$L$3:$M$24)=0),IF(R281="Sprayen/conserveren",I281/VLOOKUP(E281,'3B-Prestaties vloeren'!$A$3:$M$24,12,FALSE),0)*(P281-1),0)</f>
        <v>0</v>
      </c>
      <c r="U281" s="386">
        <f>IF(AND(COUNTBLANK('3B-Prestaties vloeren'!$F$3:$H$24)=0,COUNTBLANK('3B-Prestaties vloeren'!$L$3:$M$24)=0),IF(R281="Sprayen/conserveren",I281/VLOOKUP(E281,'3B-Prestaties vloeren'!$A$3:$M$24,13,FALSE),0),0)</f>
        <v>0</v>
      </c>
      <c r="V281" s="386">
        <f>IF(AND(COUNTBLANK('3B-Prestaties vloeren'!$F$3:$H$24)=0,COUNTBLANK('3B-Prestaties vloeren'!$L$3:$M$24)=0),IF(R281="schrobben",I281/VLOOKUP(E281,'3B-Prestaties vloeren'!$A$3:$H$24,6,FALSE),0)*P281,0)</f>
        <v>0</v>
      </c>
      <c r="W281" s="386">
        <f>IF(AND(COUNTBLANK('3B-Prestaties vloeren'!$F$3:$H$24)=0,COUNTBLANK('3B-Prestaties vloeren'!$L$3:$M$24)=0),IF(R281="sproei-extractie",I281/VLOOKUP(E281,'3B-Prestaties vloeren'!$A$3:$H$24,8,FALSE),0)*P281,0)</f>
        <v>0</v>
      </c>
    </row>
    <row r="282" spans="1:23" ht="15" hidden="1">
      <c r="A282" s="378" t="s">
        <v>677</v>
      </c>
      <c r="B282" s="378" t="s">
        <v>678</v>
      </c>
      <c r="C282" s="378">
        <v>2</v>
      </c>
      <c r="D282" s="378" t="s">
        <v>390</v>
      </c>
      <c r="E282" s="378" t="s">
        <v>5</v>
      </c>
      <c r="F282" s="378" t="s">
        <v>65</v>
      </c>
      <c r="G282" s="378" t="str">
        <f>VLOOKUP(F282,'3B-Prestaties vloeren'!$A$28:$B$118,2,0)</f>
        <v>Zacht onbehandeld</v>
      </c>
      <c r="H282" s="378"/>
      <c r="I282" s="378">
        <v>41.73</v>
      </c>
      <c r="J282" s="420" t="s">
        <v>749</v>
      </c>
      <c r="K282" s="426">
        <v>52</v>
      </c>
      <c r="L282" s="378">
        <f t="shared" si="12"/>
        <v>2169.96</v>
      </c>
      <c r="M282" s="380" t="str">
        <f>IF(K282=0,0,IF(COUNTBLANK('3A-Prestatie'!$B$2:$I$22)=0,L282/VLOOKUP(E282,'3A-Prestatie'!$A$1:$M$22,VLOOKUP(K282,'3A-Prestatie'!$A$28:$B$34,2,FALSE),FALSE),"3A prestatie invullen"))</f>
        <v>3A prestatie invullen</v>
      </c>
      <c r="N282" s="380">
        <f t="shared" si="14"/>
        <v>0</v>
      </c>
      <c r="O282" s="381" t="str">
        <f>VLOOKUP(E282,'3A-Prestatie'!A:M,13,FALSE)</f>
        <v>B</v>
      </c>
      <c r="P282" s="382">
        <f>IF(R282="Niet van toepassing",0,VLOOKUP(E282,'3B-Prestaties vloeren'!$A$3:$D$24,IF(G282="Hard onbehandeld",2,IF(G282="Hard behandeld",3,4)),FALSE))</f>
        <v>1</v>
      </c>
      <c r="Q282" s="383">
        <f t="shared" si="13"/>
        <v>0</v>
      </c>
      <c r="R282" s="384" t="str">
        <f>IF(K282=0,"Niet van toepassing",IF(G282='3B-Prestaties vloeren'!$B$2,"Schrobben",IF(G282='3B-Prestaties vloeren'!$C$2,"Sprayen/conserveren",IF(G282='3B-Prestaties vloeren'!$D$2,"Sproei-extractie",0))))</f>
        <v>Sproei-extractie</v>
      </c>
      <c r="S282" s="385">
        <f>IF('2-Tarieven'!$B$28=0,0,IF(M282=0,0,'2-Tarieven'!$B$28*M282))</f>
        <v>0</v>
      </c>
      <c r="T282" s="386">
        <f>IF(AND(COUNTBLANK('3B-Prestaties vloeren'!$F$3:$H$24)=0,COUNTBLANK('3B-Prestaties vloeren'!$L$3:$M$24)=0),IF(R282="Sprayen/conserveren",I282/VLOOKUP(E282,'3B-Prestaties vloeren'!$A$3:$M$24,12,FALSE),0)*(P282-1),0)</f>
        <v>0</v>
      </c>
      <c r="U282" s="386">
        <f>IF(AND(COUNTBLANK('3B-Prestaties vloeren'!$F$3:$H$24)=0,COUNTBLANK('3B-Prestaties vloeren'!$L$3:$M$24)=0),IF(R282="Sprayen/conserveren",I282/VLOOKUP(E282,'3B-Prestaties vloeren'!$A$3:$M$24,13,FALSE),0),0)</f>
        <v>0</v>
      </c>
      <c r="V282" s="386">
        <f>IF(AND(COUNTBLANK('3B-Prestaties vloeren'!$F$3:$H$24)=0,COUNTBLANK('3B-Prestaties vloeren'!$L$3:$M$24)=0),IF(R282="schrobben",I282/VLOOKUP(E282,'3B-Prestaties vloeren'!$A$3:$H$24,6,FALSE),0)*P282,0)</f>
        <v>0</v>
      </c>
      <c r="W282" s="386">
        <f>IF(AND(COUNTBLANK('3B-Prestaties vloeren'!$F$3:$H$24)=0,COUNTBLANK('3B-Prestaties vloeren'!$L$3:$M$24)=0),IF(R282="sproei-extractie",I282/VLOOKUP(E282,'3B-Prestaties vloeren'!$A$3:$H$24,8,FALSE),0)*P282,0)</f>
        <v>0</v>
      </c>
    </row>
    <row r="283" spans="1:23" ht="15" hidden="1">
      <c r="A283" s="378" t="s">
        <v>677</v>
      </c>
      <c r="B283" s="378" t="s">
        <v>678</v>
      </c>
      <c r="C283" s="378">
        <v>2</v>
      </c>
      <c r="D283" s="378" t="s">
        <v>391</v>
      </c>
      <c r="E283" s="378" t="s">
        <v>6</v>
      </c>
      <c r="F283" s="378" t="s">
        <v>416</v>
      </c>
      <c r="G283" s="378" t="str">
        <f>VLOOKUP(F283,'3B-Prestaties vloeren'!$A$28:$B$118,2,0)</f>
        <v>Hard onbehandeld</v>
      </c>
      <c r="H283" s="378" t="s">
        <v>686</v>
      </c>
      <c r="I283" s="378">
        <v>25.57</v>
      </c>
      <c r="J283" s="420" t="s">
        <v>749</v>
      </c>
      <c r="K283" s="426">
        <v>52</v>
      </c>
      <c r="L283" s="378">
        <f t="shared" si="12"/>
        <v>1329.64</v>
      </c>
      <c r="M283" s="380" t="str">
        <f>IF(K283=0,0,IF(COUNTBLANK('3A-Prestatie'!$B$2:$I$22)=0,L283/VLOOKUP(E283,'3A-Prestatie'!$A$1:$M$22,VLOOKUP(K283,'3A-Prestatie'!$A$28:$B$34,2,FALSE),FALSE),"3A prestatie invullen"))</f>
        <v>3A prestatie invullen</v>
      </c>
      <c r="N283" s="380">
        <f t="shared" si="14"/>
        <v>0</v>
      </c>
      <c r="O283" s="381" t="str">
        <f>VLOOKUP(E283,'3A-Prestatie'!A:M,13,FALSE)</f>
        <v>V</v>
      </c>
      <c r="P283" s="382">
        <f>IF(R283="Niet van toepassing",0,VLOOKUP(E283,'3B-Prestaties vloeren'!$A$3:$D$24,IF(G283="Hard onbehandeld",2,IF(G283="Hard behandeld",3,4)),FALSE))</f>
        <v>4</v>
      </c>
      <c r="Q283" s="383">
        <f t="shared" si="13"/>
        <v>0</v>
      </c>
      <c r="R283" s="384" t="str">
        <f>IF(K283=0,"Niet van toepassing",IF(G283='3B-Prestaties vloeren'!$B$2,"Schrobben",IF(G283='3B-Prestaties vloeren'!$C$2,"Sprayen/conserveren",IF(G283='3B-Prestaties vloeren'!$D$2,"Sproei-extractie",0))))</f>
        <v>Schrobben</v>
      </c>
      <c r="S283" s="385">
        <f>IF('2-Tarieven'!$B$28=0,0,IF(M283=0,0,'2-Tarieven'!$B$28*M283))</f>
        <v>0</v>
      </c>
      <c r="T283" s="386">
        <f>IF(AND(COUNTBLANK('3B-Prestaties vloeren'!$F$3:$H$24)=0,COUNTBLANK('3B-Prestaties vloeren'!$L$3:$M$24)=0),IF(R283="Sprayen/conserveren",I283/VLOOKUP(E283,'3B-Prestaties vloeren'!$A$3:$M$24,12,FALSE),0)*(P283-1),0)</f>
        <v>0</v>
      </c>
      <c r="U283" s="386">
        <f>IF(AND(COUNTBLANK('3B-Prestaties vloeren'!$F$3:$H$24)=0,COUNTBLANK('3B-Prestaties vloeren'!$L$3:$M$24)=0),IF(R283="Sprayen/conserveren",I283/VLOOKUP(E283,'3B-Prestaties vloeren'!$A$3:$M$24,13,FALSE),0),0)</f>
        <v>0</v>
      </c>
      <c r="V283" s="386">
        <f>IF(AND(COUNTBLANK('3B-Prestaties vloeren'!$F$3:$H$24)=0,COUNTBLANK('3B-Prestaties vloeren'!$L$3:$M$24)=0),IF(R283="schrobben",I283/VLOOKUP(E283,'3B-Prestaties vloeren'!$A$3:$H$24,6,FALSE),0)*P283,0)</f>
        <v>0</v>
      </c>
      <c r="W283" s="386">
        <f>IF(AND(COUNTBLANK('3B-Prestaties vloeren'!$F$3:$H$24)=0,COUNTBLANK('3B-Prestaties vloeren'!$L$3:$M$24)=0),IF(R283="sproei-extractie",I283/VLOOKUP(E283,'3B-Prestaties vloeren'!$A$3:$H$24,8,FALSE),0)*P283,0)</f>
        <v>0</v>
      </c>
    </row>
    <row r="284" spans="1:23" ht="15" hidden="1">
      <c r="A284" s="378" t="s">
        <v>677</v>
      </c>
      <c r="B284" s="378" t="s">
        <v>678</v>
      </c>
      <c r="C284" s="378">
        <v>2</v>
      </c>
      <c r="D284" s="378" t="s">
        <v>392</v>
      </c>
      <c r="E284" s="378" t="s">
        <v>728</v>
      </c>
      <c r="F284" s="378" t="s">
        <v>647</v>
      </c>
      <c r="G284" s="378" t="str">
        <f>VLOOKUP(F284,'3B-Prestaties vloeren'!$A$28:$B$118,2,0)</f>
        <v>Hard onbehandeld</v>
      </c>
      <c r="H284" s="378" t="s">
        <v>287</v>
      </c>
      <c r="I284" s="378">
        <v>2.37</v>
      </c>
      <c r="J284" s="419"/>
      <c r="K284" s="426">
        <v>0</v>
      </c>
      <c r="L284" s="378">
        <f t="shared" si="12"/>
        <v>0</v>
      </c>
      <c r="M284" s="380">
        <f>IF(K284=0,0,IF(COUNTBLANK('3A-Prestatie'!$B$2:$I$22)=0,L284/VLOOKUP(E284,'3A-Prestatie'!$A$1:$M$22,VLOOKUP(K284,'3A-Prestatie'!$A$28:$B$34,2,FALSE),FALSE),"3A prestatie invullen"))</f>
        <v>0</v>
      </c>
      <c r="N284" s="380">
        <f t="shared" si="14"/>
        <v>0</v>
      </c>
      <c r="O284" s="381" t="str">
        <f>VLOOKUP(E284,'3A-Prestatie'!A:M,13,FALSE)</f>
        <v>N.v.t.</v>
      </c>
      <c r="P284" s="382">
        <f>IF(R284="Niet van toepassing",0,VLOOKUP(E284,'3B-Prestaties vloeren'!$A$3:$D$24,IF(G284="Hard onbehandeld",2,IF(G284="Hard behandeld",3,4)),FALSE))</f>
        <v>0</v>
      </c>
      <c r="Q284" s="383">
        <f t="shared" si="13"/>
        <v>0</v>
      </c>
      <c r="R284" s="384" t="str">
        <f>IF(K284=0,"Niet van toepassing",IF(G284='3B-Prestaties vloeren'!$B$2,"Schrobben",IF(G284='3B-Prestaties vloeren'!$C$2,"Sprayen/conserveren",IF(G284='3B-Prestaties vloeren'!$D$2,"Sproei-extractie",0))))</f>
        <v>Niet van toepassing</v>
      </c>
      <c r="S284" s="385">
        <f>IF('2-Tarieven'!$B$28=0,0,IF(M284=0,0,'2-Tarieven'!$B$28*M284))</f>
        <v>0</v>
      </c>
      <c r="T284" s="386">
        <f>IF(AND(COUNTBLANK('3B-Prestaties vloeren'!$F$3:$H$24)=0,COUNTBLANK('3B-Prestaties vloeren'!$L$3:$M$24)=0),IF(R284="Sprayen/conserveren",I284/VLOOKUP(E284,'3B-Prestaties vloeren'!$A$3:$M$24,12,FALSE),0)*(P284-1),0)</f>
        <v>0</v>
      </c>
      <c r="U284" s="386">
        <f>IF(AND(COUNTBLANK('3B-Prestaties vloeren'!$F$3:$H$24)=0,COUNTBLANK('3B-Prestaties vloeren'!$L$3:$M$24)=0),IF(R284="Sprayen/conserveren",I284/VLOOKUP(E284,'3B-Prestaties vloeren'!$A$3:$M$24,13,FALSE),0),0)</f>
        <v>0</v>
      </c>
      <c r="V284" s="386">
        <f>IF(AND(COUNTBLANK('3B-Prestaties vloeren'!$F$3:$H$24)=0,COUNTBLANK('3B-Prestaties vloeren'!$L$3:$M$24)=0),IF(R284="schrobben",I284/VLOOKUP(E284,'3B-Prestaties vloeren'!$A$3:$H$24,6,FALSE),0)*P284,0)</f>
        <v>0</v>
      </c>
      <c r="W284" s="386">
        <f>IF(AND(COUNTBLANK('3B-Prestaties vloeren'!$F$3:$H$24)=0,COUNTBLANK('3B-Prestaties vloeren'!$L$3:$M$24)=0),IF(R284="sproei-extractie",I284/VLOOKUP(E284,'3B-Prestaties vloeren'!$A$3:$H$24,8,FALSE),0)*P284,0)</f>
        <v>0</v>
      </c>
    </row>
    <row r="285" spans="1:23" ht="15" hidden="1">
      <c r="A285" s="378" t="s">
        <v>677</v>
      </c>
      <c r="B285" s="378" t="s">
        <v>678</v>
      </c>
      <c r="C285" s="378">
        <v>2</v>
      </c>
      <c r="D285" s="378" t="s">
        <v>393</v>
      </c>
      <c r="E285" s="378" t="s">
        <v>728</v>
      </c>
      <c r="F285" s="378" t="s">
        <v>695</v>
      </c>
      <c r="G285" s="378" t="str">
        <f>VLOOKUP(F285,'3B-Prestaties vloeren'!$A$28:$B$118,2,0)</f>
        <v>N.v.t.</v>
      </c>
      <c r="H285" s="378" t="s">
        <v>287</v>
      </c>
      <c r="I285" s="378">
        <v>4.0599999999999996</v>
      </c>
      <c r="J285" s="419"/>
      <c r="K285" s="426">
        <v>0</v>
      </c>
      <c r="L285" s="378">
        <f t="shared" si="12"/>
        <v>0</v>
      </c>
      <c r="M285" s="380">
        <f>IF(K285=0,0,IF(COUNTBLANK('3A-Prestatie'!$B$2:$I$22)=0,L285/VLOOKUP(E285,'3A-Prestatie'!$A$1:$M$22,VLOOKUP(K285,'3A-Prestatie'!$A$28:$B$34,2,FALSE),FALSE),"3A prestatie invullen"))</f>
        <v>0</v>
      </c>
      <c r="N285" s="380">
        <f t="shared" si="14"/>
        <v>0</v>
      </c>
      <c r="O285" s="381" t="str">
        <f>VLOOKUP(E285,'3A-Prestatie'!A:M,13,FALSE)</f>
        <v>N.v.t.</v>
      </c>
      <c r="P285" s="382">
        <f>IF(R285="Niet van toepassing",0,VLOOKUP(E285,'3B-Prestaties vloeren'!$A$3:$D$24,IF(G285="Hard onbehandeld",2,IF(G285="Hard behandeld",3,4)),FALSE))</f>
        <v>0</v>
      </c>
      <c r="Q285" s="383">
        <f t="shared" si="13"/>
        <v>0</v>
      </c>
      <c r="R285" s="384" t="str">
        <f>IF(K285=0,"Niet van toepassing",IF(G285='3B-Prestaties vloeren'!$B$2,"Schrobben",IF(G285='3B-Prestaties vloeren'!$C$2,"Sprayen/conserveren",IF(G285='3B-Prestaties vloeren'!$D$2,"Sproei-extractie",0))))</f>
        <v>Niet van toepassing</v>
      </c>
      <c r="S285" s="385">
        <f>IF('2-Tarieven'!$B$28=0,0,IF(M285=0,0,'2-Tarieven'!$B$28*M285))</f>
        <v>0</v>
      </c>
      <c r="T285" s="386">
        <f>IF(AND(COUNTBLANK('3B-Prestaties vloeren'!$F$3:$H$24)=0,COUNTBLANK('3B-Prestaties vloeren'!$L$3:$M$24)=0),IF(R285="Sprayen/conserveren",I285/VLOOKUP(E285,'3B-Prestaties vloeren'!$A$3:$M$24,12,FALSE),0)*(P285-1),0)</f>
        <v>0</v>
      </c>
      <c r="U285" s="386">
        <f>IF(AND(COUNTBLANK('3B-Prestaties vloeren'!$F$3:$H$24)=0,COUNTBLANK('3B-Prestaties vloeren'!$L$3:$M$24)=0),IF(R285="Sprayen/conserveren",I285/VLOOKUP(E285,'3B-Prestaties vloeren'!$A$3:$M$24,13,FALSE),0),0)</f>
        <v>0</v>
      </c>
      <c r="V285" s="386">
        <f>IF(AND(COUNTBLANK('3B-Prestaties vloeren'!$F$3:$H$24)=0,COUNTBLANK('3B-Prestaties vloeren'!$L$3:$M$24)=0),IF(R285="schrobben",I285/VLOOKUP(E285,'3B-Prestaties vloeren'!$A$3:$H$24,6,FALSE),0)*P285,0)</f>
        <v>0</v>
      </c>
      <c r="W285" s="386">
        <f>IF(AND(COUNTBLANK('3B-Prestaties vloeren'!$F$3:$H$24)=0,COUNTBLANK('3B-Prestaties vloeren'!$L$3:$M$24)=0),IF(R285="sproei-extractie",I285/VLOOKUP(E285,'3B-Prestaties vloeren'!$A$3:$H$24,8,FALSE),0)*P285,0)</f>
        <v>0</v>
      </c>
    </row>
    <row r="286" spans="1:23" ht="15" hidden="1">
      <c r="A286" s="378" t="s">
        <v>677</v>
      </c>
      <c r="B286" s="378" t="s">
        <v>678</v>
      </c>
      <c r="C286" s="378">
        <v>2</v>
      </c>
      <c r="D286" s="378" t="s">
        <v>394</v>
      </c>
      <c r="E286" s="378" t="s">
        <v>335</v>
      </c>
      <c r="F286" s="378" t="s">
        <v>65</v>
      </c>
      <c r="G286" s="378" t="str">
        <f>VLOOKUP(F286,'3B-Prestaties vloeren'!$A$28:$B$118,2,0)</f>
        <v>Zacht onbehandeld</v>
      </c>
      <c r="H286" s="378"/>
      <c r="I286" s="378">
        <v>3.08</v>
      </c>
      <c r="J286" s="420" t="s">
        <v>749</v>
      </c>
      <c r="K286" s="426">
        <v>52</v>
      </c>
      <c r="L286" s="378">
        <f t="shared" si="12"/>
        <v>160.16</v>
      </c>
      <c r="M286" s="380" t="str">
        <f>IF(K286=0,0,IF(COUNTBLANK('3A-Prestatie'!$B$2:$I$22)=0,L286/VLOOKUP(E286,'3A-Prestatie'!$A$1:$M$22,VLOOKUP(K286,'3A-Prestatie'!$A$28:$B$34,2,FALSE),FALSE),"3A prestatie invullen"))</f>
        <v>3A prestatie invullen</v>
      </c>
      <c r="N286" s="380">
        <f t="shared" si="14"/>
        <v>0</v>
      </c>
      <c r="O286" s="381" t="str">
        <f>VLOOKUP(E286,'3A-Prestatie'!A:M,13,FALSE)</f>
        <v>V</v>
      </c>
      <c r="P286" s="382">
        <f>IF(R286="Niet van toepassing",0,VLOOKUP(E286,'3B-Prestaties vloeren'!$A$3:$D$24,IF(G286="Hard onbehandeld",2,IF(G286="Hard behandeld",3,4)),FALSE))</f>
        <v>1</v>
      </c>
      <c r="Q286" s="383">
        <f t="shared" si="13"/>
        <v>0</v>
      </c>
      <c r="R286" s="384" t="str">
        <f>IF(K286=0,"Niet van toepassing",IF(G286='3B-Prestaties vloeren'!$B$2,"Schrobben",IF(G286='3B-Prestaties vloeren'!$C$2,"Sprayen/conserveren",IF(G286='3B-Prestaties vloeren'!$D$2,"Sproei-extractie",0))))</f>
        <v>Sproei-extractie</v>
      </c>
      <c r="S286" s="385">
        <f>IF('2-Tarieven'!$B$28=0,0,IF(M286=0,0,'2-Tarieven'!$B$28*M286))</f>
        <v>0</v>
      </c>
      <c r="T286" s="386">
        <f>IF(AND(COUNTBLANK('3B-Prestaties vloeren'!$F$3:$H$24)=0,COUNTBLANK('3B-Prestaties vloeren'!$L$3:$M$24)=0),IF(R286="Sprayen/conserveren",I286/VLOOKUP(E286,'3B-Prestaties vloeren'!$A$3:$M$24,12,FALSE),0)*(P286-1),0)</f>
        <v>0</v>
      </c>
      <c r="U286" s="386">
        <f>IF(AND(COUNTBLANK('3B-Prestaties vloeren'!$F$3:$H$24)=0,COUNTBLANK('3B-Prestaties vloeren'!$L$3:$M$24)=0),IF(R286="Sprayen/conserveren",I286/VLOOKUP(E286,'3B-Prestaties vloeren'!$A$3:$M$24,13,FALSE),0),0)</f>
        <v>0</v>
      </c>
      <c r="V286" s="386">
        <f>IF(AND(COUNTBLANK('3B-Prestaties vloeren'!$F$3:$H$24)=0,COUNTBLANK('3B-Prestaties vloeren'!$L$3:$M$24)=0),IF(R286="schrobben",I286/VLOOKUP(E286,'3B-Prestaties vloeren'!$A$3:$H$24,6,FALSE),0)*P286,0)</f>
        <v>0</v>
      </c>
      <c r="W286" s="386">
        <f>IF(AND(COUNTBLANK('3B-Prestaties vloeren'!$F$3:$H$24)=0,COUNTBLANK('3B-Prestaties vloeren'!$L$3:$M$24)=0),IF(R286="sproei-extractie",I286/VLOOKUP(E286,'3B-Prestaties vloeren'!$A$3:$H$24,8,FALSE),0)*P286,0)</f>
        <v>0</v>
      </c>
    </row>
    <row r="287" spans="1:23" ht="15" hidden="1">
      <c r="A287" s="378" t="s">
        <v>677</v>
      </c>
      <c r="B287" s="378" t="s">
        <v>678</v>
      </c>
      <c r="C287" s="378">
        <v>3</v>
      </c>
      <c r="D287" s="378" t="s">
        <v>395</v>
      </c>
      <c r="E287" s="378" t="s">
        <v>285</v>
      </c>
      <c r="F287" s="378" t="s">
        <v>416</v>
      </c>
      <c r="G287" s="378" t="str">
        <f>VLOOKUP(F287,'3B-Prestaties vloeren'!$A$28:$B$118,2,0)</f>
        <v>Hard onbehandeld</v>
      </c>
      <c r="H287" s="378" t="s">
        <v>686</v>
      </c>
      <c r="I287" s="378">
        <v>17.100000000000001</v>
      </c>
      <c r="J287" s="420" t="s">
        <v>749</v>
      </c>
      <c r="K287" s="426">
        <v>255</v>
      </c>
      <c r="L287" s="378">
        <f t="shared" si="12"/>
        <v>4360.5</v>
      </c>
      <c r="M287" s="380" t="str">
        <f>IF(K287=0,0,IF(COUNTBLANK('3A-Prestatie'!$B$2:$I$22)=0,L287/VLOOKUP(E287,'3A-Prestatie'!$A$1:$M$22,VLOOKUP(K287,'3A-Prestatie'!$A$28:$B$34,2,FALSE),FALSE),"3A prestatie invullen"))</f>
        <v>3A prestatie invullen</v>
      </c>
      <c r="N287" s="380">
        <f t="shared" si="14"/>
        <v>0</v>
      </c>
      <c r="O287" s="381" t="str">
        <f>VLOOKUP(E287,'3A-Prestatie'!A:M,13,FALSE)</f>
        <v>V</v>
      </c>
      <c r="P287" s="382">
        <f>IF(R287="Niet van toepassing",0,VLOOKUP(E287,'3B-Prestaties vloeren'!$A$3:$D$24,IF(G287="Hard onbehandeld",2,IF(G287="Hard behandeld",3,4)),FALSE))</f>
        <v>52</v>
      </c>
      <c r="Q287" s="383">
        <f t="shared" si="13"/>
        <v>0</v>
      </c>
      <c r="R287" s="384" t="str">
        <f>IF(K287=0,"Niet van toepassing",IF(G287='3B-Prestaties vloeren'!$B$2,"Schrobben",IF(G287='3B-Prestaties vloeren'!$C$2,"Sprayen/conserveren",IF(G287='3B-Prestaties vloeren'!$D$2,"Sproei-extractie",0))))</f>
        <v>Schrobben</v>
      </c>
      <c r="S287" s="385">
        <f>IF('2-Tarieven'!$B$28=0,0,IF(M287=0,0,'2-Tarieven'!$B$28*M287))</f>
        <v>0</v>
      </c>
      <c r="T287" s="386">
        <f>IF(AND(COUNTBLANK('3B-Prestaties vloeren'!$F$3:$H$24)=0,COUNTBLANK('3B-Prestaties vloeren'!$L$3:$M$24)=0),IF(R287="Sprayen/conserveren",I287/VLOOKUP(E287,'3B-Prestaties vloeren'!$A$3:$M$24,12,FALSE),0)*(P287-1),0)</f>
        <v>0</v>
      </c>
      <c r="U287" s="386">
        <f>IF(AND(COUNTBLANK('3B-Prestaties vloeren'!$F$3:$H$24)=0,COUNTBLANK('3B-Prestaties vloeren'!$L$3:$M$24)=0),IF(R287="Sprayen/conserveren",I287/VLOOKUP(E287,'3B-Prestaties vloeren'!$A$3:$M$24,13,FALSE),0),0)</f>
        <v>0</v>
      </c>
      <c r="V287" s="386">
        <f>IF(AND(COUNTBLANK('3B-Prestaties vloeren'!$F$3:$H$24)=0,COUNTBLANK('3B-Prestaties vloeren'!$L$3:$M$24)=0),IF(R287="schrobben",I287/VLOOKUP(E287,'3B-Prestaties vloeren'!$A$3:$H$24,6,FALSE),0)*P287,0)</f>
        <v>0</v>
      </c>
      <c r="W287" s="386">
        <f>IF(AND(COUNTBLANK('3B-Prestaties vloeren'!$F$3:$H$24)=0,COUNTBLANK('3B-Prestaties vloeren'!$L$3:$M$24)=0),IF(R287="sproei-extractie",I287/VLOOKUP(E287,'3B-Prestaties vloeren'!$A$3:$H$24,8,FALSE),0)*P287,0)</f>
        <v>0</v>
      </c>
    </row>
    <row r="288" spans="1:23" ht="15" hidden="1">
      <c r="A288" s="378" t="s">
        <v>677</v>
      </c>
      <c r="B288" s="378" t="s">
        <v>678</v>
      </c>
      <c r="C288" s="378">
        <v>3</v>
      </c>
      <c r="D288" s="378" t="s">
        <v>396</v>
      </c>
      <c r="E288" s="378" t="s">
        <v>696</v>
      </c>
      <c r="F288" s="378" t="s">
        <v>416</v>
      </c>
      <c r="G288" s="378" t="str">
        <f>VLOOKUP(F288,'3B-Prestaties vloeren'!$A$28:$B$118,2,0)</f>
        <v>Hard onbehandeld</v>
      </c>
      <c r="H288" s="378" t="s">
        <v>697</v>
      </c>
      <c r="I288" s="378">
        <v>3.26</v>
      </c>
      <c r="J288" s="420" t="s">
        <v>749</v>
      </c>
      <c r="K288" s="426">
        <v>52</v>
      </c>
      <c r="L288" s="378">
        <f t="shared" si="12"/>
        <v>169.51999999999998</v>
      </c>
      <c r="M288" s="380" t="str">
        <f>IF(K288=0,0,IF(COUNTBLANK('3A-Prestatie'!$B$2:$I$22)=0,L288/VLOOKUP(E288,'3A-Prestatie'!$A$1:$M$22,VLOOKUP(K288,'3A-Prestatie'!$A$28:$B$34,2,FALSE),FALSE),"3A prestatie invullen"))</f>
        <v>3A prestatie invullen</v>
      </c>
      <c r="N288" s="380">
        <f t="shared" si="14"/>
        <v>0</v>
      </c>
      <c r="O288" s="381" t="str">
        <f>VLOOKUP(E288,'3A-Prestatie'!A:M,13,FALSE)</f>
        <v>V</v>
      </c>
      <c r="P288" s="382">
        <f>IF(R288="Niet van toepassing",0,VLOOKUP(E288,'3B-Prestaties vloeren'!$A$3:$D$24,IF(G288="Hard onbehandeld",2,IF(G288="Hard behandeld",3,4)),FALSE))</f>
        <v>4</v>
      </c>
      <c r="Q288" s="383">
        <f t="shared" si="13"/>
        <v>0</v>
      </c>
      <c r="R288" s="384" t="str">
        <f>IF(K288=0,"Niet van toepassing",IF(G288='3B-Prestaties vloeren'!$B$2,"Schrobben",IF(G288='3B-Prestaties vloeren'!$C$2,"Sprayen/conserveren",IF(G288='3B-Prestaties vloeren'!$D$2,"Sproei-extractie",0))))</f>
        <v>Schrobben</v>
      </c>
      <c r="S288" s="385">
        <f>IF('2-Tarieven'!$B$28=0,0,IF(M288=0,0,'2-Tarieven'!$B$28*M288))</f>
        <v>0</v>
      </c>
      <c r="T288" s="386">
        <f>IF(AND(COUNTBLANK('3B-Prestaties vloeren'!$F$3:$H$24)=0,COUNTBLANK('3B-Prestaties vloeren'!$L$3:$M$24)=0),IF(R288="Sprayen/conserveren",I288/VLOOKUP(E288,'3B-Prestaties vloeren'!$A$3:$M$24,12,FALSE),0)*(P288-1),0)</f>
        <v>0</v>
      </c>
      <c r="U288" s="386">
        <f>IF(AND(COUNTBLANK('3B-Prestaties vloeren'!$F$3:$H$24)=0,COUNTBLANK('3B-Prestaties vloeren'!$L$3:$M$24)=0),IF(R288="Sprayen/conserveren",I288/VLOOKUP(E288,'3B-Prestaties vloeren'!$A$3:$M$24,13,FALSE),0),0)</f>
        <v>0</v>
      </c>
      <c r="V288" s="386">
        <f>IF(AND(COUNTBLANK('3B-Prestaties vloeren'!$F$3:$H$24)=0,COUNTBLANK('3B-Prestaties vloeren'!$L$3:$M$24)=0),IF(R288="schrobben",I288/VLOOKUP(E288,'3B-Prestaties vloeren'!$A$3:$H$24,6,FALSE),0)*P288,0)</f>
        <v>0</v>
      </c>
      <c r="W288" s="386">
        <f>IF(AND(COUNTBLANK('3B-Prestaties vloeren'!$F$3:$H$24)=0,COUNTBLANK('3B-Prestaties vloeren'!$L$3:$M$24)=0),IF(R288="sproei-extractie",I288/VLOOKUP(E288,'3B-Prestaties vloeren'!$A$3:$H$24,8,FALSE),0)*P288,0)</f>
        <v>0</v>
      </c>
    </row>
    <row r="289" spans="1:23" ht="15" hidden="1">
      <c r="A289" s="378" t="s">
        <v>677</v>
      </c>
      <c r="B289" s="378" t="s">
        <v>678</v>
      </c>
      <c r="C289" s="378">
        <v>3</v>
      </c>
      <c r="D289" s="378" t="s">
        <v>397</v>
      </c>
      <c r="E289" s="378" t="s">
        <v>728</v>
      </c>
      <c r="F289" s="378" t="s">
        <v>65</v>
      </c>
      <c r="G289" s="378" t="str">
        <f>VLOOKUP(F289,'3B-Prestaties vloeren'!$A$28:$B$118,2,0)</f>
        <v>Zacht onbehandeld</v>
      </c>
      <c r="H289" s="378" t="s">
        <v>283</v>
      </c>
      <c r="I289" s="378">
        <v>3.25</v>
      </c>
      <c r="J289" s="419"/>
      <c r="K289" s="426">
        <v>0</v>
      </c>
      <c r="L289" s="378">
        <f t="shared" si="12"/>
        <v>0</v>
      </c>
      <c r="M289" s="380">
        <f>IF(K289=0,0,IF(COUNTBLANK('3A-Prestatie'!$B$2:$I$22)=0,L289/VLOOKUP(E289,'3A-Prestatie'!$A$1:$M$22,VLOOKUP(K289,'3A-Prestatie'!$A$28:$B$34,2,FALSE),FALSE),"3A prestatie invullen"))</f>
        <v>0</v>
      </c>
      <c r="N289" s="380">
        <f t="shared" si="14"/>
        <v>0</v>
      </c>
      <c r="O289" s="381" t="str">
        <f>VLOOKUP(E289,'3A-Prestatie'!A:M,13,FALSE)</f>
        <v>N.v.t.</v>
      </c>
      <c r="P289" s="382">
        <f>IF(R289="Niet van toepassing",0,VLOOKUP(E289,'3B-Prestaties vloeren'!$A$3:$D$24,IF(G289="Hard onbehandeld",2,IF(G289="Hard behandeld",3,4)),FALSE))</f>
        <v>0</v>
      </c>
      <c r="Q289" s="383">
        <f t="shared" si="13"/>
        <v>0</v>
      </c>
      <c r="R289" s="384" t="str">
        <f>IF(K289=0,"Niet van toepassing",IF(G289='3B-Prestaties vloeren'!$B$2,"Schrobben",IF(G289='3B-Prestaties vloeren'!$C$2,"Sprayen/conserveren",IF(G289='3B-Prestaties vloeren'!$D$2,"Sproei-extractie",0))))</f>
        <v>Niet van toepassing</v>
      </c>
      <c r="S289" s="385">
        <f>IF('2-Tarieven'!$B$28=0,0,IF(M289=0,0,'2-Tarieven'!$B$28*M289))</f>
        <v>0</v>
      </c>
      <c r="T289" s="386">
        <f>IF(AND(COUNTBLANK('3B-Prestaties vloeren'!$F$3:$H$24)=0,COUNTBLANK('3B-Prestaties vloeren'!$L$3:$M$24)=0),IF(R289="Sprayen/conserveren",I289/VLOOKUP(E289,'3B-Prestaties vloeren'!$A$3:$M$24,12,FALSE),0)*(P289-1),0)</f>
        <v>0</v>
      </c>
      <c r="U289" s="386">
        <f>IF(AND(COUNTBLANK('3B-Prestaties vloeren'!$F$3:$H$24)=0,COUNTBLANK('3B-Prestaties vloeren'!$L$3:$M$24)=0),IF(R289="Sprayen/conserveren",I289/VLOOKUP(E289,'3B-Prestaties vloeren'!$A$3:$M$24,13,FALSE),0),0)</f>
        <v>0</v>
      </c>
      <c r="V289" s="386">
        <f>IF(AND(COUNTBLANK('3B-Prestaties vloeren'!$F$3:$H$24)=0,COUNTBLANK('3B-Prestaties vloeren'!$L$3:$M$24)=0),IF(R289="schrobben",I289/VLOOKUP(E289,'3B-Prestaties vloeren'!$A$3:$H$24,6,FALSE),0)*P289,0)</f>
        <v>0</v>
      </c>
      <c r="W289" s="386">
        <f>IF(AND(COUNTBLANK('3B-Prestaties vloeren'!$F$3:$H$24)=0,COUNTBLANK('3B-Prestaties vloeren'!$L$3:$M$24)=0),IF(R289="sproei-extractie",I289/VLOOKUP(E289,'3B-Prestaties vloeren'!$A$3:$H$24,8,FALSE),0)*P289,0)</f>
        <v>0</v>
      </c>
    </row>
    <row r="290" spans="1:23" ht="15" hidden="1">
      <c r="A290" s="378" t="s">
        <v>677</v>
      </c>
      <c r="B290" s="378" t="s">
        <v>678</v>
      </c>
      <c r="C290" s="378">
        <v>3</v>
      </c>
      <c r="D290" s="378" t="s">
        <v>398</v>
      </c>
      <c r="E290" s="378" t="s">
        <v>5</v>
      </c>
      <c r="F290" s="378" t="s">
        <v>65</v>
      </c>
      <c r="G290" s="378" t="str">
        <f>VLOOKUP(F290,'3B-Prestaties vloeren'!$A$28:$B$118,2,0)</f>
        <v>Zacht onbehandeld</v>
      </c>
      <c r="H290" s="378"/>
      <c r="I290" s="378">
        <v>19.2</v>
      </c>
      <c r="J290" s="420" t="s">
        <v>749</v>
      </c>
      <c r="K290" s="426">
        <v>52</v>
      </c>
      <c r="L290" s="378">
        <f t="shared" si="12"/>
        <v>998.4</v>
      </c>
      <c r="M290" s="380" t="str">
        <f>IF(K290=0,0,IF(COUNTBLANK('3A-Prestatie'!$B$2:$I$22)=0,L290/VLOOKUP(E290,'3A-Prestatie'!$A$1:$M$22,VLOOKUP(K290,'3A-Prestatie'!$A$28:$B$34,2,FALSE),FALSE),"3A prestatie invullen"))</f>
        <v>3A prestatie invullen</v>
      </c>
      <c r="N290" s="380">
        <f t="shared" si="14"/>
        <v>0</v>
      </c>
      <c r="O290" s="381" t="str">
        <f>VLOOKUP(E290,'3A-Prestatie'!A:M,13,FALSE)</f>
        <v>B</v>
      </c>
      <c r="P290" s="382">
        <f>IF(R290="Niet van toepassing",0,VLOOKUP(E290,'3B-Prestaties vloeren'!$A$3:$D$24,IF(G290="Hard onbehandeld",2,IF(G290="Hard behandeld",3,4)),FALSE))</f>
        <v>1</v>
      </c>
      <c r="Q290" s="383">
        <f t="shared" si="13"/>
        <v>0</v>
      </c>
      <c r="R290" s="384" t="str">
        <f>IF(K290=0,"Niet van toepassing",IF(G290='3B-Prestaties vloeren'!$B$2,"Schrobben",IF(G290='3B-Prestaties vloeren'!$C$2,"Sprayen/conserveren",IF(G290='3B-Prestaties vloeren'!$D$2,"Sproei-extractie",0))))</f>
        <v>Sproei-extractie</v>
      </c>
      <c r="S290" s="385">
        <f>IF('2-Tarieven'!$B$28=0,0,IF(M290=0,0,'2-Tarieven'!$B$28*M290))</f>
        <v>0</v>
      </c>
      <c r="T290" s="386">
        <f>IF(AND(COUNTBLANK('3B-Prestaties vloeren'!$F$3:$H$24)=0,COUNTBLANK('3B-Prestaties vloeren'!$L$3:$M$24)=0),IF(R290="Sprayen/conserveren",I290/VLOOKUP(E290,'3B-Prestaties vloeren'!$A$3:$M$24,12,FALSE),0)*(P290-1),0)</f>
        <v>0</v>
      </c>
      <c r="U290" s="386">
        <f>IF(AND(COUNTBLANK('3B-Prestaties vloeren'!$F$3:$H$24)=0,COUNTBLANK('3B-Prestaties vloeren'!$L$3:$M$24)=0),IF(R290="Sprayen/conserveren",I290/VLOOKUP(E290,'3B-Prestaties vloeren'!$A$3:$M$24,13,FALSE),0),0)</f>
        <v>0</v>
      </c>
      <c r="V290" s="386">
        <f>IF(AND(COUNTBLANK('3B-Prestaties vloeren'!$F$3:$H$24)=0,COUNTBLANK('3B-Prestaties vloeren'!$L$3:$M$24)=0),IF(R290="schrobben",I290/VLOOKUP(E290,'3B-Prestaties vloeren'!$A$3:$H$24,6,FALSE),0)*P290,0)</f>
        <v>0</v>
      </c>
      <c r="W290" s="386">
        <f>IF(AND(COUNTBLANK('3B-Prestaties vloeren'!$F$3:$H$24)=0,COUNTBLANK('3B-Prestaties vloeren'!$L$3:$M$24)=0),IF(R290="sproei-extractie",I290/VLOOKUP(E290,'3B-Prestaties vloeren'!$A$3:$H$24,8,FALSE),0)*P290,0)</f>
        <v>0</v>
      </c>
    </row>
    <row r="291" spans="1:23" ht="15" hidden="1">
      <c r="A291" s="378" t="s">
        <v>677</v>
      </c>
      <c r="B291" s="378" t="s">
        <v>678</v>
      </c>
      <c r="C291" s="378">
        <v>3</v>
      </c>
      <c r="D291" s="378" t="s">
        <v>399</v>
      </c>
      <c r="E291" s="378" t="s">
        <v>5</v>
      </c>
      <c r="F291" s="378" t="s">
        <v>65</v>
      </c>
      <c r="G291" s="378" t="str">
        <f>VLOOKUP(F291,'3B-Prestaties vloeren'!$A$28:$B$118,2,0)</f>
        <v>Zacht onbehandeld</v>
      </c>
      <c r="H291" s="378"/>
      <c r="I291" s="378">
        <v>19.55</v>
      </c>
      <c r="J291" s="420" t="s">
        <v>749</v>
      </c>
      <c r="K291" s="426">
        <v>52</v>
      </c>
      <c r="L291" s="378">
        <f t="shared" si="12"/>
        <v>1016.6</v>
      </c>
      <c r="M291" s="380" t="str">
        <f>IF(K291=0,0,IF(COUNTBLANK('3A-Prestatie'!$B$2:$I$22)=0,L291/VLOOKUP(E291,'3A-Prestatie'!$A$1:$M$22,VLOOKUP(K291,'3A-Prestatie'!$A$28:$B$34,2,FALSE),FALSE),"3A prestatie invullen"))</f>
        <v>3A prestatie invullen</v>
      </c>
      <c r="N291" s="380">
        <f t="shared" si="14"/>
        <v>0</v>
      </c>
      <c r="O291" s="381" t="str">
        <f>VLOOKUP(E291,'3A-Prestatie'!A:M,13,FALSE)</f>
        <v>B</v>
      </c>
      <c r="P291" s="382">
        <f>IF(R291="Niet van toepassing",0,VLOOKUP(E291,'3B-Prestaties vloeren'!$A$3:$D$24,IF(G291="Hard onbehandeld",2,IF(G291="Hard behandeld",3,4)),FALSE))</f>
        <v>1</v>
      </c>
      <c r="Q291" s="383">
        <f t="shared" si="13"/>
        <v>0</v>
      </c>
      <c r="R291" s="384" t="str">
        <f>IF(K291=0,"Niet van toepassing",IF(G291='3B-Prestaties vloeren'!$B$2,"Schrobben",IF(G291='3B-Prestaties vloeren'!$C$2,"Sprayen/conserveren",IF(G291='3B-Prestaties vloeren'!$D$2,"Sproei-extractie",0))))</f>
        <v>Sproei-extractie</v>
      </c>
      <c r="S291" s="385">
        <f>IF('2-Tarieven'!$B$28=0,0,IF(M291=0,0,'2-Tarieven'!$B$28*M291))</f>
        <v>0</v>
      </c>
      <c r="T291" s="386">
        <f>IF(AND(COUNTBLANK('3B-Prestaties vloeren'!$F$3:$H$24)=0,COUNTBLANK('3B-Prestaties vloeren'!$L$3:$M$24)=0),IF(R291="Sprayen/conserveren",I291/VLOOKUP(E291,'3B-Prestaties vloeren'!$A$3:$M$24,12,FALSE),0)*(P291-1),0)</f>
        <v>0</v>
      </c>
      <c r="U291" s="386">
        <f>IF(AND(COUNTBLANK('3B-Prestaties vloeren'!$F$3:$H$24)=0,COUNTBLANK('3B-Prestaties vloeren'!$L$3:$M$24)=0),IF(R291="Sprayen/conserveren",I291/VLOOKUP(E291,'3B-Prestaties vloeren'!$A$3:$M$24,13,FALSE),0),0)</f>
        <v>0</v>
      </c>
      <c r="V291" s="386">
        <f>IF(AND(COUNTBLANK('3B-Prestaties vloeren'!$F$3:$H$24)=0,COUNTBLANK('3B-Prestaties vloeren'!$L$3:$M$24)=0),IF(R291="schrobben",I291/VLOOKUP(E291,'3B-Prestaties vloeren'!$A$3:$H$24,6,FALSE),0)*P291,0)</f>
        <v>0</v>
      </c>
      <c r="W291" s="386">
        <f>IF(AND(COUNTBLANK('3B-Prestaties vloeren'!$F$3:$H$24)=0,COUNTBLANK('3B-Prestaties vloeren'!$L$3:$M$24)=0),IF(R291="sproei-extractie",I291/VLOOKUP(E291,'3B-Prestaties vloeren'!$A$3:$H$24,8,FALSE),0)*P291,0)</f>
        <v>0</v>
      </c>
    </row>
    <row r="292" spans="1:23" ht="15" hidden="1">
      <c r="A292" s="378" t="s">
        <v>677</v>
      </c>
      <c r="B292" s="378" t="s">
        <v>678</v>
      </c>
      <c r="C292" s="378">
        <v>3</v>
      </c>
      <c r="D292" s="378" t="s">
        <v>400</v>
      </c>
      <c r="E292" s="378" t="s">
        <v>5</v>
      </c>
      <c r="F292" s="378" t="s">
        <v>65</v>
      </c>
      <c r="G292" s="378" t="str">
        <f>VLOOKUP(F292,'3B-Prestaties vloeren'!$A$28:$B$118,2,0)</f>
        <v>Zacht onbehandeld</v>
      </c>
      <c r="H292" s="378"/>
      <c r="I292" s="378">
        <v>19.55</v>
      </c>
      <c r="J292" s="420" t="s">
        <v>749</v>
      </c>
      <c r="K292" s="426">
        <v>52</v>
      </c>
      <c r="L292" s="378">
        <f t="shared" si="12"/>
        <v>1016.6</v>
      </c>
      <c r="M292" s="380" t="str">
        <f>IF(K292=0,0,IF(COUNTBLANK('3A-Prestatie'!$B$2:$I$22)=0,L292/VLOOKUP(E292,'3A-Prestatie'!$A$1:$M$22,VLOOKUP(K292,'3A-Prestatie'!$A$28:$B$34,2,FALSE),FALSE),"3A prestatie invullen"))</f>
        <v>3A prestatie invullen</v>
      </c>
      <c r="N292" s="380">
        <f t="shared" si="14"/>
        <v>0</v>
      </c>
      <c r="O292" s="381" t="str">
        <f>VLOOKUP(E292,'3A-Prestatie'!A:M,13,FALSE)</f>
        <v>B</v>
      </c>
      <c r="P292" s="382">
        <f>IF(R292="Niet van toepassing",0,VLOOKUP(E292,'3B-Prestaties vloeren'!$A$3:$D$24,IF(G292="Hard onbehandeld",2,IF(G292="Hard behandeld",3,4)),FALSE))</f>
        <v>1</v>
      </c>
      <c r="Q292" s="383">
        <f t="shared" si="13"/>
        <v>0</v>
      </c>
      <c r="R292" s="384" t="str">
        <f>IF(K292=0,"Niet van toepassing",IF(G292='3B-Prestaties vloeren'!$B$2,"Schrobben",IF(G292='3B-Prestaties vloeren'!$C$2,"Sprayen/conserveren",IF(G292='3B-Prestaties vloeren'!$D$2,"Sproei-extractie",0))))</f>
        <v>Sproei-extractie</v>
      </c>
      <c r="S292" s="385">
        <f>IF('2-Tarieven'!$B$28=0,0,IF(M292=0,0,'2-Tarieven'!$B$28*M292))</f>
        <v>0</v>
      </c>
      <c r="T292" s="386">
        <f>IF(AND(COUNTBLANK('3B-Prestaties vloeren'!$F$3:$H$24)=0,COUNTBLANK('3B-Prestaties vloeren'!$L$3:$M$24)=0),IF(R292="Sprayen/conserveren",I292/VLOOKUP(E292,'3B-Prestaties vloeren'!$A$3:$M$24,12,FALSE),0)*(P292-1),0)</f>
        <v>0</v>
      </c>
      <c r="U292" s="386">
        <f>IF(AND(COUNTBLANK('3B-Prestaties vloeren'!$F$3:$H$24)=0,COUNTBLANK('3B-Prestaties vloeren'!$L$3:$M$24)=0),IF(R292="Sprayen/conserveren",I292/VLOOKUP(E292,'3B-Prestaties vloeren'!$A$3:$M$24,13,FALSE),0),0)</f>
        <v>0</v>
      </c>
      <c r="V292" s="386">
        <f>IF(AND(COUNTBLANK('3B-Prestaties vloeren'!$F$3:$H$24)=0,COUNTBLANK('3B-Prestaties vloeren'!$L$3:$M$24)=0),IF(R292="schrobben",I292/VLOOKUP(E292,'3B-Prestaties vloeren'!$A$3:$H$24,6,FALSE),0)*P292,0)</f>
        <v>0</v>
      </c>
      <c r="W292" s="386">
        <f>IF(AND(COUNTBLANK('3B-Prestaties vloeren'!$F$3:$H$24)=0,COUNTBLANK('3B-Prestaties vloeren'!$L$3:$M$24)=0),IF(R292="sproei-extractie",I292/VLOOKUP(E292,'3B-Prestaties vloeren'!$A$3:$H$24,8,FALSE),0)*P292,0)</f>
        <v>0</v>
      </c>
    </row>
    <row r="293" spans="1:23" ht="15" hidden="1">
      <c r="A293" s="378" t="s">
        <v>677</v>
      </c>
      <c r="B293" s="378" t="s">
        <v>678</v>
      </c>
      <c r="C293" s="378">
        <v>3</v>
      </c>
      <c r="D293" s="378" t="s">
        <v>401</v>
      </c>
      <c r="E293" s="378" t="s">
        <v>5</v>
      </c>
      <c r="F293" s="378" t="s">
        <v>65</v>
      </c>
      <c r="G293" s="378" t="str">
        <f>VLOOKUP(F293,'3B-Prestaties vloeren'!$A$28:$B$118,2,0)</f>
        <v>Zacht onbehandeld</v>
      </c>
      <c r="H293" s="378"/>
      <c r="I293" s="378">
        <v>19.55</v>
      </c>
      <c r="J293" s="420" t="s">
        <v>749</v>
      </c>
      <c r="K293" s="426">
        <v>52</v>
      </c>
      <c r="L293" s="378">
        <f t="shared" si="12"/>
        <v>1016.6</v>
      </c>
      <c r="M293" s="380" t="str">
        <f>IF(K293=0,0,IF(COUNTBLANK('3A-Prestatie'!$B$2:$I$22)=0,L293/VLOOKUP(E293,'3A-Prestatie'!$A$1:$M$22,VLOOKUP(K293,'3A-Prestatie'!$A$28:$B$34,2,FALSE),FALSE),"3A prestatie invullen"))</f>
        <v>3A prestatie invullen</v>
      </c>
      <c r="N293" s="380">
        <f t="shared" si="14"/>
        <v>0</v>
      </c>
      <c r="O293" s="381" t="str">
        <f>VLOOKUP(E293,'3A-Prestatie'!A:M,13,FALSE)</f>
        <v>B</v>
      </c>
      <c r="P293" s="382">
        <f>IF(R293="Niet van toepassing",0,VLOOKUP(E293,'3B-Prestaties vloeren'!$A$3:$D$24,IF(G293="Hard onbehandeld",2,IF(G293="Hard behandeld",3,4)),FALSE))</f>
        <v>1</v>
      </c>
      <c r="Q293" s="383">
        <f t="shared" si="13"/>
        <v>0</v>
      </c>
      <c r="R293" s="384" t="str">
        <f>IF(K293=0,"Niet van toepassing",IF(G293='3B-Prestaties vloeren'!$B$2,"Schrobben",IF(G293='3B-Prestaties vloeren'!$C$2,"Sprayen/conserveren",IF(G293='3B-Prestaties vloeren'!$D$2,"Sproei-extractie",0))))</f>
        <v>Sproei-extractie</v>
      </c>
      <c r="S293" s="385">
        <f>IF('2-Tarieven'!$B$28=0,0,IF(M293=0,0,'2-Tarieven'!$B$28*M293))</f>
        <v>0</v>
      </c>
      <c r="T293" s="386">
        <f>IF(AND(COUNTBLANK('3B-Prestaties vloeren'!$F$3:$H$24)=0,COUNTBLANK('3B-Prestaties vloeren'!$L$3:$M$24)=0),IF(R293="Sprayen/conserveren",I293/VLOOKUP(E293,'3B-Prestaties vloeren'!$A$3:$M$24,12,FALSE),0)*(P293-1),0)</f>
        <v>0</v>
      </c>
      <c r="U293" s="386">
        <f>IF(AND(COUNTBLANK('3B-Prestaties vloeren'!$F$3:$H$24)=0,COUNTBLANK('3B-Prestaties vloeren'!$L$3:$M$24)=0),IF(R293="Sprayen/conserveren",I293/VLOOKUP(E293,'3B-Prestaties vloeren'!$A$3:$M$24,13,FALSE),0),0)</f>
        <v>0</v>
      </c>
      <c r="V293" s="386">
        <f>IF(AND(COUNTBLANK('3B-Prestaties vloeren'!$F$3:$H$24)=0,COUNTBLANK('3B-Prestaties vloeren'!$L$3:$M$24)=0),IF(R293="schrobben",I293/VLOOKUP(E293,'3B-Prestaties vloeren'!$A$3:$H$24,6,FALSE),0)*P293,0)</f>
        <v>0</v>
      </c>
      <c r="W293" s="386">
        <f>IF(AND(COUNTBLANK('3B-Prestaties vloeren'!$F$3:$H$24)=0,COUNTBLANK('3B-Prestaties vloeren'!$L$3:$M$24)=0),IF(R293="sproei-extractie",I293/VLOOKUP(E293,'3B-Prestaties vloeren'!$A$3:$H$24,8,FALSE),0)*P293,0)</f>
        <v>0</v>
      </c>
    </row>
    <row r="294" spans="1:23" ht="15" hidden="1">
      <c r="A294" s="378" t="s">
        <v>677</v>
      </c>
      <c r="B294" s="378" t="s">
        <v>678</v>
      </c>
      <c r="C294" s="378">
        <v>3</v>
      </c>
      <c r="D294" s="378" t="s">
        <v>402</v>
      </c>
      <c r="E294" s="378" t="s">
        <v>5</v>
      </c>
      <c r="F294" s="378" t="s">
        <v>65</v>
      </c>
      <c r="G294" s="378" t="str">
        <f>VLOOKUP(F294,'3B-Prestaties vloeren'!$A$28:$B$118,2,0)</f>
        <v>Zacht onbehandeld</v>
      </c>
      <c r="H294" s="378"/>
      <c r="I294" s="378">
        <v>29.6</v>
      </c>
      <c r="J294" s="420" t="s">
        <v>749</v>
      </c>
      <c r="K294" s="426">
        <v>52</v>
      </c>
      <c r="L294" s="378">
        <f t="shared" si="12"/>
        <v>1539.2</v>
      </c>
      <c r="M294" s="380" t="str">
        <f>IF(K294=0,0,IF(COUNTBLANK('3A-Prestatie'!$B$2:$I$22)=0,L294/VLOOKUP(E294,'3A-Prestatie'!$A$1:$M$22,VLOOKUP(K294,'3A-Prestatie'!$A$28:$B$34,2,FALSE),FALSE),"3A prestatie invullen"))</f>
        <v>3A prestatie invullen</v>
      </c>
      <c r="N294" s="380">
        <f t="shared" si="14"/>
        <v>0</v>
      </c>
      <c r="O294" s="381" t="str">
        <f>VLOOKUP(E294,'3A-Prestatie'!A:M,13,FALSE)</f>
        <v>B</v>
      </c>
      <c r="P294" s="382">
        <f>IF(R294="Niet van toepassing",0,VLOOKUP(E294,'3B-Prestaties vloeren'!$A$3:$D$24,IF(G294="Hard onbehandeld",2,IF(G294="Hard behandeld",3,4)),FALSE))</f>
        <v>1</v>
      </c>
      <c r="Q294" s="383">
        <f t="shared" si="13"/>
        <v>0</v>
      </c>
      <c r="R294" s="384" t="str">
        <f>IF(K294=0,"Niet van toepassing",IF(G294='3B-Prestaties vloeren'!$B$2,"Schrobben",IF(G294='3B-Prestaties vloeren'!$C$2,"Sprayen/conserveren",IF(G294='3B-Prestaties vloeren'!$D$2,"Sproei-extractie",0))))</f>
        <v>Sproei-extractie</v>
      </c>
      <c r="S294" s="385">
        <f>IF('2-Tarieven'!$B$28=0,0,IF(M294=0,0,'2-Tarieven'!$B$28*M294))</f>
        <v>0</v>
      </c>
      <c r="T294" s="386">
        <f>IF(AND(COUNTBLANK('3B-Prestaties vloeren'!$F$3:$H$24)=0,COUNTBLANK('3B-Prestaties vloeren'!$L$3:$M$24)=0),IF(R294="Sprayen/conserveren",I294/VLOOKUP(E294,'3B-Prestaties vloeren'!$A$3:$M$24,12,FALSE),0)*(P294-1),0)</f>
        <v>0</v>
      </c>
      <c r="U294" s="386">
        <f>IF(AND(COUNTBLANK('3B-Prestaties vloeren'!$F$3:$H$24)=0,COUNTBLANK('3B-Prestaties vloeren'!$L$3:$M$24)=0),IF(R294="Sprayen/conserveren",I294/VLOOKUP(E294,'3B-Prestaties vloeren'!$A$3:$M$24,13,FALSE),0),0)</f>
        <v>0</v>
      </c>
      <c r="V294" s="386">
        <f>IF(AND(COUNTBLANK('3B-Prestaties vloeren'!$F$3:$H$24)=0,COUNTBLANK('3B-Prestaties vloeren'!$L$3:$M$24)=0),IF(R294="schrobben",I294/VLOOKUP(E294,'3B-Prestaties vloeren'!$A$3:$H$24,6,FALSE),0)*P294,0)</f>
        <v>0</v>
      </c>
      <c r="W294" s="386">
        <f>IF(AND(COUNTBLANK('3B-Prestaties vloeren'!$F$3:$H$24)=0,COUNTBLANK('3B-Prestaties vloeren'!$L$3:$M$24)=0),IF(R294="sproei-extractie",I294/VLOOKUP(E294,'3B-Prestaties vloeren'!$A$3:$H$24,8,FALSE),0)*P294,0)</f>
        <v>0</v>
      </c>
    </row>
    <row r="295" spans="1:23" ht="15" hidden="1">
      <c r="A295" s="378" t="s">
        <v>677</v>
      </c>
      <c r="B295" s="378" t="s">
        <v>678</v>
      </c>
      <c r="C295" s="378">
        <v>3</v>
      </c>
      <c r="D295" s="378" t="s">
        <v>403</v>
      </c>
      <c r="E295" s="378" t="s">
        <v>285</v>
      </c>
      <c r="F295" s="378" t="s">
        <v>416</v>
      </c>
      <c r="G295" s="378" t="str">
        <f>VLOOKUP(F295,'3B-Prestaties vloeren'!$A$28:$B$118,2,0)</f>
        <v>Hard onbehandeld</v>
      </c>
      <c r="H295" s="378" t="s">
        <v>686</v>
      </c>
      <c r="I295" s="378">
        <v>21.74</v>
      </c>
      <c r="J295" s="420" t="s">
        <v>749</v>
      </c>
      <c r="K295" s="426">
        <v>255</v>
      </c>
      <c r="L295" s="378">
        <f t="shared" si="12"/>
        <v>5543.7</v>
      </c>
      <c r="M295" s="380" t="str">
        <f>IF(K295=0,0,IF(COUNTBLANK('3A-Prestatie'!$B$2:$I$22)=0,L295/VLOOKUP(E295,'3A-Prestatie'!$A$1:$M$22,VLOOKUP(K295,'3A-Prestatie'!$A$28:$B$34,2,FALSE),FALSE),"3A prestatie invullen"))</f>
        <v>3A prestatie invullen</v>
      </c>
      <c r="N295" s="380">
        <f t="shared" si="14"/>
        <v>0</v>
      </c>
      <c r="O295" s="381" t="str">
        <f>VLOOKUP(E295,'3A-Prestatie'!A:M,13,FALSE)</f>
        <v>V</v>
      </c>
      <c r="P295" s="382">
        <f>IF(R295="Niet van toepassing",0,VLOOKUP(E295,'3B-Prestaties vloeren'!$A$3:$D$24,IF(G295="Hard onbehandeld",2,IF(G295="Hard behandeld",3,4)),FALSE))</f>
        <v>52</v>
      </c>
      <c r="Q295" s="383">
        <f t="shared" si="13"/>
        <v>0</v>
      </c>
      <c r="R295" s="384" t="str">
        <f>IF(K295=0,"Niet van toepassing",IF(G295='3B-Prestaties vloeren'!$B$2,"Schrobben",IF(G295='3B-Prestaties vloeren'!$C$2,"Sprayen/conserveren",IF(G295='3B-Prestaties vloeren'!$D$2,"Sproei-extractie",0))))</f>
        <v>Schrobben</v>
      </c>
      <c r="S295" s="385">
        <f>IF('2-Tarieven'!$B$28=0,0,IF(M295=0,0,'2-Tarieven'!$B$28*M295))</f>
        <v>0</v>
      </c>
      <c r="T295" s="386">
        <f>IF(AND(COUNTBLANK('3B-Prestaties vloeren'!$F$3:$H$24)=0,COUNTBLANK('3B-Prestaties vloeren'!$L$3:$M$24)=0),IF(R295="Sprayen/conserveren",I295/VLOOKUP(E295,'3B-Prestaties vloeren'!$A$3:$M$24,12,FALSE),0)*(P295-1),0)</f>
        <v>0</v>
      </c>
      <c r="U295" s="386">
        <f>IF(AND(COUNTBLANK('3B-Prestaties vloeren'!$F$3:$H$24)=0,COUNTBLANK('3B-Prestaties vloeren'!$L$3:$M$24)=0),IF(R295="Sprayen/conserveren",I295/VLOOKUP(E295,'3B-Prestaties vloeren'!$A$3:$M$24,13,FALSE),0),0)</f>
        <v>0</v>
      </c>
      <c r="V295" s="386">
        <f>IF(AND(COUNTBLANK('3B-Prestaties vloeren'!$F$3:$H$24)=0,COUNTBLANK('3B-Prestaties vloeren'!$L$3:$M$24)=0),IF(R295="schrobben",I295/VLOOKUP(E295,'3B-Prestaties vloeren'!$A$3:$H$24,6,FALSE),0)*P295,0)</f>
        <v>0</v>
      </c>
      <c r="W295" s="386">
        <f>IF(AND(COUNTBLANK('3B-Prestaties vloeren'!$F$3:$H$24)=0,COUNTBLANK('3B-Prestaties vloeren'!$L$3:$M$24)=0),IF(R295="sproei-extractie",I295/VLOOKUP(E295,'3B-Prestaties vloeren'!$A$3:$H$24,8,FALSE),0)*P295,0)</f>
        <v>0</v>
      </c>
    </row>
    <row r="296" spans="1:23" ht="15" hidden="1">
      <c r="A296" s="378" t="s">
        <v>677</v>
      </c>
      <c r="B296" s="378" t="s">
        <v>678</v>
      </c>
      <c r="C296" s="378">
        <v>3</v>
      </c>
      <c r="D296" s="378" t="s">
        <v>404</v>
      </c>
      <c r="E296" s="378" t="s">
        <v>341</v>
      </c>
      <c r="F296" s="378" t="s">
        <v>65</v>
      </c>
      <c r="G296" s="378" t="str">
        <f>VLOOKUP(F296,'3B-Prestaties vloeren'!$A$28:$B$118,2,0)</f>
        <v>Zacht onbehandeld</v>
      </c>
      <c r="H296" s="378"/>
      <c r="I296" s="378">
        <v>55.97</v>
      </c>
      <c r="J296" s="420" t="s">
        <v>749</v>
      </c>
      <c r="K296" s="426">
        <v>52</v>
      </c>
      <c r="L296" s="378">
        <f t="shared" si="12"/>
        <v>2910.44</v>
      </c>
      <c r="M296" s="380" t="str">
        <f>IF(K296=0,0,IF(COUNTBLANK('3A-Prestatie'!$B$2:$I$22)=0,L296/VLOOKUP(E296,'3A-Prestatie'!$A$1:$M$22,VLOOKUP(K296,'3A-Prestatie'!$A$28:$B$34,2,FALSE),FALSE),"3A prestatie invullen"))</f>
        <v>3A prestatie invullen</v>
      </c>
      <c r="N296" s="380">
        <f t="shared" si="14"/>
        <v>0</v>
      </c>
      <c r="O296" s="381" t="str">
        <f>VLOOKUP(E296,'3A-Prestatie'!A:M,13,FALSE)</f>
        <v>V</v>
      </c>
      <c r="P296" s="382">
        <f>IF(R296="Niet van toepassing",0,VLOOKUP(E296,'3B-Prestaties vloeren'!$A$3:$D$24,IF(G296="Hard onbehandeld",2,IF(G296="Hard behandeld",3,4)),FALSE))</f>
        <v>1</v>
      </c>
      <c r="Q296" s="383">
        <f t="shared" si="13"/>
        <v>0</v>
      </c>
      <c r="R296" s="384" t="str">
        <f>IF(K296=0,"Niet van toepassing",IF(G296='3B-Prestaties vloeren'!$B$2,"Schrobben",IF(G296='3B-Prestaties vloeren'!$C$2,"Sprayen/conserveren",IF(G296='3B-Prestaties vloeren'!$D$2,"Sproei-extractie",0))))</f>
        <v>Sproei-extractie</v>
      </c>
      <c r="S296" s="385">
        <f>IF('2-Tarieven'!$B$28=0,0,IF(M296=0,0,'2-Tarieven'!$B$28*M296))</f>
        <v>0</v>
      </c>
      <c r="T296" s="386">
        <f>IF(AND(COUNTBLANK('3B-Prestaties vloeren'!$F$3:$H$24)=0,COUNTBLANK('3B-Prestaties vloeren'!$L$3:$M$24)=0),IF(R296="Sprayen/conserveren",I296/VLOOKUP(E296,'3B-Prestaties vloeren'!$A$3:$M$24,12,FALSE),0)*(P296-1),0)</f>
        <v>0</v>
      </c>
      <c r="U296" s="386">
        <f>IF(AND(COUNTBLANK('3B-Prestaties vloeren'!$F$3:$H$24)=0,COUNTBLANK('3B-Prestaties vloeren'!$L$3:$M$24)=0),IF(R296="Sprayen/conserveren",I296/VLOOKUP(E296,'3B-Prestaties vloeren'!$A$3:$M$24,13,FALSE),0),0)</f>
        <v>0</v>
      </c>
      <c r="V296" s="386">
        <f>IF(AND(COUNTBLANK('3B-Prestaties vloeren'!$F$3:$H$24)=0,COUNTBLANK('3B-Prestaties vloeren'!$L$3:$M$24)=0),IF(R296="schrobben",I296/VLOOKUP(E296,'3B-Prestaties vloeren'!$A$3:$H$24,6,FALSE),0)*P296,0)</f>
        <v>0</v>
      </c>
      <c r="W296" s="386">
        <f>IF(AND(COUNTBLANK('3B-Prestaties vloeren'!$F$3:$H$24)=0,COUNTBLANK('3B-Prestaties vloeren'!$L$3:$M$24)=0),IF(R296="sproei-extractie",I296/VLOOKUP(E296,'3B-Prestaties vloeren'!$A$3:$H$24,8,FALSE),0)*P296,0)</f>
        <v>0</v>
      </c>
    </row>
    <row r="297" spans="1:23" ht="15" hidden="1">
      <c r="A297" s="378" t="s">
        <v>677</v>
      </c>
      <c r="B297" s="378" t="s">
        <v>678</v>
      </c>
      <c r="C297" s="378">
        <v>3</v>
      </c>
      <c r="D297" s="378" t="s">
        <v>405</v>
      </c>
      <c r="E297" s="378" t="s">
        <v>341</v>
      </c>
      <c r="F297" s="378" t="s">
        <v>65</v>
      </c>
      <c r="G297" s="378" t="str">
        <f>VLOOKUP(F297,'3B-Prestaties vloeren'!$A$28:$B$118,2,0)</f>
        <v>Zacht onbehandeld</v>
      </c>
      <c r="H297" s="378"/>
      <c r="I297" s="378">
        <v>58.81</v>
      </c>
      <c r="J297" s="420" t="s">
        <v>749</v>
      </c>
      <c r="K297" s="426">
        <v>52</v>
      </c>
      <c r="L297" s="378">
        <f t="shared" si="12"/>
        <v>3058.12</v>
      </c>
      <c r="M297" s="380" t="str">
        <f>IF(K297=0,0,IF(COUNTBLANK('3A-Prestatie'!$B$2:$I$22)=0,L297/VLOOKUP(E297,'3A-Prestatie'!$A$1:$M$22,VLOOKUP(K297,'3A-Prestatie'!$A$28:$B$34,2,FALSE),FALSE),"3A prestatie invullen"))</f>
        <v>3A prestatie invullen</v>
      </c>
      <c r="N297" s="380">
        <f t="shared" si="14"/>
        <v>0</v>
      </c>
      <c r="O297" s="381" t="str">
        <f>VLOOKUP(E297,'3A-Prestatie'!A:M,13,FALSE)</f>
        <v>V</v>
      </c>
      <c r="P297" s="382">
        <f>IF(R297="Niet van toepassing",0,VLOOKUP(E297,'3B-Prestaties vloeren'!$A$3:$D$24,IF(G297="Hard onbehandeld",2,IF(G297="Hard behandeld",3,4)),FALSE))</f>
        <v>1</v>
      </c>
      <c r="Q297" s="383">
        <f t="shared" si="13"/>
        <v>0</v>
      </c>
      <c r="R297" s="384" t="str">
        <f>IF(K297=0,"Niet van toepassing",IF(G297='3B-Prestaties vloeren'!$B$2,"Schrobben",IF(G297='3B-Prestaties vloeren'!$C$2,"Sprayen/conserveren",IF(G297='3B-Prestaties vloeren'!$D$2,"Sproei-extractie",0))))</f>
        <v>Sproei-extractie</v>
      </c>
      <c r="S297" s="385">
        <f>IF('2-Tarieven'!$B$28=0,0,IF(M297=0,0,'2-Tarieven'!$B$28*M297))</f>
        <v>0</v>
      </c>
      <c r="T297" s="386">
        <f>IF(AND(COUNTBLANK('3B-Prestaties vloeren'!$F$3:$H$24)=0,COUNTBLANK('3B-Prestaties vloeren'!$L$3:$M$24)=0),IF(R297="Sprayen/conserveren",I297/VLOOKUP(E297,'3B-Prestaties vloeren'!$A$3:$M$24,12,FALSE),0)*(P297-1),0)</f>
        <v>0</v>
      </c>
      <c r="U297" s="386">
        <f>IF(AND(COUNTBLANK('3B-Prestaties vloeren'!$F$3:$H$24)=0,COUNTBLANK('3B-Prestaties vloeren'!$L$3:$M$24)=0),IF(R297="Sprayen/conserveren",I297/VLOOKUP(E297,'3B-Prestaties vloeren'!$A$3:$M$24,13,FALSE),0),0)</f>
        <v>0</v>
      </c>
      <c r="V297" s="386">
        <f>IF(AND(COUNTBLANK('3B-Prestaties vloeren'!$F$3:$H$24)=0,COUNTBLANK('3B-Prestaties vloeren'!$L$3:$M$24)=0),IF(R297="schrobben",I297/VLOOKUP(E297,'3B-Prestaties vloeren'!$A$3:$H$24,6,FALSE),0)*P297,0)</f>
        <v>0</v>
      </c>
      <c r="W297" s="386">
        <f>IF(AND(COUNTBLANK('3B-Prestaties vloeren'!$F$3:$H$24)=0,COUNTBLANK('3B-Prestaties vloeren'!$L$3:$M$24)=0),IF(R297="sproei-extractie",I297/VLOOKUP(E297,'3B-Prestaties vloeren'!$A$3:$H$24,8,FALSE),0)*P297,0)</f>
        <v>0</v>
      </c>
    </row>
    <row r="298" spans="1:23" ht="15" hidden="1">
      <c r="A298" s="378" t="s">
        <v>677</v>
      </c>
      <c r="B298" s="378" t="s">
        <v>678</v>
      </c>
      <c r="C298" s="378">
        <v>3</v>
      </c>
      <c r="D298" s="378" t="s">
        <v>475</v>
      </c>
      <c r="E298" s="378" t="s">
        <v>6</v>
      </c>
      <c r="F298" s="378" t="s">
        <v>416</v>
      </c>
      <c r="G298" s="378" t="str">
        <f>VLOOKUP(F298,'3B-Prestaties vloeren'!$A$28:$B$118,2,0)</f>
        <v>Hard onbehandeld</v>
      </c>
      <c r="H298" s="378" t="s">
        <v>686</v>
      </c>
      <c r="I298" s="378">
        <v>130.93</v>
      </c>
      <c r="J298" s="420" t="s">
        <v>749</v>
      </c>
      <c r="K298" s="426">
        <v>52</v>
      </c>
      <c r="L298" s="378">
        <f t="shared" si="12"/>
        <v>6808.3600000000006</v>
      </c>
      <c r="M298" s="380" t="str">
        <f>IF(K298=0,0,IF(COUNTBLANK('3A-Prestatie'!$B$2:$I$22)=0,L298/VLOOKUP(E298,'3A-Prestatie'!$A$1:$M$22,VLOOKUP(K298,'3A-Prestatie'!$A$28:$B$34,2,FALSE),FALSE),"3A prestatie invullen"))</f>
        <v>3A prestatie invullen</v>
      </c>
      <c r="N298" s="380">
        <f t="shared" si="14"/>
        <v>0</v>
      </c>
      <c r="O298" s="381" t="str">
        <f>VLOOKUP(E298,'3A-Prestatie'!A:M,13,FALSE)</f>
        <v>V</v>
      </c>
      <c r="P298" s="382">
        <f>IF(R298="Niet van toepassing",0,VLOOKUP(E298,'3B-Prestaties vloeren'!$A$3:$D$24,IF(G298="Hard onbehandeld",2,IF(G298="Hard behandeld",3,4)),FALSE))</f>
        <v>4</v>
      </c>
      <c r="Q298" s="383">
        <f t="shared" si="13"/>
        <v>0</v>
      </c>
      <c r="R298" s="384" t="str">
        <f>IF(K298=0,"Niet van toepassing",IF(G298='3B-Prestaties vloeren'!$B$2,"Schrobben",IF(G298='3B-Prestaties vloeren'!$C$2,"Sprayen/conserveren",IF(G298='3B-Prestaties vloeren'!$D$2,"Sproei-extractie",0))))</f>
        <v>Schrobben</v>
      </c>
      <c r="S298" s="385">
        <f>IF('2-Tarieven'!$B$28=0,0,IF(M298=0,0,'2-Tarieven'!$B$28*M298))</f>
        <v>0</v>
      </c>
      <c r="T298" s="386">
        <f>IF(AND(COUNTBLANK('3B-Prestaties vloeren'!$F$3:$H$24)=0,COUNTBLANK('3B-Prestaties vloeren'!$L$3:$M$24)=0),IF(R298="Sprayen/conserveren",I298/VLOOKUP(E298,'3B-Prestaties vloeren'!$A$3:$M$24,12,FALSE),0)*(P298-1),0)</f>
        <v>0</v>
      </c>
      <c r="U298" s="386">
        <f>IF(AND(COUNTBLANK('3B-Prestaties vloeren'!$F$3:$H$24)=0,COUNTBLANK('3B-Prestaties vloeren'!$L$3:$M$24)=0),IF(R298="Sprayen/conserveren",I298/VLOOKUP(E298,'3B-Prestaties vloeren'!$A$3:$M$24,13,FALSE),0),0)</f>
        <v>0</v>
      </c>
      <c r="V298" s="386">
        <f>IF(AND(COUNTBLANK('3B-Prestaties vloeren'!$F$3:$H$24)=0,COUNTBLANK('3B-Prestaties vloeren'!$L$3:$M$24)=0),IF(R298="schrobben",I298/VLOOKUP(E298,'3B-Prestaties vloeren'!$A$3:$H$24,6,FALSE),0)*P298,0)</f>
        <v>0</v>
      </c>
      <c r="W298" s="386">
        <f>IF(AND(COUNTBLANK('3B-Prestaties vloeren'!$F$3:$H$24)=0,COUNTBLANK('3B-Prestaties vloeren'!$L$3:$M$24)=0),IF(R298="sproei-extractie",I298/VLOOKUP(E298,'3B-Prestaties vloeren'!$A$3:$H$24,8,FALSE),0)*P298,0)</f>
        <v>0</v>
      </c>
    </row>
    <row r="299" spans="1:23" ht="15" hidden="1">
      <c r="A299" s="378" t="s">
        <v>677</v>
      </c>
      <c r="B299" s="378" t="s">
        <v>678</v>
      </c>
      <c r="C299" s="378">
        <v>3</v>
      </c>
      <c r="D299" s="378" t="s">
        <v>406</v>
      </c>
      <c r="E299" s="378" t="s">
        <v>653</v>
      </c>
      <c r="F299" s="378" t="s">
        <v>647</v>
      </c>
      <c r="G299" s="378" t="str">
        <f>VLOOKUP(F299,'3B-Prestaties vloeren'!$A$28:$B$118,2,0)</f>
        <v>Hard onbehandeld</v>
      </c>
      <c r="H299" s="378"/>
      <c r="I299" s="378">
        <v>18.64</v>
      </c>
      <c r="J299" s="421" t="s">
        <v>511</v>
      </c>
      <c r="K299" s="426">
        <v>255</v>
      </c>
      <c r="L299" s="378">
        <f t="shared" si="12"/>
        <v>4753.2</v>
      </c>
      <c r="M299" s="380" t="str">
        <f>IF(K299=0,0,IF(COUNTBLANK('3A-Prestatie'!$B$2:$I$22)=0,L299/VLOOKUP(E299,'3A-Prestatie'!$A$1:$M$22,VLOOKUP(K299,'3A-Prestatie'!$A$28:$B$34,2,FALSE),FALSE),"3A prestatie invullen"))</f>
        <v>3A prestatie invullen</v>
      </c>
      <c r="N299" s="380">
        <f t="shared" si="14"/>
        <v>0</v>
      </c>
      <c r="O299" s="381" t="str">
        <f>VLOOKUP(E299,'3A-Prestatie'!A:M,13,FALSE)</f>
        <v>S</v>
      </c>
      <c r="P299" s="382">
        <f>IF(R299="Niet van toepassing",0,VLOOKUP(E299,'3B-Prestaties vloeren'!$A$3:$D$24,IF(G299="Hard onbehandeld",2,IF(G299="Hard behandeld",3,4)),FALSE))</f>
        <v>52</v>
      </c>
      <c r="Q299" s="383">
        <f t="shared" si="13"/>
        <v>0</v>
      </c>
      <c r="R299" s="384" t="str">
        <f>IF(K299=0,"Niet van toepassing",IF(G299='3B-Prestaties vloeren'!$B$2,"Schrobben",IF(G299='3B-Prestaties vloeren'!$C$2,"Sprayen/conserveren",IF(G299='3B-Prestaties vloeren'!$D$2,"Sproei-extractie",0))))</f>
        <v>Schrobben</v>
      </c>
      <c r="S299" s="385">
        <f>IF('2-Tarieven'!$B$28=0,0,IF(M299=0,0,'2-Tarieven'!$B$28*M299))</f>
        <v>0</v>
      </c>
      <c r="T299" s="386">
        <f>IF(AND(COUNTBLANK('3B-Prestaties vloeren'!$F$3:$H$24)=0,COUNTBLANK('3B-Prestaties vloeren'!$L$3:$M$24)=0),IF(R299="Sprayen/conserveren",I299/VLOOKUP(E299,'3B-Prestaties vloeren'!$A$3:$M$24,12,FALSE),0)*(P299-1),0)</f>
        <v>0</v>
      </c>
      <c r="U299" s="386">
        <f>IF(AND(COUNTBLANK('3B-Prestaties vloeren'!$F$3:$H$24)=0,COUNTBLANK('3B-Prestaties vloeren'!$L$3:$M$24)=0),IF(R299="Sprayen/conserveren",I299/VLOOKUP(E299,'3B-Prestaties vloeren'!$A$3:$M$24,13,FALSE),0),0)</f>
        <v>0</v>
      </c>
      <c r="V299" s="386">
        <f>IF(AND(COUNTBLANK('3B-Prestaties vloeren'!$F$3:$H$24)=0,COUNTBLANK('3B-Prestaties vloeren'!$L$3:$M$24)=0),IF(R299="schrobben",I299/VLOOKUP(E299,'3B-Prestaties vloeren'!$A$3:$H$24,6,FALSE),0)*P299,0)</f>
        <v>0</v>
      </c>
      <c r="W299" s="386">
        <f>IF(AND(COUNTBLANK('3B-Prestaties vloeren'!$F$3:$H$24)=0,COUNTBLANK('3B-Prestaties vloeren'!$L$3:$M$24)=0),IF(R299="sproei-extractie",I299/VLOOKUP(E299,'3B-Prestaties vloeren'!$A$3:$H$24,8,FALSE),0)*P299,0)</f>
        <v>0</v>
      </c>
    </row>
    <row r="300" spans="1:23" ht="15" hidden="1">
      <c r="A300" s="378" t="s">
        <v>677</v>
      </c>
      <c r="B300" s="378" t="s">
        <v>678</v>
      </c>
      <c r="C300" s="378">
        <v>3</v>
      </c>
      <c r="D300" s="378" t="s">
        <v>698</v>
      </c>
      <c r="E300" s="378" t="s">
        <v>728</v>
      </c>
      <c r="F300" s="378" t="s">
        <v>647</v>
      </c>
      <c r="G300" s="378" t="str">
        <f>VLOOKUP(F300,'3B-Prestaties vloeren'!$A$28:$B$118,2,0)</f>
        <v>Hard onbehandeld</v>
      </c>
      <c r="H300" s="378" t="s">
        <v>330</v>
      </c>
      <c r="I300" s="416" t="s">
        <v>657</v>
      </c>
      <c r="J300" s="422"/>
      <c r="K300" s="426">
        <v>0</v>
      </c>
      <c r="L300" s="378">
        <f t="shared" si="12"/>
        <v>0</v>
      </c>
      <c r="M300" s="380">
        <f>IF(K300=0,0,IF(COUNTBLANK('3A-Prestatie'!$B$2:$I$22)=0,L300/VLOOKUP(E300,'3A-Prestatie'!$A$1:$M$22,VLOOKUP(K300,'3A-Prestatie'!$A$28:$B$34,2,FALSE),FALSE),"3A prestatie invullen"))</f>
        <v>0</v>
      </c>
      <c r="N300" s="380">
        <f t="shared" si="14"/>
        <v>0</v>
      </c>
      <c r="O300" s="381" t="str">
        <f>VLOOKUP(E300,'3A-Prestatie'!A:M,13,FALSE)</f>
        <v>N.v.t.</v>
      </c>
      <c r="P300" s="382">
        <f>IF(R300="Niet van toepassing",0,VLOOKUP(E300,'3B-Prestaties vloeren'!$A$3:$D$24,IF(G300="Hard onbehandeld",2,IF(G300="Hard behandeld",3,4)),FALSE))</f>
        <v>0</v>
      </c>
      <c r="Q300" s="383">
        <f t="shared" si="13"/>
        <v>0</v>
      </c>
      <c r="R300" s="384" t="str">
        <f>IF(K300=0,"Niet van toepassing",IF(G300='3B-Prestaties vloeren'!$B$2,"Schrobben",IF(G300='3B-Prestaties vloeren'!$C$2,"Sprayen/conserveren",IF(G300='3B-Prestaties vloeren'!$D$2,"Sproei-extractie",0))))</f>
        <v>Niet van toepassing</v>
      </c>
      <c r="S300" s="385">
        <f>IF('2-Tarieven'!$B$28=0,0,IF(M300=0,0,'2-Tarieven'!$B$28*M300))</f>
        <v>0</v>
      </c>
      <c r="T300" s="386">
        <f>IF(AND(COUNTBLANK('3B-Prestaties vloeren'!$F$3:$H$24)=0,COUNTBLANK('3B-Prestaties vloeren'!$L$3:$M$24)=0),IF(R300="Sprayen/conserveren",I300/VLOOKUP(E300,'3B-Prestaties vloeren'!$A$3:$M$24,12,FALSE),0)*(P300-1),0)</f>
        <v>0</v>
      </c>
      <c r="U300" s="386">
        <f>IF(AND(COUNTBLANK('3B-Prestaties vloeren'!$F$3:$H$24)=0,COUNTBLANK('3B-Prestaties vloeren'!$L$3:$M$24)=0),IF(R300="Sprayen/conserveren",I300/VLOOKUP(E300,'3B-Prestaties vloeren'!$A$3:$M$24,13,FALSE),0),0)</f>
        <v>0</v>
      </c>
      <c r="V300" s="386">
        <f>IF(AND(COUNTBLANK('3B-Prestaties vloeren'!$F$3:$H$24)=0,COUNTBLANK('3B-Prestaties vloeren'!$L$3:$M$24)=0),IF(R300="schrobben",I300/VLOOKUP(E300,'3B-Prestaties vloeren'!$A$3:$H$24,6,FALSE),0)*P300,0)</f>
        <v>0</v>
      </c>
      <c r="W300" s="386">
        <f>IF(AND(COUNTBLANK('3B-Prestaties vloeren'!$F$3:$H$24)=0,COUNTBLANK('3B-Prestaties vloeren'!$L$3:$M$24)=0),IF(R300="sproei-extractie",I300/VLOOKUP(E300,'3B-Prestaties vloeren'!$A$3:$H$24,8,FALSE),0)*P300,0)</f>
        <v>0</v>
      </c>
    </row>
    <row r="301" spans="1:23" ht="15" hidden="1">
      <c r="A301" s="378" t="s">
        <v>677</v>
      </c>
      <c r="B301" s="378" t="s">
        <v>678</v>
      </c>
      <c r="C301" s="378">
        <v>3</v>
      </c>
      <c r="D301" s="378" t="s">
        <v>476</v>
      </c>
      <c r="E301" s="378" t="s">
        <v>653</v>
      </c>
      <c r="F301" s="378" t="s">
        <v>647</v>
      </c>
      <c r="G301" s="378" t="str">
        <f>VLOOKUP(F301,'3B-Prestaties vloeren'!$A$28:$B$118,2,0)</f>
        <v>Hard onbehandeld</v>
      </c>
      <c r="H301" s="378"/>
      <c r="I301" s="378">
        <v>3.7</v>
      </c>
      <c r="J301" s="421" t="s">
        <v>511</v>
      </c>
      <c r="K301" s="426">
        <v>255</v>
      </c>
      <c r="L301" s="378">
        <f t="shared" si="12"/>
        <v>943.5</v>
      </c>
      <c r="M301" s="380" t="str">
        <f>IF(K301=0,0,IF(COUNTBLANK('3A-Prestatie'!$B$2:$I$22)=0,L301/VLOOKUP(E301,'3A-Prestatie'!$A$1:$M$22,VLOOKUP(K301,'3A-Prestatie'!$A$28:$B$34,2,FALSE),FALSE),"3A prestatie invullen"))</f>
        <v>3A prestatie invullen</v>
      </c>
      <c r="N301" s="380">
        <f t="shared" si="14"/>
        <v>0</v>
      </c>
      <c r="O301" s="381" t="str">
        <f>VLOOKUP(E301,'3A-Prestatie'!A:M,13,FALSE)</f>
        <v>S</v>
      </c>
      <c r="P301" s="382">
        <f>IF(R301="Niet van toepassing",0,VLOOKUP(E301,'3B-Prestaties vloeren'!$A$3:$D$24,IF(G301="Hard onbehandeld",2,IF(G301="Hard behandeld",3,4)),FALSE))</f>
        <v>52</v>
      </c>
      <c r="Q301" s="383">
        <f t="shared" si="13"/>
        <v>0</v>
      </c>
      <c r="R301" s="384" t="str">
        <f>IF(K301=0,"Niet van toepassing",IF(G301='3B-Prestaties vloeren'!$B$2,"Schrobben",IF(G301='3B-Prestaties vloeren'!$C$2,"Sprayen/conserveren",IF(G301='3B-Prestaties vloeren'!$D$2,"Sproei-extractie",0))))</f>
        <v>Schrobben</v>
      </c>
      <c r="S301" s="385">
        <f>IF('2-Tarieven'!$B$28=0,0,IF(M301=0,0,'2-Tarieven'!$B$28*M301))</f>
        <v>0</v>
      </c>
      <c r="T301" s="386">
        <f>IF(AND(COUNTBLANK('3B-Prestaties vloeren'!$F$3:$H$24)=0,COUNTBLANK('3B-Prestaties vloeren'!$L$3:$M$24)=0),IF(R301="Sprayen/conserveren",I301/VLOOKUP(E301,'3B-Prestaties vloeren'!$A$3:$M$24,12,FALSE),0)*(P301-1),0)</f>
        <v>0</v>
      </c>
      <c r="U301" s="386">
        <f>IF(AND(COUNTBLANK('3B-Prestaties vloeren'!$F$3:$H$24)=0,COUNTBLANK('3B-Prestaties vloeren'!$L$3:$M$24)=0),IF(R301="Sprayen/conserveren",I301/VLOOKUP(E301,'3B-Prestaties vloeren'!$A$3:$M$24,13,FALSE),0),0)</f>
        <v>0</v>
      </c>
      <c r="V301" s="386">
        <f>IF(AND(COUNTBLANK('3B-Prestaties vloeren'!$F$3:$H$24)=0,COUNTBLANK('3B-Prestaties vloeren'!$L$3:$M$24)=0),IF(R301="schrobben",I301/VLOOKUP(E301,'3B-Prestaties vloeren'!$A$3:$H$24,6,FALSE),0)*P301,0)</f>
        <v>0</v>
      </c>
      <c r="W301" s="386">
        <f>IF(AND(COUNTBLANK('3B-Prestaties vloeren'!$F$3:$H$24)=0,COUNTBLANK('3B-Prestaties vloeren'!$L$3:$M$24)=0),IF(R301="sproei-extractie",I301/VLOOKUP(E301,'3B-Prestaties vloeren'!$A$3:$H$24,8,FALSE),0)*P301,0)</f>
        <v>0</v>
      </c>
    </row>
    <row r="302" spans="1:23" ht="15" hidden="1">
      <c r="A302" s="378" t="s">
        <v>677</v>
      </c>
      <c r="B302" s="378" t="s">
        <v>678</v>
      </c>
      <c r="C302" s="378">
        <v>3</v>
      </c>
      <c r="D302" s="378" t="s">
        <v>699</v>
      </c>
      <c r="E302" s="378" t="s">
        <v>728</v>
      </c>
      <c r="F302" s="378" t="s">
        <v>647</v>
      </c>
      <c r="G302" s="378" t="str">
        <f>VLOOKUP(F302,'3B-Prestaties vloeren'!$A$28:$B$118,2,0)</f>
        <v>Hard onbehandeld</v>
      </c>
      <c r="H302" s="378" t="s">
        <v>330</v>
      </c>
      <c r="I302" s="416" t="s">
        <v>657</v>
      </c>
      <c r="J302" s="422"/>
      <c r="K302" s="426">
        <v>0</v>
      </c>
      <c r="L302" s="378">
        <f t="shared" si="12"/>
        <v>0</v>
      </c>
      <c r="M302" s="380">
        <f>IF(K302=0,0,IF(COUNTBLANK('3A-Prestatie'!$B$2:$I$22)=0,L302/VLOOKUP(E302,'3A-Prestatie'!$A$1:$M$22,VLOOKUP(K302,'3A-Prestatie'!$A$28:$B$34,2,FALSE),FALSE),"3A prestatie invullen"))</f>
        <v>0</v>
      </c>
      <c r="N302" s="380">
        <f t="shared" si="14"/>
        <v>0</v>
      </c>
      <c r="O302" s="381" t="str">
        <f>VLOOKUP(E302,'3A-Prestatie'!A:M,13,FALSE)</f>
        <v>N.v.t.</v>
      </c>
      <c r="P302" s="382">
        <f>IF(R302="Niet van toepassing",0,VLOOKUP(E302,'3B-Prestaties vloeren'!$A$3:$D$24,IF(G302="Hard onbehandeld",2,IF(G302="Hard behandeld",3,4)),FALSE))</f>
        <v>0</v>
      </c>
      <c r="Q302" s="383">
        <f t="shared" si="13"/>
        <v>0</v>
      </c>
      <c r="R302" s="384" t="str">
        <f>IF(K302=0,"Niet van toepassing",IF(G302='3B-Prestaties vloeren'!$B$2,"Schrobben",IF(G302='3B-Prestaties vloeren'!$C$2,"Sprayen/conserveren",IF(G302='3B-Prestaties vloeren'!$D$2,"Sproei-extractie",0))))</f>
        <v>Niet van toepassing</v>
      </c>
      <c r="S302" s="385">
        <f>IF('2-Tarieven'!$B$28=0,0,IF(M302=0,0,'2-Tarieven'!$B$28*M302))</f>
        <v>0</v>
      </c>
      <c r="T302" s="386">
        <f>IF(AND(COUNTBLANK('3B-Prestaties vloeren'!$F$3:$H$24)=0,COUNTBLANK('3B-Prestaties vloeren'!$L$3:$M$24)=0),IF(R302="Sprayen/conserveren",I302/VLOOKUP(E302,'3B-Prestaties vloeren'!$A$3:$M$24,12,FALSE),0)*(P302-1),0)</f>
        <v>0</v>
      </c>
      <c r="U302" s="386">
        <f>IF(AND(COUNTBLANK('3B-Prestaties vloeren'!$F$3:$H$24)=0,COUNTBLANK('3B-Prestaties vloeren'!$L$3:$M$24)=0),IF(R302="Sprayen/conserveren",I302/VLOOKUP(E302,'3B-Prestaties vloeren'!$A$3:$M$24,13,FALSE),0),0)</f>
        <v>0</v>
      </c>
      <c r="V302" s="386">
        <f>IF(AND(COUNTBLANK('3B-Prestaties vloeren'!$F$3:$H$24)=0,COUNTBLANK('3B-Prestaties vloeren'!$L$3:$M$24)=0),IF(R302="schrobben",I302/VLOOKUP(E302,'3B-Prestaties vloeren'!$A$3:$H$24,6,FALSE),0)*P302,0)</f>
        <v>0</v>
      </c>
      <c r="W302" s="386">
        <f>IF(AND(COUNTBLANK('3B-Prestaties vloeren'!$F$3:$H$24)=0,COUNTBLANK('3B-Prestaties vloeren'!$L$3:$M$24)=0),IF(R302="sproei-extractie",I302/VLOOKUP(E302,'3B-Prestaties vloeren'!$A$3:$H$24,8,FALSE),0)*P302,0)</f>
        <v>0</v>
      </c>
    </row>
    <row r="303" spans="1:23" ht="15" hidden="1">
      <c r="A303" s="378" t="s">
        <v>677</v>
      </c>
      <c r="B303" s="378" t="s">
        <v>678</v>
      </c>
      <c r="C303" s="378">
        <v>3</v>
      </c>
      <c r="D303" s="378" t="s">
        <v>407</v>
      </c>
      <c r="E303" s="378" t="s">
        <v>728</v>
      </c>
      <c r="F303" s="378" t="s">
        <v>695</v>
      </c>
      <c r="G303" s="378" t="str">
        <f>VLOOKUP(F303,'3B-Prestaties vloeren'!$A$28:$B$118,2,0)</f>
        <v>N.v.t.</v>
      </c>
      <c r="H303" s="378" t="s">
        <v>287</v>
      </c>
      <c r="I303" s="378">
        <v>2.42</v>
      </c>
      <c r="J303" s="419"/>
      <c r="K303" s="426">
        <v>0</v>
      </c>
      <c r="L303" s="378">
        <f t="shared" si="12"/>
        <v>0</v>
      </c>
      <c r="M303" s="380">
        <f>IF(K303=0,0,IF(COUNTBLANK('3A-Prestatie'!$B$2:$I$22)=0,L303/VLOOKUP(E303,'3A-Prestatie'!$A$1:$M$22,VLOOKUP(K303,'3A-Prestatie'!$A$28:$B$34,2,FALSE),FALSE),"3A prestatie invullen"))</f>
        <v>0</v>
      </c>
      <c r="N303" s="380">
        <f t="shared" si="14"/>
        <v>0</v>
      </c>
      <c r="O303" s="381" t="str">
        <f>VLOOKUP(E303,'3A-Prestatie'!A:M,13,FALSE)</f>
        <v>N.v.t.</v>
      </c>
      <c r="P303" s="382">
        <f>IF(R303="Niet van toepassing",0,VLOOKUP(E303,'3B-Prestaties vloeren'!$A$3:$D$24,IF(G303="Hard onbehandeld",2,IF(G303="Hard behandeld",3,4)),FALSE))</f>
        <v>0</v>
      </c>
      <c r="Q303" s="383">
        <f t="shared" si="13"/>
        <v>0</v>
      </c>
      <c r="R303" s="384" t="str">
        <f>IF(K303=0,"Niet van toepassing",IF(G303='3B-Prestaties vloeren'!$B$2,"Schrobben",IF(G303='3B-Prestaties vloeren'!$C$2,"Sprayen/conserveren",IF(G303='3B-Prestaties vloeren'!$D$2,"Sproei-extractie",0))))</f>
        <v>Niet van toepassing</v>
      </c>
      <c r="S303" s="385">
        <f>IF('2-Tarieven'!$B$28=0,0,IF(M303=0,0,'2-Tarieven'!$B$28*M303))</f>
        <v>0</v>
      </c>
      <c r="T303" s="386">
        <f>IF(AND(COUNTBLANK('3B-Prestaties vloeren'!$F$3:$H$24)=0,COUNTBLANK('3B-Prestaties vloeren'!$L$3:$M$24)=0),IF(R303="Sprayen/conserveren",I303/VLOOKUP(E303,'3B-Prestaties vloeren'!$A$3:$M$24,12,FALSE),0)*(P303-1),0)</f>
        <v>0</v>
      </c>
      <c r="U303" s="386">
        <f>IF(AND(COUNTBLANK('3B-Prestaties vloeren'!$F$3:$H$24)=0,COUNTBLANK('3B-Prestaties vloeren'!$L$3:$M$24)=0),IF(R303="Sprayen/conserveren",I303/VLOOKUP(E303,'3B-Prestaties vloeren'!$A$3:$M$24,13,FALSE),0),0)</f>
        <v>0</v>
      </c>
      <c r="V303" s="386">
        <f>IF(AND(COUNTBLANK('3B-Prestaties vloeren'!$F$3:$H$24)=0,COUNTBLANK('3B-Prestaties vloeren'!$L$3:$M$24)=0),IF(R303="schrobben",I303/VLOOKUP(E303,'3B-Prestaties vloeren'!$A$3:$H$24,6,FALSE),0)*P303,0)</f>
        <v>0</v>
      </c>
      <c r="W303" s="386">
        <f>IF(AND(COUNTBLANK('3B-Prestaties vloeren'!$F$3:$H$24)=0,COUNTBLANK('3B-Prestaties vloeren'!$L$3:$M$24)=0),IF(R303="sproei-extractie",I303/VLOOKUP(E303,'3B-Prestaties vloeren'!$A$3:$H$24,8,FALSE),0)*P303,0)</f>
        <v>0</v>
      </c>
    </row>
    <row r="304" spans="1:23" ht="15" hidden="1">
      <c r="A304" s="378" t="s">
        <v>677</v>
      </c>
      <c r="B304" s="378" t="s">
        <v>678</v>
      </c>
      <c r="C304" s="378">
        <v>3</v>
      </c>
      <c r="D304" s="378" t="s">
        <v>408</v>
      </c>
      <c r="E304" s="378" t="s">
        <v>372</v>
      </c>
      <c r="F304" s="378" t="s">
        <v>416</v>
      </c>
      <c r="G304" s="378" t="str">
        <f>VLOOKUP(F304,'3B-Prestaties vloeren'!$A$28:$B$118,2,0)</f>
        <v>Hard onbehandeld</v>
      </c>
      <c r="H304" s="378" t="s">
        <v>686</v>
      </c>
      <c r="I304" s="378">
        <v>1.22</v>
      </c>
      <c r="J304" s="420" t="s">
        <v>749</v>
      </c>
      <c r="K304" s="426">
        <v>255</v>
      </c>
      <c r="L304" s="378">
        <f t="shared" si="12"/>
        <v>311.09999999999997</v>
      </c>
      <c r="M304" s="380" t="str">
        <f>IF(K304=0,0,IF(COUNTBLANK('3A-Prestatie'!$B$2:$I$22)=0,L304/VLOOKUP(E304,'3A-Prestatie'!$A$1:$M$22,VLOOKUP(K304,'3A-Prestatie'!$A$28:$B$34,2,FALSE),FALSE),"3A prestatie invullen"))</f>
        <v>3A prestatie invullen</v>
      </c>
      <c r="N304" s="380">
        <f t="shared" si="14"/>
        <v>0</v>
      </c>
      <c r="O304" s="381" t="str">
        <f>VLOOKUP(E304,'3A-Prestatie'!A:M,13,FALSE)</f>
        <v>V</v>
      </c>
      <c r="P304" s="382">
        <f>IF(R304="Niet van toepassing",0,VLOOKUP(E304,'3B-Prestaties vloeren'!$A$3:$D$24,IF(G304="Hard onbehandeld",2,IF(G304="Hard behandeld",3,4)),FALSE))</f>
        <v>12</v>
      </c>
      <c r="Q304" s="383">
        <f t="shared" si="13"/>
        <v>0</v>
      </c>
      <c r="R304" s="384" t="str">
        <f>IF(K304=0,"Niet van toepassing",IF(G304='3B-Prestaties vloeren'!$B$2,"Schrobben",IF(G304='3B-Prestaties vloeren'!$C$2,"Sprayen/conserveren",IF(G304='3B-Prestaties vloeren'!$D$2,"Sproei-extractie",0))))</f>
        <v>Schrobben</v>
      </c>
      <c r="S304" s="385">
        <f>IF('2-Tarieven'!$B$28=0,0,IF(M304=0,0,'2-Tarieven'!$B$28*M304))</f>
        <v>0</v>
      </c>
      <c r="T304" s="386">
        <f>IF(AND(COUNTBLANK('3B-Prestaties vloeren'!$F$3:$H$24)=0,COUNTBLANK('3B-Prestaties vloeren'!$L$3:$M$24)=0),IF(R304="Sprayen/conserveren",I304/VLOOKUP(E304,'3B-Prestaties vloeren'!$A$3:$M$24,12,FALSE),0)*(P304-1),0)</f>
        <v>0</v>
      </c>
      <c r="U304" s="386">
        <f>IF(AND(COUNTBLANK('3B-Prestaties vloeren'!$F$3:$H$24)=0,COUNTBLANK('3B-Prestaties vloeren'!$L$3:$M$24)=0),IF(R304="Sprayen/conserveren",I304/VLOOKUP(E304,'3B-Prestaties vloeren'!$A$3:$M$24,13,FALSE),0),0)</f>
        <v>0</v>
      </c>
      <c r="V304" s="386">
        <f>IF(AND(COUNTBLANK('3B-Prestaties vloeren'!$F$3:$H$24)=0,COUNTBLANK('3B-Prestaties vloeren'!$L$3:$M$24)=0),IF(R304="schrobben",I304/VLOOKUP(E304,'3B-Prestaties vloeren'!$A$3:$H$24,6,FALSE),0)*P304,0)</f>
        <v>0</v>
      </c>
      <c r="W304" s="386">
        <f>IF(AND(COUNTBLANK('3B-Prestaties vloeren'!$F$3:$H$24)=0,COUNTBLANK('3B-Prestaties vloeren'!$L$3:$M$24)=0),IF(R304="sproei-extractie",I304/VLOOKUP(E304,'3B-Prestaties vloeren'!$A$3:$H$24,8,FALSE),0)*P304,0)</f>
        <v>0</v>
      </c>
    </row>
    <row r="305" spans="1:23" ht="15" hidden="1">
      <c r="A305" s="378" t="s">
        <v>677</v>
      </c>
      <c r="B305" s="378" t="s">
        <v>678</v>
      </c>
      <c r="C305" s="378">
        <v>3</v>
      </c>
      <c r="D305" s="378" t="s">
        <v>409</v>
      </c>
      <c r="E305" s="378" t="s">
        <v>372</v>
      </c>
      <c r="F305" s="378" t="s">
        <v>647</v>
      </c>
      <c r="G305" s="378" t="str">
        <f>VLOOKUP(F305,'3B-Prestaties vloeren'!$A$28:$B$118,2,0)</f>
        <v>Hard onbehandeld</v>
      </c>
      <c r="H305" s="378"/>
      <c r="I305" s="378">
        <v>5.35</v>
      </c>
      <c r="J305" s="420" t="s">
        <v>749</v>
      </c>
      <c r="K305" s="426">
        <v>255</v>
      </c>
      <c r="L305" s="378">
        <f t="shared" si="12"/>
        <v>1364.25</v>
      </c>
      <c r="M305" s="380" t="str">
        <f>IF(K305=0,0,IF(COUNTBLANK('3A-Prestatie'!$B$2:$I$22)=0,L305/VLOOKUP(E305,'3A-Prestatie'!$A$1:$M$22,VLOOKUP(K305,'3A-Prestatie'!$A$28:$B$34,2,FALSE),FALSE),"3A prestatie invullen"))</f>
        <v>3A prestatie invullen</v>
      </c>
      <c r="N305" s="380">
        <f t="shared" si="14"/>
        <v>0</v>
      </c>
      <c r="O305" s="381" t="str">
        <f>VLOOKUP(E305,'3A-Prestatie'!A:M,13,FALSE)</f>
        <v>V</v>
      </c>
      <c r="P305" s="382">
        <f>IF(R305="Niet van toepassing",0,VLOOKUP(E305,'3B-Prestaties vloeren'!$A$3:$D$24,IF(G305="Hard onbehandeld",2,IF(G305="Hard behandeld",3,4)),FALSE))</f>
        <v>12</v>
      </c>
      <c r="Q305" s="383">
        <f t="shared" si="13"/>
        <v>0</v>
      </c>
      <c r="R305" s="384" t="str">
        <f>IF(K305=0,"Niet van toepassing",IF(G305='3B-Prestaties vloeren'!$B$2,"Schrobben",IF(G305='3B-Prestaties vloeren'!$C$2,"Sprayen/conserveren",IF(G305='3B-Prestaties vloeren'!$D$2,"Sproei-extractie",0))))</f>
        <v>Schrobben</v>
      </c>
      <c r="S305" s="385">
        <f>IF('2-Tarieven'!$B$28=0,0,IF(M305=0,0,'2-Tarieven'!$B$28*M305))</f>
        <v>0</v>
      </c>
      <c r="T305" s="386">
        <f>IF(AND(COUNTBLANK('3B-Prestaties vloeren'!$F$3:$H$24)=0,COUNTBLANK('3B-Prestaties vloeren'!$L$3:$M$24)=0),IF(R305="Sprayen/conserveren",I305/VLOOKUP(E305,'3B-Prestaties vloeren'!$A$3:$M$24,12,FALSE),0)*(P305-1),0)</f>
        <v>0</v>
      </c>
      <c r="U305" s="386">
        <f>IF(AND(COUNTBLANK('3B-Prestaties vloeren'!$F$3:$H$24)=0,COUNTBLANK('3B-Prestaties vloeren'!$L$3:$M$24)=0),IF(R305="Sprayen/conserveren",I305/VLOOKUP(E305,'3B-Prestaties vloeren'!$A$3:$M$24,13,FALSE),0),0)</f>
        <v>0</v>
      </c>
      <c r="V305" s="386">
        <f>IF(AND(COUNTBLANK('3B-Prestaties vloeren'!$F$3:$H$24)=0,COUNTBLANK('3B-Prestaties vloeren'!$L$3:$M$24)=0),IF(R305="schrobben",I305/VLOOKUP(E305,'3B-Prestaties vloeren'!$A$3:$H$24,6,FALSE),0)*P305,0)</f>
        <v>0</v>
      </c>
      <c r="W305" s="386">
        <f>IF(AND(COUNTBLANK('3B-Prestaties vloeren'!$F$3:$H$24)=0,COUNTBLANK('3B-Prestaties vloeren'!$L$3:$M$24)=0),IF(R305="sproei-extractie",I305/VLOOKUP(E305,'3B-Prestaties vloeren'!$A$3:$H$24,8,FALSE),0)*P305,0)</f>
        <v>0</v>
      </c>
    </row>
    <row r="306" spans="1:23" ht="15" hidden="1">
      <c r="A306" s="378" t="s">
        <v>677</v>
      </c>
      <c r="B306" s="378" t="s">
        <v>678</v>
      </c>
      <c r="C306" s="378">
        <v>3</v>
      </c>
      <c r="D306" s="378" t="s">
        <v>15</v>
      </c>
      <c r="E306" s="378" t="s">
        <v>302</v>
      </c>
      <c r="F306" s="378" t="s">
        <v>647</v>
      </c>
      <c r="G306" s="378" t="str">
        <f>VLOOKUP(F306,'3B-Prestaties vloeren'!$A$28:$B$118,2,0)</f>
        <v>Hard onbehandeld</v>
      </c>
      <c r="H306" s="378"/>
      <c r="I306" s="378">
        <v>2.34</v>
      </c>
      <c r="J306" s="419"/>
      <c r="K306" s="426">
        <v>0</v>
      </c>
      <c r="L306" s="378">
        <f t="shared" si="12"/>
        <v>0</v>
      </c>
      <c r="M306" s="380">
        <f>IF(K306=0,0,IF(COUNTBLANK('3A-Prestatie'!$B$2:$I$22)=0,L306/VLOOKUP(E306,'3A-Prestatie'!$A$1:$M$22,VLOOKUP(K306,'3A-Prestatie'!$A$28:$B$34,2,FALSE),FALSE),"3A prestatie invullen"))</f>
        <v>0</v>
      </c>
      <c r="N306" s="380">
        <f t="shared" si="14"/>
        <v>0</v>
      </c>
      <c r="O306" s="381" t="str">
        <f>VLOOKUP(E306,'3A-Prestatie'!A:M,13,FALSE)</f>
        <v>S</v>
      </c>
      <c r="P306" s="382">
        <f>IF(R306="Niet van toepassing",0,VLOOKUP(E306,'3B-Prestaties vloeren'!$A$3:$D$24,IF(G306="Hard onbehandeld",2,IF(G306="Hard behandeld",3,4)),FALSE))</f>
        <v>0</v>
      </c>
      <c r="Q306" s="383">
        <f t="shared" si="13"/>
        <v>0</v>
      </c>
      <c r="R306" s="384" t="str">
        <f>IF(K306=0,"Niet van toepassing",IF(G306='3B-Prestaties vloeren'!$B$2,"Schrobben",IF(G306='3B-Prestaties vloeren'!$C$2,"Sprayen/conserveren",IF(G306='3B-Prestaties vloeren'!$D$2,"Sproei-extractie",0))))</f>
        <v>Niet van toepassing</v>
      </c>
      <c r="S306" s="385">
        <f>IF('2-Tarieven'!$B$28=0,0,IF(M306=0,0,'2-Tarieven'!$B$28*M306))</f>
        <v>0</v>
      </c>
      <c r="T306" s="386">
        <f>IF(AND(COUNTBLANK('3B-Prestaties vloeren'!$F$3:$H$24)=0,COUNTBLANK('3B-Prestaties vloeren'!$L$3:$M$24)=0),IF(R306="Sprayen/conserveren",I306/VLOOKUP(E306,'3B-Prestaties vloeren'!$A$3:$M$24,12,FALSE),0)*(P306-1),0)</f>
        <v>0</v>
      </c>
      <c r="U306" s="386">
        <f>IF(AND(COUNTBLANK('3B-Prestaties vloeren'!$F$3:$H$24)=0,COUNTBLANK('3B-Prestaties vloeren'!$L$3:$M$24)=0),IF(R306="Sprayen/conserveren",I306/VLOOKUP(E306,'3B-Prestaties vloeren'!$A$3:$M$24,13,FALSE),0),0)</f>
        <v>0</v>
      </c>
      <c r="V306" s="386">
        <f>IF(AND(COUNTBLANK('3B-Prestaties vloeren'!$F$3:$H$24)=0,COUNTBLANK('3B-Prestaties vloeren'!$L$3:$M$24)=0),IF(R306="schrobben",I306/VLOOKUP(E306,'3B-Prestaties vloeren'!$A$3:$H$24,6,FALSE),0)*P306,0)</f>
        <v>0</v>
      </c>
      <c r="W306" s="386">
        <f>IF(AND(COUNTBLANK('3B-Prestaties vloeren'!$F$3:$H$24)=0,COUNTBLANK('3B-Prestaties vloeren'!$L$3:$M$24)=0),IF(R306="sproei-extractie",I306/VLOOKUP(E306,'3B-Prestaties vloeren'!$A$3:$H$24,8,FALSE),0)*P306,0)</f>
        <v>0</v>
      </c>
    </row>
    <row r="307" spans="1:23" ht="15" hidden="1">
      <c r="A307" s="378" t="s">
        <v>677</v>
      </c>
      <c r="B307" s="378" t="s">
        <v>678</v>
      </c>
      <c r="C307" s="378">
        <v>3</v>
      </c>
      <c r="D307" s="378" t="s">
        <v>477</v>
      </c>
      <c r="E307" s="378" t="s">
        <v>5</v>
      </c>
      <c r="F307" s="378" t="s">
        <v>65</v>
      </c>
      <c r="G307" s="378" t="str">
        <f>VLOOKUP(F307,'3B-Prestaties vloeren'!$A$28:$B$118,2,0)</f>
        <v>Zacht onbehandeld</v>
      </c>
      <c r="H307" s="378"/>
      <c r="I307" s="378">
        <v>31</v>
      </c>
      <c r="J307" s="420" t="s">
        <v>749</v>
      </c>
      <c r="K307" s="426">
        <v>52</v>
      </c>
      <c r="L307" s="378">
        <f t="shared" si="12"/>
        <v>1612</v>
      </c>
      <c r="M307" s="380" t="str">
        <f>IF(K307=0,0,IF(COUNTBLANK('3A-Prestatie'!$B$2:$I$22)=0,L307/VLOOKUP(E307,'3A-Prestatie'!$A$1:$M$22,VLOOKUP(K307,'3A-Prestatie'!$A$28:$B$34,2,FALSE),FALSE),"3A prestatie invullen"))</f>
        <v>3A prestatie invullen</v>
      </c>
      <c r="N307" s="380">
        <f t="shared" si="14"/>
        <v>0</v>
      </c>
      <c r="O307" s="381" t="str">
        <f>VLOOKUP(E307,'3A-Prestatie'!A:M,13,FALSE)</f>
        <v>B</v>
      </c>
      <c r="P307" s="382">
        <f>IF(R307="Niet van toepassing",0,VLOOKUP(E307,'3B-Prestaties vloeren'!$A$3:$D$24,IF(G307="Hard onbehandeld",2,IF(G307="Hard behandeld",3,4)),FALSE))</f>
        <v>1</v>
      </c>
      <c r="Q307" s="383">
        <f t="shared" si="13"/>
        <v>0</v>
      </c>
      <c r="R307" s="384" t="str">
        <f>IF(K307=0,"Niet van toepassing",IF(G307='3B-Prestaties vloeren'!$B$2,"Schrobben",IF(G307='3B-Prestaties vloeren'!$C$2,"Sprayen/conserveren",IF(G307='3B-Prestaties vloeren'!$D$2,"Sproei-extractie",0))))</f>
        <v>Sproei-extractie</v>
      </c>
      <c r="S307" s="385">
        <f>IF('2-Tarieven'!$B$28=0,0,IF(M307=0,0,'2-Tarieven'!$B$28*M307))</f>
        <v>0</v>
      </c>
      <c r="T307" s="386">
        <f>IF(AND(COUNTBLANK('3B-Prestaties vloeren'!$F$3:$H$24)=0,COUNTBLANK('3B-Prestaties vloeren'!$L$3:$M$24)=0),IF(R307="Sprayen/conserveren",I307/VLOOKUP(E307,'3B-Prestaties vloeren'!$A$3:$M$24,12,FALSE),0)*(P307-1),0)</f>
        <v>0</v>
      </c>
      <c r="U307" s="386">
        <f>IF(AND(COUNTBLANK('3B-Prestaties vloeren'!$F$3:$H$24)=0,COUNTBLANK('3B-Prestaties vloeren'!$L$3:$M$24)=0),IF(R307="Sprayen/conserveren",I307/VLOOKUP(E307,'3B-Prestaties vloeren'!$A$3:$M$24,13,FALSE),0),0)</f>
        <v>0</v>
      </c>
      <c r="V307" s="386">
        <f>IF(AND(COUNTBLANK('3B-Prestaties vloeren'!$F$3:$H$24)=0,COUNTBLANK('3B-Prestaties vloeren'!$L$3:$M$24)=0),IF(R307="schrobben",I307/VLOOKUP(E307,'3B-Prestaties vloeren'!$A$3:$H$24,6,FALSE),0)*P307,0)</f>
        <v>0</v>
      </c>
      <c r="W307" s="386">
        <f>IF(AND(COUNTBLANK('3B-Prestaties vloeren'!$F$3:$H$24)=0,COUNTBLANK('3B-Prestaties vloeren'!$L$3:$M$24)=0),IF(R307="sproei-extractie",I307/VLOOKUP(E307,'3B-Prestaties vloeren'!$A$3:$H$24,8,FALSE),0)*P307,0)</f>
        <v>0</v>
      </c>
    </row>
    <row r="308" spans="1:23" ht="15" hidden="1">
      <c r="A308" s="378" t="s">
        <v>677</v>
      </c>
      <c r="B308" s="378" t="s">
        <v>678</v>
      </c>
      <c r="C308" s="378">
        <v>3</v>
      </c>
      <c r="D308" s="378" t="s">
        <v>478</v>
      </c>
      <c r="E308" s="378" t="s">
        <v>5</v>
      </c>
      <c r="F308" s="378" t="s">
        <v>65</v>
      </c>
      <c r="G308" s="378" t="str">
        <f>VLOOKUP(F308,'3B-Prestaties vloeren'!$A$28:$B$118,2,0)</f>
        <v>Zacht onbehandeld</v>
      </c>
      <c r="H308" s="378"/>
      <c r="I308" s="378">
        <v>31</v>
      </c>
      <c r="J308" s="420" t="s">
        <v>749</v>
      </c>
      <c r="K308" s="426">
        <v>52</v>
      </c>
      <c r="L308" s="378">
        <f t="shared" si="12"/>
        <v>1612</v>
      </c>
      <c r="M308" s="380" t="str">
        <f>IF(K308=0,0,IF(COUNTBLANK('3A-Prestatie'!$B$2:$I$22)=0,L308/VLOOKUP(E308,'3A-Prestatie'!$A$1:$M$22,VLOOKUP(K308,'3A-Prestatie'!$A$28:$B$34,2,FALSE),FALSE),"3A prestatie invullen"))</f>
        <v>3A prestatie invullen</v>
      </c>
      <c r="N308" s="380">
        <f t="shared" si="14"/>
        <v>0</v>
      </c>
      <c r="O308" s="381" t="str">
        <f>VLOOKUP(E308,'3A-Prestatie'!A:M,13,FALSE)</f>
        <v>B</v>
      </c>
      <c r="P308" s="382">
        <f>IF(R308="Niet van toepassing",0,VLOOKUP(E308,'3B-Prestaties vloeren'!$A$3:$D$24,IF(G308="Hard onbehandeld",2,IF(G308="Hard behandeld",3,4)),FALSE))</f>
        <v>1</v>
      </c>
      <c r="Q308" s="383">
        <f t="shared" si="13"/>
        <v>0</v>
      </c>
      <c r="R308" s="384" t="str">
        <f>IF(K308=0,"Niet van toepassing",IF(G308='3B-Prestaties vloeren'!$B$2,"Schrobben",IF(G308='3B-Prestaties vloeren'!$C$2,"Sprayen/conserveren",IF(G308='3B-Prestaties vloeren'!$D$2,"Sproei-extractie",0))))</f>
        <v>Sproei-extractie</v>
      </c>
      <c r="S308" s="385">
        <f>IF('2-Tarieven'!$B$28=0,0,IF(M308=0,0,'2-Tarieven'!$B$28*M308))</f>
        <v>0</v>
      </c>
      <c r="T308" s="386">
        <f>IF(AND(COUNTBLANK('3B-Prestaties vloeren'!$F$3:$H$24)=0,COUNTBLANK('3B-Prestaties vloeren'!$L$3:$M$24)=0),IF(R308="Sprayen/conserveren",I308/VLOOKUP(E308,'3B-Prestaties vloeren'!$A$3:$M$24,12,FALSE),0)*(P308-1),0)</f>
        <v>0</v>
      </c>
      <c r="U308" s="386">
        <f>IF(AND(COUNTBLANK('3B-Prestaties vloeren'!$F$3:$H$24)=0,COUNTBLANK('3B-Prestaties vloeren'!$L$3:$M$24)=0),IF(R308="Sprayen/conserveren",I308/VLOOKUP(E308,'3B-Prestaties vloeren'!$A$3:$M$24,13,FALSE),0),0)</f>
        <v>0</v>
      </c>
      <c r="V308" s="386">
        <f>IF(AND(COUNTBLANK('3B-Prestaties vloeren'!$F$3:$H$24)=0,COUNTBLANK('3B-Prestaties vloeren'!$L$3:$M$24)=0),IF(R308="schrobben",I308/VLOOKUP(E308,'3B-Prestaties vloeren'!$A$3:$H$24,6,FALSE),0)*P308,0)</f>
        <v>0</v>
      </c>
      <c r="W308" s="386">
        <f>IF(AND(COUNTBLANK('3B-Prestaties vloeren'!$F$3:$H$24)=0,COUNTBLANK('3B-Prestaties vloeren'!$L$3:$M$24)=0),IF(R308="sproei-extractie",I308/VLOOKUP(E308,'3B-Prestaties vloeren'!$A$3:$H$24,8,FALSE),0)*P308,0)</f>
        <v>0</v>
      </c>
    </row>
    <row r="309" spans="1:23" ht="15" hidden="1">
      <c r="A309" s="378" t="s">
        <v>677</v>
      </c>
      <c r="B309" s="378" t="s">
        <v>678</v>
      </c>
      <c r="C309" s="378">
        <v>3</v>
      </c>
      <c r="D309" s="378" t="s">
        <v>479</v>
      </c>
      <c r="E309" s="378" t="s">
        <v>5</v>
      </c>
      <c r="F309" s="378" t="s">
        <v>65</v>
      </c>
      <c r="G309" s="378" t="str">
        <f>VLOOKUP(F309,'3B-Prestaties vloeren'!$A$28:$B$118,2,0)</f>
        <v>Zacht onbehandeld</v>
      </c>
      <c r="H309" s="378"/>
      <c r="I309" s="378">
        <v>31</v>
      </c>
      <c r="J309" s="420" t="s">
        <v>749</v>
      </c>
      <c r="K309" s="426">
        <v>52</v>
      </c>
      <c r="L309" s="378">
        <f t="shared" si="12"/>
        <v>1612</v>
      </c>
      <c r="M309" s="380" t="str">
        <f>IF(K309=0,0,IF(COUNTBLANK('3A-Prestatie'!$B$2:$I$22)=0,L309/VLOOKUP(E309,'3A-Prestatie'!$A$1:$M$22,VLOOKUP(K309,'3A-Prestatie'!$A$28:$B$34,2,FALSE),FALSE),"3A prestatie invullen"))</f>
        <v>3A prestatie invullen</v>
      </c>
      <c r="N309" s="380">
        <f t="shared" si="14"/>
        <v>0</v>
      </c>
      <c r="O309" s="381" t="str">
        <f>VLOOKUP(E309,'3A-Prestatie'!A:M,13,FALSE)</f>
        <v>B</v>
      </c>
      <c r="P309" s="382">
        <f>IF(R309="Niet van toepassing",0,VLOOKUP(E309,'3B-Prestaties vloeren'!$A$3:$D$24,IF(G309="Hard onbehandeld",2,IF(G309="Hard behandeld",3,4)),FALSE))</f>
        <v>1</v>
      </c>
      <c r="Q309" s="383">
        <f t="shared" si="13"/>
        <v>0</v>
      </c>
      <c r="R309" s="384" t="str">
        <f>IF(K309=0,"Niet van toepassing",IF(G309='3B-Prestaties vloeren'!$B$2,"Schrobben",IF(G309='3B-Prestaties vloeren'!$C$2,"Sprayen/conserveren",IF(G309='3B-Prestaties vloeren'!$D$2,"Sproei-extractie",0))))</f>
        <v>Sproei-extractie</v>
      </c>
      <c r="S309" s="385">
        <f>IF('2-Tarieven'!$B$28=0,0,IF(M309=0,0,'2-Tarieven'!$B$28*M309))</f>
        <v>0</v>
      </c>
      <c r="T309" s="386">
        <f>IF(AND(COUNTBLANK('3B-Prestaties vloeren'!$F$3:$H$24)=0,COUNTBLANK('3B-Prestaties vloeren'!$L$3:$M$24)=0),IF(R309="Sprayen/conserveren",I309/VLOOKUP(E309,'3B-Prestaties vloeren'!$A$3:$M$24,12,FALSE),0)*(P309-1),0)</f>
        <v>0</v>
      </c>
      <c r="U309" s="386">
        <f>IF(AND(COUNTBLANK('3B-Prestaties vloeren'!$F$3:$H$24)=0,COUNTBLANK('3B-Prestaties vloeren'!$L$3:$M$24)=0),IF(R309="Sprayen/conserveren",I309/VLOOKUP(E309,'3B-Prestaties vloeren'!$A$3:$M$24,13,FALSE),0),0)</f>
        <v>0</v>
      </c>
      <c r="V309" s="386">
        <f>IF(AND(COUNTBLANK('3B-Prestaties vloeren'!$F$3:$H$24)=0,COUNTBLANK('3B-Prestaties vloeren'!$L$3:$M$24)=0),IF(R309="schrobben",I309/VLOOKUP(E309,'3B-Prestaties vloeren'!$A$3:$H$24,6,FALSE),0)*P309,0)</f>
        <v>0</v>
      </c>
      <c r="W309" s="386">
        <f>IF(AND(COUNTBLANK('3B-Prestaties vloeren'!$F$3:$H$24)=0,COUNTBLANK('3B-Prestaties vloeren'!$L$3:$M$24)=0),IF(R309="sproei-extractie",I309/VLOOKUP(E309,'3B-Prestaties vloeren'!$A$3:$H$24,8,FALSE),0)*P309,0)</f>
        <v>0</v>
      </c>
    </row>
    <row r="310" spans="1:23" ht="15" hidden="1">
      <c r="A310" s="378" t="s">
        <v>677</v>
      </c>
      <c r="B310" s="378" t="s">
        <v>678</v>
      </c>
      <c r="C310" s="378">
        <v>3</v>
      </c>
      <c r="D310" s="378" t="s">
        <v>480</v>
      </c>
      <c r="E310" s="378" t="s">
        <v>5</v>
      </c>
      <c r="F310" s="378" t="s">
        <v>65</v>
      </c>
      <c r="G310" s="378" t="str">
        <f>VLOOKUP(F310,'3B-Prestaties vloeren'!$A$28:$B$118,2,0)</f>
        <v>Zacht onbehandeld</v>
      </c>
      <c r="H310" s="378"/>
      <c r="I310" s="378">
        <v>31.02</v>
      </c>
      <c r="J310" s="420" t="s">
        <v>749</v>
      </c>
      <c r="K310" s="426">
        <v>52</v>
      </c>
      <c r="L310" s="378">
        <f t="shared" si="12"/>
        <v>1613.04</v>
      </c>
      <c r="M310" s="380" t="str">
        <f>IF(K310=0,0,IF(COUNTBLANK('3A-Prestatie'!$B$2:$I$22)=0,L310/VLOOKUP(E310,'3A-Prestatie'!$A$1:$M$22,VLOOKUP(K310,'3A-Prestatie'!$A$28:$B$34,2,FALSE),FALSE),"3A prestatie invullen"))</f>
        <v>3A prestatie invullen</v>
      </c>
      <c r="N310" s="380">
        <f t="shared" si="14"/>
        <v>0</v>
      </c>
      <c r="O310" s="381" t="str">
        <f>VLOOKUP(E310,'3A-Prestatie'!A:M,13,FALSE)</f>
        <v>B</v>
      </c>
      <c r="P310" s="382">
        <f>IF(R310="Niet van toepassing",0,VLOOKUP(E310,'3B-Prestaties vloeren'!$A$3:$D$24,IF(G310="Hard onbehandeld",2,IF(G310="Hard behandeld",3,4)),FALSE))</f>
        <v>1</v>
      </c>
      <c r="Q310" s="383">
        <f t="shared" si="13"/>
        <v>0</v>
      </c>
      <c r="R310" s="384" t="str">
        <f>IF(K310=0,"Niet van toepassing",IF(G310='3B-Prestaties vloeren'!$B$2,"Schrobben",IF(G310='3B-Prestaties vloeren'!$C$2,"Sprayen/conserveren",IF(G310='3B-Prestaties vloeren'!$D$2,"Sproei-extractie",0))))</f>
        <v>Sproei-extractie</v>
      </c>
      <c r="S310" s="385">
        <f>IF('2-Tarieven'!$B$28=0,0,IF(M310=0,0,'2-Tarieven'!$B$28*M310))</f>
        <v>0</v>
      </c>
      <c r="T310" s="386">
        <f>IF(AND(COUNTBLANK('3B-Prestaties vloeren'!$F$3:$H$24)=0,COUNTBLANK('3B-Prestaties vloeren'!$L$3:$M$24)=0),IF(R310="Sprayen/conserveren",I310/VLOOKUP(E310,'3B-Prestaties vloeren'!$A$3:$M$24,12,FALSE),0)*(P310-1),0)</f>
        <v>0</v>
      </c>
      <c r="U310" s="386">
        <f>IF(AND(COUNTBLANK('3B-Prestaties vloeren'!$F$3:$H$24)=0,COUNTBLANK('3B-Prestaties vloeren'!$L$3:$M$24)=0),IF(R310="Sprayen/conserveren",I310/VLOOKUP(E310,'3B-Prestaties vloeren'!$A$3:$M$24,13,FALSE),0),0)</f>
        <v>0</v>
      </c>
      <c r="V310" s="386">
        <f>IF(AND(COUNTBLANK('3B-Prestaties vloeren'!$F$3:$H$24)=0,COUNTBLANK('3B-Prestaties vloeren'!$L$3:$M$24)=0),IF(R310="schrobben",I310/VLOOKUP(E310,'3B-Prestaties vloeren'!$A$3:$H$24,6,FALSE),0)*P310,0)</f>
        <v>0</v>
      </c>
      <c r="W310" s="386">
        <f>IF(AND(COUNTBLANK('3B-Prestaties vloeren'!$F$3:$H$24)=0,COUNTBLANK('3B-Prestaties vloeren'!$L$3:$M$24)=0),IF(R310="sproei-extractie",I310/VLOOKUP(E310,'3B-Prestaties vloeren'!$A$3:$H$24,8,FALSE),0)*P310,0)</f>
        <v>0</v>
      </c>
    </row>
    <row r="311" spans="1:23" ht="15" hidden="1">
      <c r="A311" s="378" t="s">
        <v>677</v>
      </c>
      <c r="B311" s="378" t="s">
        <v>678</v>
      </c>
      <c r="C311" s="378">
        <v>3</v>
      </c>
      <c r="D311" s="378" t="s">
        <v>481</v>
      </c>
      <c r="E311" s="378" t="s">
        <v>5</v>
      </c>
      <c r="F311" s="378" t="s">
        <v>65</v>
      </c>
      <c r="G311" s="378" t="str">
        <f>VLOOKUP(F311,'3B-Prestaties vloeren'!$A$28:$B$118,2,0)</f>
        <v>Zacht onbehandeld</v>
      </c>
      <c r="H311" s="378"/>
      <c r="I311" s="378">
        <v>20.48</v>
      </c>
      <c r="J311" s="420" t="s">
        <v>749</v>
      </c>
      <c r="K311" s="426">
        <v>52</v>
      </c>
      <c r="L311" s="378">
        <f t="shared" si="12"/>
        <v>1064.96</v>
      </c>
      <c r="M311" s="380" t="str">
        <f>IF(K311=0,0,IF(COUNTBLANK('3A-Prestatie'!$B$2:$I$22)=0,L311/VLOOKUP(E311,'3A-Prestatie'!$A$1:$M$22,VLOOKUP(K311,'3A-Prestatie'!$A$28:$B$34,2,FALSE),FALSE),"3A prestatie invullen"))</f>
        <v>3A prestatie invullen</v>
      </c>
      <c r="N311" s="380">
        <f t="shared" si="14"/>
        <v>0</v>
      </c>
      <c r="O311" s="381" t="str">
        <f>VLOOKUP(E311,'3A-Prestatie'!A:M,13,FALSE)</f>
        <v>B</v>
      </c>
      <c r="P311" s="382">
        <f>IF(R311="Niet van toepassing",0,VLOOKUP(E311,'3B-Prestaties vloeren'!$A$3:$D$24,IF(G311="Hard onbehandeld",2,IF(G311="Hard behandeld",3,4)),FALSE))</f>
        <v>1</v>
      </c>
      <c r="Q311" s="383">
        <f t="shared" si="13"/>
        <v>0</v>
      </c>
      <c r="R311" s="384" t="str">
        <f>IF(K311=0,"Niet van toepassing",IF(G311='3B-Prestaties vloeren'!$B$2,"Schrobben",IF(G311='3B-Prestaties vloeren'!$C$2,"Sprayen/conserveren",IF(G311='3B-Prestaties vloeren'!$D$2,"Sproei-extractie",0))))</f>
        <v>Sproei-extractie</v>
      </c>
      <c r="S311" s="385">
        <f>IF('2-Tarieven'!$B$28=0,0,IF(M311=0,0,'2-Tarieven'!$B$28*M311))</f>
        <v>0</v>
      </c>
      <c r="T311" s="386">
        <f>IF(AND(COUNTBLANK('3B-Prestaties vloeren'!$F$3:$H$24)=0,COUNTBLANK('3B-Prestaties vloeren'!$L$3:$M$24)=0),IF(R311="Sprayen/conserveren",I311/VLOOKUP(E311,'3B-Prestaties vloeren'!$A$3:$M$24,12,FALSE),0)*(P311-1),0)</f>
        <v>0</v>
      </c>
      <c r="U311" s="386">
        <f>IF(AND(COUNTBLANK('3B-Prestaties vloeren'!$F$3:$H$24)=0,COUNTBLANK('3B-Prestaties vloeren'!$L$3:$M$24)=0),IF(R311="Sprayen/conserveren",I311/VLOOKUP(E311,'3B-Prestaties vloeren'!$A$3:$M$24,13,FALSE),0),0)</f>
        <v>0</v>
      </c>
      <c r="V311" s="386">
        <f>IF(AND(COUNTBLANK('3B-Prestaties vloeren'!$F$3:$H$24)=0,COUNTBLANK('3B-Prestaties vloeren'!$L$3:$M$24)=0),IF(R311="schrobben",I311/VLOOKUP(E311,'3B-Prestaties vloeren'!$A$3:$H$24,6,FALSE),0)*P311,0)</f>
        <v>0</v>
      </c>
      <c r="W311" s="386">
        <f>IF(AND(COUNTBLANK('3B-Prestaties vloeren'!$F$3:$H$24)=0,COUNTBLANK('3B-Prestaties vloeren'!$L$3:$M$24)=0),IF(R311="sproei-extractie",I311/VLOOKUP(E311,'3B-Prestaties vloeren'!$A$3:$H$24,8,FALSE),0)*P311,0)</f>
        <v>0</v>
      </c>
    </row>
    <row r="312" spans="1:23" ht="15" hidden="1">
      <c r="A312" s="378" t="s">
        <v>677</v>
      </c>
      <c r="B312" s="378" t="s">
        <v>678</v>
      </c>
      <c r="C312" s="378">
        <v>3</v>
      </c>
      <c r="D312" s="378" t="s">
        <v>482</v>
      </c>
      <c r="E312" s="378" t="s">
        <v>5</v>
      </c>
      <c r="F312" s="378" t="s">
        <v>65</v>
      </c>
      <c r="G312" s="378" t="str">
        <f>VLOOKUP(F312,'3B-Prestaties vloeren'!$A$28:$B$118,2,0)</f>
        <v>Zacht onbehandeld</v>
      </c>
      <c r="H312" s="378"/>
      <c r="I312" s="378">
        <v>20.77</v>
      </c>
      <c r="J312" s="420" t="s">
        <v>749</v>
      </c>
      <c r="K312" s="426">
        <v>52</v>
      </c>
      <c r="L312" s="378">
        <f t="shared" si="12"/>
        <v>1080.04</v>
      </c>
      <c r="M312" s="380" t="str">
        <f>IF(K312=0,0,IF(COUNTBLANK('3A-Prestatie'!$B$2:$I$22)=0,L312/VLOOKUP(E312,'3A-Prestatie'!$A$1:$M$22,VLOOKUP(K312,'3A-Prestatie'!$A$28:$B$34,2,FALSE),FALSE),"3A prestatie invullen"))</f>
        <v>3A prestatie invullen</v>
      </c>
      <c r="N312" s="380">
        <f t="shared" si="14"/>
        <v>0</v>
      </c>
      <c r="O312" s="381" t="str">
        <f>VLOOKUP(E312,'3A-Prestatie'!A:M,13,FALSE)</f>
        <v>B</v>
      </c>
      <c r="P312" s="382">
        <f>IF(R312="Niet van toepassing",0,VLOOKUP(E312,'3B-Prestaties vloeren'!$A$3:$D$24,IF(G312="Hard onbehandeld",2,IF(G312="Hard behandeld",3,4)),FALSE))</f>
        <v>1</v>
      </c>
      <c r="Q312" s="383">
        <f t="shared" si="13"/>
        <v>0</v>
      </c>
      <c r="R312" s="384" t="str">
        <f>IF(K312=0,"Niet van toepassing",IF(G312='3B-Prestaties vloeren'!$B$2,"Schrobben",IF(G312='3B-Prestaties vloeren'!$C$2,"Sprayen/conserveren",IF(G312='3B-Prestaties vloeren'!$D$2,"Sproei-extractie",0))))</f>
        <v>Sproei-extractie</v>
      </c>
      <c r="S312" s="385">
        <f>IF('2-Tarieven'!$B$28=0,0,IF(M312=0,0,'2-Tarieven'!$B$28*M312))</f>
        <v>0</v>
      </c>
      <c r="T312" s="386">
        <f>IF(AND(COUNTBLANK('3B-Prestaties vloeren'!$F$3:$H$24)=0,COUNTBLANK('3B-Prestaties vloeren'!$L$3:$M$24)=0),IF(R312="Sprayen/conserveren",I312/VLOOKUP(E312,'3B-Prestaties vloeren'!$A$3:$M$24,12,FALSE),0)*(P312-1),0)</f>
        <v>0</v>
      </c>
      <c r="U312" s="386">
        <f>IF(AND(COUNTBLANK('3B-Prestaties vloeren'!$F$3:$H$24)=0,COUNTBLANK('3B-Prestaties vloeren'!$L$3:$M$24)=0),IF(R312="Sprayen/conserveren",I312/VLOOKUP(E312,'3B-Prestaties vloeren'!$A$3:$M$24,13,FALSE),0),0)</f>
        <v>0</v>
      </c>
      <c r="V312" s="386">
        <f>IF(AND(COUNTBLANK('3B-Prestaties vloeren'!$F$3:$H$24)=0,COUNTBLANK('3B-Prestaties vloeren'!$L$3:$M$24)=0),IF(R312="schrobben",I312/VLOOKUP(E312,'3B-Prestaties vloeren'!$A$3:$H$24,6,FALSE),0)*P312,0)</f>
        <v>0</v>
      </c>
      <c r="W312" s="386">
        <f>IF(AND(COUNTBLANK('3B-Prestaties vloeren'!$F$3:$H$24)=0,COUNTBLANK('3B-Prestaties vloeren'!$L$3:$M$24)=0),IF(R312="sproei-extractie",I312/VLOOKUP(E312,'3B-Prestaties vloeren'!$A$3:$H$24,8,FALSE),0)*P312,0)</f>
        <v>0</v>
      </c>
    </row>
    <row r="313" spans="1:23" ht="15" hidden="1">
      <c r="A313" s="378" t="s">
        <v>677</v>
      </c>
      <c r="B313" s="378" t="s">
        <v>678</v>
      </c>
      <c r="C313" s="378">
        <v>3</v>
      </c>
      <c r="D313" s="378" t="s">
        <v>483</v>
      </c>
      <c r="E313" s="378" t="s">
        <v>341</v>
      </c>
      <c r="F313" s="378" t="s">
        <v>65</v>
      </c>
      <c r="G313" s="378" t="str">
        <f>VLOOKUP(F313,'3B-Prestaties vloeren'!$A$28:$B$118,2,0)</f>
        <v>Zacht onbehandeld</v>
      </c>
      <c r="H313" s="378"/>
      <c r="I313" s="378">
        <v>41.54</v>
      </c>
      <c r="J313" s="420" t="s">
        <v>749</v>
      </c>
      <c r="K313" s="426">
        <v>52</v>
      </c>
      <c r="L313" s="378">
        <f t="shared" si="12"/>
        <v>2160.08</v>
      </c>
      <c r="M313" s="380" t="str">
        <f>IF(K313=0,0,IF(COUNTBLANK('3A-Prestatie'!$B$2:$I$22)=0,L313/VLOOKUP(E313,'3A-Prestatie'!$A$1:$M$22,VLOOKUP(K313,'3A-Prestatie'!$A$28:$B$34,2,FALSE),FALSE),"3A prestatie invullen"))</f>
        <v>3A prestatie invullen</v>
      </c>
      <c r="N313" s="380">
        <f t="shared" si="14"/>
        <v>0</v>
      </c>
      <c r="O313" s="381" t="str">
        <f>VLOOKUP(E313,'3A-Prestatie'!A:M,13,FALSE)</f>
        <v>V</v>
      </c>
      <c r="P313" s="382">
        <f>IF(R313="Niet van toepassing",0,VLOOKUP(E313,'3B-Prestaties vloeren'!$A$3:$D$24,IF(G313="Hard onbehandeld",2,IF(G313="Hard behandeld",3,4)),FALSE))</f>
        <v>1</v>
      </c>
      <c r="Q313" s="383">
        <f t="shared" si="13"/>
        <v>0</v>
      </c>
      <c r="R313" s="384" t="str">
        <f>IF(K313=0,"Niet van toepassing",IF(G313='3B-Prestaties vloeren'!$B$2,"Schrobben",IF(G313='3B-Prestaties vloeren'!$C$2,"Sprayen/conserveren",IF(G313='3B-Prestaties vloeren'!$D$2,"Sproei-extractie",0))))</f>
        <v>Sproei-extractie</v>
      </c>
      <c r="S313" s="385">
        <f>IF('2-Tarieven'!$B$28=0,0,IF(M313=0,0,'2-Tarieven'!$B$28*M313))</f>
        <v>0</v>
      </c>
      <c r="T313" s="386">
        <f>IF(AND(COUNTBLANK('3B-Prestaties vloeren'!$F$3:$H$24)=0,COUNTBLANK('3B-Prestaties vloeren'!$L$3:$M$24)=0),IF(R313="Sprayen/conserveren",I313/VLOOKUP(E313,'3B-Prestaties vloeren'!$A$3:$M$24,12,FALSE),0)*(P313-1),0)</f>
        <v>0</v>
      </c>
      <c r="U313" s="386">
        <f>IF(AND(COUNTBLANK('3B-Prestaties vloeren'!$F$3:$H$24)=0,COUNTBLANK('3B-Prestaties vloeren'!$L$3:$M$24)=0),IF(R313="Sprayen/conserveren",I313/VLOOKUP(E313,'3B-Prestaties vloeren'!$A$3:$M$24,13,FALSE),0),0)</f>
        <v>0</v>
      </c>
      <c r="V313" s="386">
        <f>IF(AND(COUNTBLANK('3B-Prestaties vloeren'!$F$3:$H$24)=0,COUNTBLANK('3B-Prestaties vloeren'!$L$3:$M$24)=0),IF(R313="schrobben",I313/VLOOKUP(E313,'3B-Prestaties vloeren'!$A$3:$H$24,6,FALSE),0)*P313,0)</f>
        <v>0</v>
      </c>
      <c r="W313" s="386">
        <f>IF(AND(COUNTBLANK('3B-Prestaties vloeren'!$F$3:$H$24)=0,COUNTBLANK('3B-Prestaties vloeren'!$L$3:$M$24)=0),IF(R313="sproei-extractie",I313/VLOOKUP(E313,'3B-Prestaties vloeren'!$A$3:$H$24,8,FALSE),0)*P313,0)</f>
        <v>0</v>
      </c>
    </row>
    <row r="314" spans="1:23" ht="15" hidden="1">
      <c r="A314" s="378" t="s">
        <v>677</v>
      </c>
      <c r="B314" s="378" t="s">
        <v>678</v>
      </c>
      <c r="C314" s="378">
        <v>3</v>
      </c>
      <c r="D314" s="378" t="s">
        <v>484</v>
      </c>
      <c r="E314" s="378" t="s">
        <v>341</v>
      </c>
      <c r="F314" s="378" t="s">
        <v>65</v>
      </c>
      <c r="G314" s="378" t="str">
        <f>VLOOKUP(F314,'3B-Prestaties vloeren'!$A$28:$B$118,2,0)</f>
        <v>Zacht onbehandeld</v>
      </c>
      <c r="H314" s="378"/>
      <c r="I314" s="378">
        <v>32</v>
      </c>
      <c r="J314" s="420" t="s">
        <v>749</v>
      </c>
      <c r="K314" s="426">
        <v>52</v>
      </c>
      <c r="L314" s="378">
        <f t="shared" si="12"/>
        <v>1664</v>
      </c>
      <c r="M314" s="380" t="str">
        <f>IF(K314=0,0,IF(COUNTBLANK('3A-Prestatie'!$B$2:$I$22)=0,L314/VLOOKUP(E314,'3A-Prestatie'!$A$1:$M$22,VLOOKUP(K314,'3A-Prestatie'!$A$28:$B$34,2,FALSE),FALSE),"3A prestatie invullen"))</f>
        <v>3A prestatie invullen</v>
      </c>
      <c r="N314" s="380">
        <f t="shared" si="14"/>
        <v>0</v>
      </c>
      <c r="O314" s="381" t="str">
        <f>VLOOKUP(E314,'3A-Prestatie'!A:M,13,FALSE)</f>
        <v>V</v>
      </c>
      <c r="P314" s="382">
        <f>IF(R314="Niet van toepassing",0,VLOOKUP(E314,'3B-Prestaties vloeren'!$A$3:$D$24,IF(G314="Hard onbehandeld",2,IF(G314="Hard behandeld",3,4)),FALSE))</f>
        <v>1</v>
      </c>
      <c r="Q314" s="383">
        <f t="shared" si="13"/>
        <v>0</v>
      </c>
      <c r="R314" s="384" t="str">
        <f>IF(K314=0,"Niet van toepassing",IF(G314='3B-Prestaties vloeren'!$B$2,"Schrobben",IF(G314='3B-Prestaties vloeren'!$C$2,"Sprayen/conserveren",IF(G314='3B-Prestaties vloeren'!$D$2,"Sproei-extractie",0))))</f>
        <v>Sproei-extractie</v>
      </c>
      <c r="S314" s="385">
        <f>IF('2-Tarieven'!$B$28=0,0,IF(M314=0,0,'2-Tarieven'!$B$28*M314))</f>
        <v>0</v>
      </c>
      <c r="T314" s="386">
        <f>IF(AND(COUNTBLANK('3B-Prestaties vloeren'!$F$3:$H$24)=0,COUNTBLANK('3B-Prestaties vloeren'!$L$3:$M$24)=0),IF(R314="Sprayen/conserveren",I314/VLOOKUP(E314,'3B-Prestaties vloeren'!$A$3:$M$24,12,FALSE),0)*(P314-1),0)</f>
        <v>0</v>
      </c>
      <c r="U314" s="386">
        <f>IF(AND(COUNTBLANK('3B-Prestaties vloeren'!$F$3:$H$24)=0,COUNTBLANK('3B-Prestaties vloeren'!$L$3:$M$24)=0),IF(R314="Sprayen/conserveren",I314/VLOOKUP(E314,'3B-Prestaties vloeren'!$A$3:$M$24,13,FALSE),0),0)</f>
        <v>0</v>
      </c>
      <c r="V314" s="386">
        <f>IF(AND(COUNTBLANK('3B-Prestaties vloeren'!$F$3:$H$24)=0,COUNTBLANK('3B-Prestaties vloeren'!$L$3:$M$24)=0),IF(R314="schrobben",I314/VLOOKUP(E314,'3B-Prestaties vloeren'!$A$3:$H$24,6,FALSE),0)*P314,0)</f>
        <v>0</v>
      </c>
      <c r="W314" s="386">
        <f>IF(AND(COUNTBLANK('3B-Prestaties vloeren'!$F$3:$H$24)=0,COUNTBLANK('3B-Prestaties vloeren'!$L$3:$M$24)=0),IF(R314="sproei-extractie",I314/VLOOKUP(E314,'3B-Prestaties vloeren'!$A$3:$H$24,8,FALSE),0)*P314,0)</f>
        <v>0</v>
      </c>
    </row>
    <row r="315" spans="1:23" ht="15" hidden="1">
      <c r="A315" s="378" t="s">
        <v>677</v>
      </c>
      <c r="B315" s="378" t="s">
        <v>678</v>
      </c>
      <c r="C315" s="378">
        <v>3</v>
      </c>
      <c r="D315" s="378" t="s">
        <v>485</v>
      </c>
      <c r="E315" s="378" t="s">
        <v>341</v>
      </c>
      <c r="F315" s="378" t="s">
        <v>65</v>
      </c>
      <c r="G315" s="378" t="str">
        <f>VLOOKUP(F315,'3B-Prestaties vloeren'!$A$28:$B$118,2,0)</f>
        <v>Zacht onbehandeld</v>
      </c>
      <c r="H315" s="378"/>
      <c r="I315" s="378">
        <v>40</v>
      </c>
      <c r="J315" s="420" t="s">
        <v>749</v>
      </c>
      <c r="K315" s="426">
        <v>52</v>
      </c>
      <c r="L315" s="378">
        <f t="shared" si="12"/>
        <v>2080</v>
      </c>
      <c r="M315" s="380" t="str">
        <f>IF(K315=0,0,IF(COUNTBLANK('3A-Prestatie'!$B$2:$I$22)=0,L315/VLOOKUP(E315,'3A-Prestatie'!$A$1:$M$22,VLOOKUP(K315,'3A-Prestatie'!$A$28:$B$34,2,FALSE),FALSE),"3A prestatie invullen"))</f>
        <v>3A prestatie invullen</v>
      </c>
      <c r="N315" s="380">
        <f t="shared" si="14"/>
        <v>0</v>
      </c>
      <c r="O315" s="381" t="str">
        <f>VLOOKUP(E315,'3A-Prestatie'!A:M,13,FALSE)</f>
        <v>V</v>
      </c>
      <c r="P315" s="382">
        <f>IF(R315="Niet van toepassing",0,VLOOKUP(E315,'3B-Prestaties vloeren'!$A$3:$D$24,IF(G315="Hard onbehandeld",2,IF(G315="Hard behandeld",3,4)),FALSE))</f>
        <v>1</v>
      </c>
      <c r="Q315" s="383">
        <f t="shared" si="13"/>
        <v>0</v>
      </c>
      <c r="R315" s="384" t="str">
        <f>IF(K315=0,"Niet van toepassing",IF(G315='3B-Prestaties vloeren'!$B$2,"Schrobben",IF(G315='3B-Prestaties vloeren'!$C$2,"Sprayen/conserveren",IF(G315='3B-Prestaties vloeren'!$D$2,"Sproei-extractie",0))))</f>
        <v>Sproei-extractie</v>
      </c>
      <c r="S315" s="385">
        <f>IF('2-Tarieven'!$B$28=0,0,IF(M315=0,0,'2-Tarieven'!$B$28*M315))</f>
        <v>0</v>
      </c>
      <c r="T315" s="386">
        <f>IF(AND(COUNTBLANK('3B-Prestaties vloeren'!$F$3:$H$24)=0,COUNTBLANK('3B-Prestaties vloeren'!$L$3:$M$24)=0),IF(R315="Sprayen/conserveren",I315/VLOOKUP(E315,'3B-Prestaties vloeren'!$A$3:$M$24,12,FALSE),0)*(P315-1),0)</f>
        <v>0</v>
      </c>
      <c r="U315" s="386">
        <f>IF(AND(COUNTBLANK('3B-Prestaties vloeren'!$F$3:$H$24)=0,COUNTBLANK('3B-Prestaties vloeren'!$L$3:$M$24)=0),IF(R315="Sprayen/conserveren",I315/VLOOKUP(E315,'3B-Prestaties vloeren'!$A$3:$M$24,13,FALSE),0),0)</f>
        <v>0</v>
      </c>
      <c r="V315" s="386">
        <f>IF(AND(COUNTBLANK('3B-Prestaties vloeren'!$F$3:$H$24)=0,COUNTBLANK('3B-Prestaties vloeren'!$L$3:$M$24)=0),IF(R315="schrobben",I315/VLOOKUP(E315,'3B-Prestaties vloeren'!$A$3:$H$24,6,FALSE),0)*P315,0)</f>
        <v>0</v>
      </c>
      <c r="W315" s="386">
        <f>IF(AND(COUNTBLANK('3B-Prestaties vloeren'!$F$3:$H$24)=0,COUNTBLANK('3B-Prestaties vloeren'!$L$3:$M$24)=0),IF(R315="sproei-extractie",I315/VLOOKUP(E315,'3B-Prestaties vloeren'!$A$3:$H$24,8,FALSE),0)*P315,0)</f>
        <v>0</v>
      </c>
    </row>
    <row r="316" spans="1:23" ht="15" hidden="1">
      <c r="A316" s="378" t="s">
        <v>677</v>
      </c>
      <c r="B316" s="378" t="s">
        <v>678</v>
      </c>
      <c r="C316" s="378">
        <v>3</v>
      </c>
      <c r="D316" s="378" t="s">
        <v>486</v>
      </c>
      <c r="E316" s="378" t="s">
        <v>341</v>
      </c>
      <c r="F316" s="378" t="s">
        <v>65</v>
      </c>
      <c r="G316" s="378" t="str">
        <f>VLOOKUP(F316,'3B-Prestaties vloeren'!$A$28:$B$118,2,0)</f>
        <v>Zacht onbehandeld</v>
      </c>
      <c r="H316" s="378"/>
      <c r="I316" s="378">
        <v>30</v>
      </c>
      <c r="J316" s="420" t="s">
        <v>749</v>
      </c>
      <c r="K316" s="426">
        <v>52</v>
      </c>
      <c r="L316" s="378">
        <f t="shared" si="12"/>
        <v>1560</v>
      </c>
      <c r="M316" s="380" t="str">
        <f>IF(K316=0,0,IF(COUNTBLANK('3A-Prestatie'!$B$2:$I$22)=0,L316/VLOOKUP(E316,'3A-Prestatie'!$A$1:$M$22,VLOOKUP(K316,'3A-Prestatie'!$A$28:$B$34,2,FALSE),FALSE),"3A prestatie invullen"))</f>
        <v>3A prestatie invullen</v>
      </c>
      <c r="N316" s="380">
        <f t="shared" si="14"/>
        <v>0</v>
      </c>
      <c r="O316" s="381" t="str">
        <f>VLOOKUP(E316,'3A-Prestatie'!A:M,13,FALSE)</f>
        <v>V</v>
      </c>
      <c r="P316" s="382">
        <f>IF(R316="Niet van toepassing",0,VLOOKUP(E316,'3B-Prestaties vloeren'!$A$3:$D$24,IF(G316="Hard onbehandeld",2,IF(G316="Hard behandeld",3,4)),FALSE))</f>
        <v>1</v>
      </c>
      <c r="Q316" s="383">
        <f t="shared" si="13"/>
        <v>0</v>
      </c>
      <c r="R316" s="384" t="str">
        <f>IF(K316=0,"Niet van toepassing",IF(G316='3B-Prestaties vloeren'!$B$2,"Schrobben",IF(G316='3B-Prestaties vloeren'!$C$2,"Sprayen/conserveren",IF(G316='3B-Prestaties vloeren'!$D$2,"Sproei-extractie",0))))</f>
        <v>Sproei-extractie</v>
      </c>
      <c r="S316" s="385">
        <f>IF('2-Tarieven'!$B$28=0,0,IF(M316=0,0,'2-Tarieven'!$B$28*M316))</f>
        <v>0</v>
      </c>
      <c r="T316" s="386">
        <f>IF(AND(COUNTBLANK('3B-Prestaties vloeren'!$F$3:$H$24)=0,COUNTBLANK('3B-Prestaties vloeren'!$L$3:$M$24)=0),IF(R316="Sprayen/conserveren",I316/VLOOKUP(E316,'3B-Prestaties vloeren'!$A$3:$M$24,12,FALSE),0)*(P316-1),0)</f>
        <v>0</v>
      </c>
      <c r="U316" s="386">
        <f>IF(AND(COUNTBLANK('3B-Prestaties vloeren'!$F$3:$H$24)=0,COUNTBLANK('3B-Prestaties vloeren'!$L$3:$M$24)=0),IF(R316="Sprayen/conserveren",I316/VLOOKUP(E316,'3B-Prestaties vloeren'!$A$3:$M$24,13,FALSE),0),0)</f>
        <v>0</v>
      </c>
      <c r="V316" s="386">
        <f>IF(AND(COUNTBLANK('3B-Prestaties vloeren'!$F$3:$H$24)=0,COUNTBLANK('3B-Prestaties vloeren'!$L$3:$M$24)=0),IF(R316="schrobben",I316/VLOOKUP(E316,'3B-Prestaties vloeren'!$A$3:$H$24,6,FALSE),0)*P316,0)</f>
        <v>0</v>
      </c>
      <c r="W316" s="386">
        <f>IF(AND(COUNTBLANK('3B-Prestaties vloeren'!$F$3:$H$24)=0,COUNTBLANK('3B-Prestaties vloeren'!$L$3:$M$24)=0),IF(R316="sproei-extractie",I316/VLOOKUP(E316,'3B-Prestaties vloeren'!$A$3:$H$24,8,FALSE),0)*P316,0)</f>
        <v>0</v>
      </c>
    </row>
    <row r="317" spans="1:23" ht="15" hidden="1">
      <c r="A317" s="378" t="s">
        <v>677</v>
      </c>
      <c r="B317" s="378" t="s">
        <v>678</v>
      </c>
      <c r="C317" s="378">
        <v>3</v>
      </c>
      <c r="D317" s="378" t="s">
        <v>487</v>
      </c>
      <c r="E317" s="378" t="s">
        <v>6</v>
      </c>
      <c r="F317" s="378" t="s">
        <v>65</v>
      </c>
      <c r="G317" s="378" t="str">
        <f>VLOOKUP(F317,'3B-Prestaties vloeren'!$A$28:$B$118,2,0)</f>
        <v>Zacht onbehandeld</v>
      </c>
      <c r="H317" s="378" t="s">
        <v>686</v>
      </c>
      <c r="I317" s="378">
        <v>9.1</v>
      </c>
      <c r="J317" s="420" t="s">
        <v>749</v>
      </c>
      <c r="K317" s="426">
        <v>52</v>
      </c>
      <c r="L317" s="378">
        <f t="shared" si="12"/>
        <v>473.2</v>
      </c>
      <c r="M317" s="380" t="str">
        <f>IF(K317=0,0,IF(COUNTBLANK('3A-Prestatie'!$B$2:$I$22)=0,L317/VLOOKUP(E317,'3A-Prestatie'!$A$1:$M$22,VLOOKUP(K317,'3A-Prestatie'!$A$28:$B$34,2,FALSE),FALSE),"3A prestatie invullen"))</f>
        <v>3A prestatie invullen</v>
      </c>
      <c r="N317" s="380">
        <f t="shared" si="14"/>
        <v>0</v>
      </c>
      <c r="O317" s="381" t="str">
        <f>VLOOKUP(E317,'3A-Prestatie'!A:M,13,FALSE)</f>
        <v>V</v>
      </c>
      <c r="P317" s="382">
        <f>IF(R317="Niet van toepassing",0,VLOOKUP(E317,'3B-Prestaties vloeren'!$A$3:$D$24,IF(G317="Hard onbehandeld",2,IF(G317="Hard behandeld",3,4)),FALSE))</f>
        <v>1</v>
      </c>
      <c r="Q317" s="383">
        <f t="shared" si="13"/>
        <v>0</v>
      </c>
      <c r="R317" s="384" t="str">
        <f>IF(K317=0,"Niet van toepassing",IF(G317='3B-Prestaties vloeren'!$B$2,"Schrobben",IF(G317='3B-Prestaties vloeren'!$C$2,"Sprayen/conserveren",IF(G317='3B-Prestaties vloeren'!$D$2,"Sproei-extractie",0))))</f>
        <v>Sproei-extractie</v>
      </c>
      <c r="S317" s="385">
        <f>IF('2-Tarieven'!$B$28=0,0,IF(M317=0,0,'2-Tarieven'!$B$28*M317))</f>
        <v>0</v>
      </c>
      <c r="T317" s="386">
        <f>IF(AND(COUNTBLANK('3B-Prestaties vloeren'!$F$3:$H$24)=0,COUNTBLANK('3B-Prestaties vloeren'!$L$3:$M$24)=0),IF(R317="Sprayen/conserveren",I317/VLOOKUP(E317,'3B-Prestaties vloeren'!$A$3:$M$24,12,FALSE),0)*(P317-1),0)</f>
        <v>0</v>
      </c>
      <c r="U317" s="386">
        <f>IF(AND(COUNTBLANK('3B-Prestaties vloeren'!$F$3:$H$24)=0,COUNTBLANK('3B-Prestaties vloeren'!$L$3:$M$24)=0),IF(R317="Sprayen/conserveren",I317/VLOOKUP(E317,'3B-Prestaties vloeren'!$A$3:$M$24,13,FALSE),0),0)</f>
        <v>0</v>
      </c>
      <c r="V317" s="386">
        <f>IF(AND(COUNTBLANK('3B-Prestaties vloeren'!$F$3:$H$24)=0,COUNTBLANK('3B-Prestaties vloeren'!$L$3:$M$24)=0),IF(R317="schrobben",I317/VLOOKUP(E317,'3B-Prestaties vloeren'!$A$3:$H$24,6,FALSE),0)*P317,0)</f>
        <v>0</v>
      </c>
      <c r="W317" s="386">
        <f>IF(AND(COUNTBLANK('3B-Prestaties vloeren'!$F$3:$H$24)=0,COUNTBLANK('3B-Prestaties vloeren'!$L$3:$M$24)=0),IF(R317="sproei-extractie",I317/VLOOKUP(E317,'3B-Prestaties vloeren'!$A$3:$H$24,8,FALSE),0)*P317,0)</f>
        <v>0</v>
      </c>
    </row>
    <row r="318" spans="1:23" ht="15" hidden="1">
      <c r="A318" s="378" t="s">
        <v>677</v>
      </c>
      <c r="B318" s="378" t="s">
        <v>678</v>
      </c>
      <c r="C318" s="378">
        <v>3</v>
      </c>
      <c r="D318" s="378" t="s">
        <v>18</v>
      </c>
      <c r="E318" s="378" t="s">
        <v>728</v>
      </c>
      <c r="F318" s="378" t="s">
        <v>647</v>
      </c>
      <c r="G318" s="378" t="str">
        <f>VLOOKUP(F318,'3B-Prestaties vloeren'!$A$28:$B$118,2,0)</f>
        <v>Hard onbehandeld</v>
      </c>
      <c r="H318" s="378" t="s">
        <v>287</v>
      </c>
      <c r="I318" s="378">
        <v>2.2599999999999998</v>
      </c>
      <c r="J318" s="419"/>
      <c r="K318" s="426">
        <v>0</v>
      </c>
      <c r="L318" s="378">
        <f t="shared" si="12"/>
        <v>0</v>
      </c>
      <c r="M318" s="380">
        <f>IF(K318=0,0,IF(COUNTBLANK('3A-Prestatie'!$B$2:$I$22)=0,L318/VLOOKUP(E318,'3A-Prestatie'!$A$1:$M$22,VLOOKUP(K318,'3A-Prestatie'!$A$28:$B$34,2,FALSE),FALSE),"3A prestatie invullen"))</f>
        <v>0</v>
      </c>
      <c r="N318" s="380">
        <f t="shared" si="14"/>
        <v>0</v>
      </c>
      <c r="O318" s="381" t="str">
        <f>VLOOKUP(E318,'3A-Prestatie'!A:M,13,FALSE)</f>
        <v>N.v.t.</v>
      </c>
      <c r="P318" s="382">
        <f>IF(R318="Niet van toepassing",0,VLOOKUP(E318,'3B-Prestaties vloeren'!$A$3:$D$24,IF(G318="Hard onbehandeld",2,IF(G318="Hard behandeld",3,4)),FALSE))</f>
        <v>0</v>
      </c>
      <c r="Q318" s="383">
        <f t="shared" si="13"/>
        <v>0</v>
      </c>
      <c r="R318" s="384" t="str">
        <f>IF(K318=0,"Niet van toepassing",IF(G318='3B-Prestaties vloeren'!$B$2,"Schrobben",IF(G318='3B-Prestaties vloeren'!$C$2,"Sprayen/conserveren",IF(G318='3B-Prestaties vloeren'!$D$2,"Sproei-extractie",0))))</f>
        <v>Niet van toepassing</v>
      </c>
      <c r="S318" s="385">
        <f>IF('2-Tarieven'!$B$28=0,0,IF(M318=0,0,'2-Tarieven'!$B$28*M318))</f>
        <v>0</v>
      </c>
      <c r="T318" s="386">
        <f>IF(AND(COUNTBLANK('3B-Prestaties vloeren'!$F$3:$H$24)=0,COUNTBLANK('3B-Prestaties vloeren'!$L$3:$M$24)=0),IF(R318="Sprayen/conserveren",I318/VLOOKUP(E318,'3B-Prestaties vloeren'!$A$3:$M$24,12,FALSE),0)*(P318-1),0)</f>
        <v>0</v>
      </c>
      <c r="U318" s="386">
        <f>IF(AND(COUNTBLANK('3B-Prestaties vloeren'!$F$3:$H$24)=0,COUNTBLANK('3B-Prestaties vloeren'!$L$3:$M$24)=0),IF(R318="Sprayen/conserveren",I318/VLOOKUP(E318,'3B-Prestaties vloeren'!$A$3:$M$24,13,FALSE),0),0)</f>
        <v>0</v>
      </c>
      <c r="V318" s="386">
        <f>IF(AND(COUNTBLANK('3B-Prestaties vloeren'!$F$3:$H$24)=0,COUNTBLANK('3B-Prestaties vloeren'!$L$3:$M$24)=0),IF(R318="schrobben",I318/VLOOKUP(E318,'3B-Prestaties vloeren'!$A$3:$H$24,6,FALSE),0)*P318,0)</f>
        <v>0</v>
      </c>
      <c r="W318" s="386">
        <f>IF(AND(COUNTBLANK('3B-Prestaties vloeren'!$F$3:$H$24)=0,COUNTBLANK('3B-Prestaties vloeren'!$L$3:$M$24)=0),IF(R318="sproei-extractie",I318/VLOOKUP(E318,'3B-Prestaties vloeren'!$A$3:$H$24,8,FALSE),0)*P318,0)</f>
        <v>0</v>
      </c>
    </row>
    <row r="319" spans="1:23" ht="15" hidden="1">
      <c r="A319" s="378" t="s">
        <v>677</v>
      </c>
      <c r="B319" s="378" t="s">
        <v>678</v>
      </c>
      <c r="C319" s="378">
        <v>3</v>
      </c>
      <c r="D319" s="378" t="s">
        <v>410</v>
      </c>
      <c r="E319" s="378" t="s">
        <v>728</v>
      </c>
      <c r="F319" s="378" t="s">
        <v>695</v>
      </c>
      <c r="G319" s="378" t="str">
        <f>VLOOKUP(F319,'3B-Prestaties vloeren'!$A$28:$B$118,2,0)</f>
        <v>N.v.t.</v>
      </c>
      <c r="H319" s="378" t="s">
        <v>287</v>
      </c>
      <c r="I319" s="378">
        <v>4.1100000000000003</v>
      </c>
      <c r="J319" s="419"/>
      <c r="K319" s="426">
        <v>0</v>
      </c>
      <c r="L319" s="378">
        <f t="shared" si="12"/>
        <v>0</v>
      </c>
      <c r="M319" s="380">
        <f>IF(K319=0,0,IF(COUNTBLANK('3A-Prestatie'!$B$2:$I$22)=0,L319/VLOOKUP(E319,'3A-Prestatie'!$A$1:$M$22,VLOOKUP(K319,'3A-Prestatie'!$A$28:$B$34,2,FALSE),FALSE),"3A prestatie invullen"))</f>
        <v>0</v>
      </c>
      <c r="N319" s="380">
        <f t="shared" si="14"/>
        <v>0</v>
      </c>
      <c r="O319" s="381" t="str">
        <f>VLOOKUP(E319,'3A-Prestatie'!A:M,13,FALSE)</f>
        <v>N.v.t.</v>
      </c>
      <c r="P319" s="382">
        <f>IF(R319="Niet van toepassing",0,VLOOKUP(E319,'3B-Prestaties vloeren'!$A$3:$D$24,IF(G319="Hard onbehandeld",2,IF(G319="Hard behandeld",3,4)),FALSE))</f>
        <v>0</v>
      </c>
      <c r="Q319" s="383">
        <f t="shared" si="13"/>
        <v>0</v>
      </c>
      <c r="R319" s="384" t="str">
        <f>IF(K319=0,"Niet van toepassing",IF(G319='3B-Prestaties vloeren'!$B$2,"Schrobben",IF(G319='3B-Prestaties vloeren'!$C$2,"Sprayen/conserveren",IF(G319='3B-Prestaties vloeren'!$D$2,"Sproei-extractie",0))))</f>
        <v>Niet van toepassing</v>
      </c>
      <c r="S319" s="385">
        <f>IF('2-Tarieven'!$B$28=0,0,IF(M319=0,0,'2-Tarieven'!$B$28*M319))</f>
        <v>0</v>
      </c>
      <c r="T319" s="386">
        <f>IF(AND(COUNTBLANK('3B-Prestaties vloeren'!$F$3:$H$24)=0,COUNTBLANK('3B-Prestaties vloeren'!$L$3:$M$24)=0),IF(R319="Sprayen/conserveren",I319/VLOOKUP(E319,'3B-Prestaties vloeren'!$A$3:$M$24,12,FALSE),0)*(P319-1),0)</f>
        <v>0</v>
      </c>
      <c r="U319" s="386">
        <f>IF(AND(COUNTBLANK('3B-Prestaties vloeren'!$F$3:$H$24)=0,COUNTBLANK('3B-Prestaties vloeren'!$L$3:$M$24)=0),IF(R319="Sprayen/conserveren",I319/VLOOKUP(E319,'3B-Prestaties vloeren'!$A$3:$M$24,13,FALSE),0),0)</f>
        <v>0</v>
      </c>
      <c r="V319" s="386">
        <f>IF(AND(COUNTBLANK('3B-Prestaties vloeren'!$F$3:$H$24)=0,COUNTBLANK('3B-Prestaties vloeren'!$L$3:$M$24)=0),IF(R319="schrobben",I319/VLOOKUP(E319,'3B-Prestaties vloeren'!$A$3:$H$24,6,FALSE),0)*P319,0)</f>
        <v>0</v>
      </c>
      <c r="W319" s="386">
        <f>IF(AND(COUNTBLANK('3B-Prestaties vloeren'!$F$3:$H$24)=0,COUNTBLANK('3B-Prestaties vloeren'!$L$3:$M$24)=0),IF(R319="sproei-extractie",I319/VLOOKUP(E319,'3B-Prestaties vloeren'!$A$3:$H$24,8,FALSE),0)*P319,0)</f>
        <v>0</v>
      </c>
    </row>
    <row r="320" spans="1:23" ht="15" hidden="1">
      <c r="A320" s="378" t="s">
        <v>677</v>
      </c>
      <c r="B320" s="378" t="s">
        <v>678</v>
      </c>
      <c r="C320" s="378">
        <v>3</v>
      </c>
      <c r="D320" s="378" t="s">
        <v>488</v>
      </c>
      <c r="E320" s="378" t="s">
        <v>335</v>
      </c>
      <c r="F320" s="378" t="s">
        <v>65</v>
      </c>
      <c r="G320" s="378" t="str">
        <f>VLOOKUP(F320,'3B-Prestaties vloeren'!$A$28:$B$118,2,0)</f>
        <v>Zacht onbehandeld</v>
      </c>
      <c r="H320" s="378"/>
      <c r="I320" s="378">
        <v>3.08</v>
      </c>
      <c r="J320" s="420" t="s">
        <v>749</v>
      </c>
      <c r="K320" s="426">
        <v>52</v>
      </c>
      <c r="L320" s="378">
        <f t="shared" si="12"/>
        <v>160.16</v>
      </c>
      <c r="M320" s="380" t="str">
        <f>IF(K320=0,0,IF(COUNTBLANK('3A-Prestatie'!$B$2:$I$22)=0,L320/VLOOKUP(E320,'3A-Prestatie'!$A$1:$M$22,VLOOKUP(K320,'3A-Prestatie'!$A$28:$B$34,2,FALSE),FALSE),"3A prestatie invullen"))</f>
        <v>3A prestatie invullen</v>
      </c>
      <c r="N320" s="380">
        <f t="shared" si="14"/>
        <v>0</v>
      </c>
      <c r="O320" s="381" t="str">
        <f>VLOOKUP(E320,'3A-Prestatie'!A:M,13,FALSE)</f>
        <v>V</v>
      </c>
      <c r="P320" s="382">
        <f>IF(R320="Niet van toepassing",0,VLOOKUP(E320,'3B-Prestaties vloeren'!$A$3:$D$24,IF(G320="Hard onbehandeld",2,IF(G320="Hard behandeld",3,4)),FALSE))</f>
        <v>1</v>
      </c>
      <c r="Q320" s="383">
        <f t="shared" si="13"/>
        <v>0</v>
      </c>
      <c r="R320" s="384" t="str">
        <f>IF(K320=0,"Niet van toepassing",IF(G320='3B-Prestaties vloeren'!$B$2,"Schrobben",IF(G320='3B-Prestaties vloeren'!$C$2,"Sprayen/conserveren",IF(G320='3B-Prestaties vloeren'!$D$2,"Sproei-extractie",0))))</f>
        <v>Sproei-extractie</v>
      </c>
      <c r="S320" s="385">
        <f>IF('2-Tarieven'!$B$28=0,0,IF(M320=0,0,'2-Tarieven'!$B$28*M320))</f>
        <v>0</v>
      </c>
      <c r="T320" s="386">
        <f>IF(AND(COUNTBLANK('3B-Prestaties vloeren'!$F$3:$H$24)=0,COUNTBLANK('3B-Prestaties vloeren'!$L$3:$M$24)=0),IF(R320="Sprayen/conserveren",I320/VLOOKUP(E320,'3B-Prestaties vloeren'!$A$3:$M$24,12,FALSE),0)*(P320-1),0)</f>
        <v>0</v>
      </c>
      <c r="U320" s="386">
        <f>IF(AND(COUNTBLANK('3B-Prestaties vloeren'!$F$3:$H$24)=0,COUNTBLANK('3B-Prestaties vloeren'!$L$3:$M$24)=0),IF(R320="Sprayen/conserveren",I320/VLOOKUP(E320,'3B-Prestaties vloeren'!$A$3:$M$24,13,FALSE),0),0)</f>
        <v>0</v>
      </c>
      <c r="V320" s="386">
        <f>IF(AND(COUNTBLANK('3B-Prestaties vloeren'!$F$3:$H$24)=0,COUNTBLANK('3B-Prestaties vloeren'!$L$3:$M$24)=0),IF(R320="schrobben",I320/VLOOKUP(E320,'3B-Prestaties vloeren'!$A$3:$H$24,6,FALSE),0)*P320,0)</f>
        <v>0</v>
      </c>
      <c r="W320" s="386">
        <f>IF(AND(COUNTBLANK('3B-Prestaties vloeren'!$F$3:$H$24)=0,COUNTBLANK('3B-Prestaties vloeren'!$L$3:$M$24)=0),IF(R320="sproei-extractie",I320/VLOOKUP(E320,'3B-Prestaties vloeren'!$A$3:$H$24,8,FALSE),0)*P320,0)</f>
        <v>0</v>
      </c>
    </row>
    <row r="321" spans="1:23" ht="15" hidden="1">
      <c r="A321" s="378" t="s">
        <v>677</v>
      </c>
      <c r="B321" s="378" t="s">
        <v>678</v>
      </c>
      <c r="C321" s="378">
        <v>4</v>
      </c>
      <c r="D321" s="378" t="s">
        <v>700</v>
      </c>
      <c r="E321" s="378" t="s">
        <v>728</v>
      </c>
      <c r="F321" s="378" t="s">
        <v>648</v>
      </c>
      <c r="G321" s="378" t="str">
        <f>VLOOKUP(F321,'3B-Prestaties vloeren'!$A$28:$B$118,2,0)</f>
        <v>Hard onbehandeld</v>
      </c>
      <c r="H321" s="378" t="s">
        <v>287</v>
      </c>
      <c r="I321" s="378">
        <v>8.8000000000000007</v>
      </c>
      <c r="J321" s="419"/>
      <c r="K321" s="426">
        <v>0</v>
      </c>
      <c r="L321" s="378">
        <f t="shared" si="12"/>
        <v>0</v>
      </c>
      <c r="M321" s="380">
        <f>IF(K321=0,0,IF(COUNTBLANK('3A-Prestatie'!$B$2:$I$22)=0,L321/VLOOKUP(E321,'3A-Prestatie'!$A$1:$M$22,VLOOKUP(K321,'3A-Prestatie'!$A$28:$B$34,2,FALSE),FALSE),"3A prestatie invullen"))</f>
        <v>0</v>
      </c>
      <c r="N321" s="380">
        <f t="shared" si="14"/>
        <v>0</v>
      </c>
      <c r="O321" s="381" t="str">
        <f>VLOOKUP(E321,'3A-Prestatie'!A:M,13,FALSE)</f>
        <v>N.v.t.</v>
      </c>
      <c r="P321" s="382">
        <f>IF(R321="Niet van toepassing",0,VLOOKUP(E321,'3B-Prestaties vloeren'!$A$3:$D$24,IF(G321="Hard onbehandeld",2,IF(G321="Hard behandeld",3,4)),FALSE))</f>
        <v>0</v>
      </c>
      <c r="Q321" s="383">
        <f t="shared" si="13"/>
        <v>0</v>
      </c>
      <c r="R321" s="384" t="str">
        <f>IF(K321=0,"Niet van toepassing",IF(G321='3B-Prestaties vloeren'!$B$2,"Schrobben",IF(G321='3B-Prestaties vloeren'!$C$2,"Sprayen/conserveren",IF(G321='3B-Prestaties vloeren'!$D$2,"Sproei-extractie",0))))</f>
        <v>Niet van toepassing</v>
      </c>
      <c r="S321" s="385">
        <f>IF('2-Tarieven'!$B$28=0,0,IF(M321=0,0,'2-Tarieven'!$B$28*M321))</f>
        <v>0</v>
      </c>
      <c r="T321" s="386">
        <f>IF(AND(COUNTBLANK('3B-Prestaties vloeren'!$F$3:$H$24)=0,COUNTBLANK('3B-Prestaties vloeren'!$L$3:$M$24)=0),IF(R321="Sprayen/conserveren",I321/VLOOKUP(E321,'3B-Prestaties vloeren'!$A$3:$M$24,12,FALSE),0)*(P321-1),0)</f>
        <v>0</v>
      </c>
      <c r="U321" s="386">
        <f>IF(AND(COUNTBLANK('3B-Prestaties vloeren'!$F$3:$H$24)=0,COUNTBLANK('3B-Prestaties vloeren'!$L$3:$M$24)=0),IF(R321="Sprayen/conserveren",I321/VLOOKUP(E321,'3B-Prestaties vloeren'!$A$3:$M$24,13,FALSE),0),0)</f>
        <v>0</v>
      </c>
      <c r="V321" s="386">
        <f>IF(AND(COUNTBLANK('3B-Prestaties vloeren'!$F$3:$H$24)=0,COUNTBLANK('3B-Prestaties vloeren'!$L$3:$M$24)=0),IF(R321="schrobben",I321/VLOOKUP(E321,'3B-Prestaties vloeren'!$A$3:$H$24,6,FALSE),0)*P321,0)</f>
        <v>0</v>
      </c>
      <c r="W321" s="386">
        <f>IF(AND(COUNTBLANK('3B-Prestaties vloeren'!$F$3:$H$24)=0,COUNTBLANK('3B-Prestaties vloeren'!$L$3:$M$24)=0),IF(R321="sproei-extractie",I321/VLOOKUP(E321,'3B-Prestaties vloeren'!$A$3:$H$24,8,FALSE),0)*P321,0)</f>
        <v>0</v>
      </c>
    </row>
    <row r="322" spans="1:23" ht="15" hidden="1">
      <c r="A322" s="378" t="s">
        <v>677</v>
      </c>
      <c r="B322" s="378" t="s">
        <v>678</v>
      </c>
      <c r="C322" s="378">
        <v>4</v>
      </c>
      <c r="D322" s="378" t="s">
        <v>701</v>
      </c>
      <c r="E322" s="378" t="s">
        <v>728</v>
      </c>
      <c r="F322" s="378" t="s">
        <v>648</v>
      </c>
      <c r="G322" s="378" t="str">
        <f>VLOOKUP(F322,'3B-Prestaties vloeren'!$A$28:$B$118,2,0)</f>
        <v>Hard onbehandeld</v>
      </c>
      <c r="H322" s="378" t="s">
        <v>287</v>
      </c>
      <c r="I322" s="378">
        <v>166.38</v>
      </c>
      <c r="J322" s="419"/>
      <c r="K322" s="426">
        <v>0</v>
      </c>
      <c r="L322" s="378">
        <f t="shared" ref="L322:L385" si="15">IF(K322=0,0,K322*I322)</f>
        <v>0</v>
      </c>
      <c r="M322" s="380">
        <f>IF(K322=0,0,IF(COUNTBLANK('3A-Prestatie'!$B$2:$I$22)=0,L322/VLOOKUP(E322,'3A-Prestatie'!$A$1:$M$22,VLOOKUP(K322,'3A-Prestatie'!$A$28:$B$34,2,FALSE),FALSE),"3A prestatie invullen"))</f>
        <v>0</v>
      </c>
      <c r="N322" s="380">
        <f t="shared" si="14"/>
        <v>0</v>
      </c>
      <c r="O322" s="381" t="str">
        <f>VLOOKUP(E322,'3A-Prestatie'!A:M,13,FALSE)</f>
        <v>N.v.t.</v>
      </c>
      <c r="P322" s="382">
        <f>IF(R322="Niet van toepassing",0,VLOOKUP(E322,'3B-Prestaties vloeren'!$A$3:$D$24,IF(G322="Hard onbehandeld",2,IF(G322="Hard behandeld",3,4)),FALSE))</f>
        <v>0</v>
      </c>
      <c r="Q322" s="383">
        <f t="shared" ref="Q322:Q385" si="16">SUM(T322:W322)</f>
        <v>0</v>
      </c>
      <c r="R322" s="384" t="str">
        <f>IF(K322=0,"Niet van toepassing",IF(G322='3B-Prestaties vloeren'!$B$2,"Schrobben",IF(G322='3B-Prestaties vloeren'!$C$2,"Sprayen/conserveren",IF(G322='3B-Prestaties vloeren'!$D$2,"Sproei-extractie",0))))</f>
        <v>Niet van toepassing</v>
      </c>
      <c r="S322" s="385">
        <f>IF('2-Tarieven'!$B$28=0,0,IF(M322=0,0,'2-Tarieven'!$B$28*M322))</f>
        <v>0</v>
      </c>
      <c r="T322" s="386">
        <f>IF(AND(COUNTBLANK('3B-Prestaties vloeren'!$F$3:$H$24)=0,COUNTBLANK('3B-Prestaties vloeren'!$L$3:$M$24)=0),IF(R322="Sprayen/conserveren",I322/VLOOKUP(E322,'3B-Prestaties vloeren'!$A$3:$M$24,12,FALSE),0)*(P322-1),0)</f>
        <v>0</v>
      </c>
      <c r="U322" s="386">
        <f>IF(AND(COUNTBLANK('3B-Prestaties vloeren'!$F$3:$H$24)=0,COUNTBLANK('3B-Prestaties vloeren'!$L$3:$M$24)=0),IF(R322="Sprayen/conserveren",I322/VLOOKUP(E322,'3B-Prestaties vloeren'!$A$3:$M$24,13,FALSE),0),0)</f>
        <v>0</v>
      </c>
      <c r="V322" s="386">
        <f>IF(AND(COUNTBLANK('3B-Prestaties vloeren'!$F$3:$H$24)=0,COUNTBLANK('3B-Prestaties vloeren'!$L$3:$M$24)=0),IF(R322="schrobben",I322/VLOOKUP(E322,'3B-Prestaties vloeren'!$A$3:$H$24,6,FALSE),0)*P322,0)</f>
        <v>0</v>
      </c>
      <c r="W322" s="386">
        <f>IF(AND(COUNTBLANK('3B-Prestaties vloeren'!$F$3:$H$24)=0,COUNTBLANK('3B-Prestaties vloeren'!$L$3:$M$24)=0),IF(R322="sproei-extractie",I322/VLOOKUP(E322,'3B-Prestaties vloeren'!$A$3:$H$24,8,FALSE),0)*P322,0)</f>
        <v>0</v>
      </c>
    </row>
    <row r="323" spans="1:23" ht="15" hidden="1">
      <c r="A323" s="378" t="s">
        <v>704</v>
      </c>
      <c r="B323" s="378" t="s">
        <v>678</v>
      </c>
      <c r="C323" s="378">
        <v>0</v>
      </c>
      <c r="D323" s="378" t="s">
        <v>288</v>
      </c>
      <c r="E323" s="378" t="s">
        <v>728</v>
      </c>
      <c r="F323" s="378" t="s">
        <v>648</v>
      </c>
      <c r="G323" s="378" t="str">
        <f>VLOOKUP(F323,'3B-Prestaties vloeren'!$A$28:$B$118,2,0)</f>
        <v>Hard onbehandeld</v>
      </c>
      <c r="H323" s="378" t="s">
        <v>652</v>
      </c>
      <c r="I323" s="378">
        <v>1036</v>
      </c>
      <c r="J323" s="419"/>
      <c r="K323" s="426">
        <v>0</v>
      </c>
      <c r="L323" s="378">
        <f t="shared" si="15"/>
        <v>0</v>
      </c>
      <c r="M323" s="380">
        <f>IF(K323=0,0,IF(COUNTBLANK('3A-Prestatie'!$B$2:$I$22)=0,L323/VLOOKUP(E323,'3A-Prestatie'!$A$1:$M$22,VLOOKUP(K323,'3A-Prestatie'!$A$28:$B$34,2,FALSE),FALSE),"3A prestatie invullen"))</f>
        <v>0</v>
      </c>
      <c r="N323" s="380">
        <f t="shared" ref="N323:N386" si="17">IF(M323="3A prestatie invullen",0,IF(K323&lt;&gt;0,L323/M323,0))</f>
        <v>0</v>
      </c>
      <c r="O323" s="381" t="str">
        <f>VLOOKUP(E323,'3A-Prestatie'!A:M,13,FALSE)</f>
        <v>N.v.t.</v>
      </c>
      <c r="P323" s="382">
        <f>IF(R323="Niet van toepassing",0,VLOOKUP(E323,'3B-Prestaties vloeren'!$A$3:$D$24,IF(G323="Hard onbehandeld",2,IF(G323="Hard behandeld",3,4)),FALSE))</f>
        <v>0</v>
      </c>
      <c r="Q323" s="383">
        <f t="shared" si="16"/>
        <v>0</v>
      </c>
      <c r="R323" s="384" t="str">
        <f>IF(K323=0,"Niet van toepassing",IF(G323='3B-Prestaties vloeren'!$B$2,"Schrobben",IF(G323='3B-Prestaties vloeren'!$C$2,"Sprayen/conserveren",IF(G323='3B-Prestaties vloeren'!$D$2,"Sproei-extractie",0))))</f>
        <v>Niet van toepassing</v>
      </c>
      <c r="S323" s="385">
        <f>IF('2-Tarieven'!$B$28=0,0,IF(M323=0,0,'2-Tarieven'!$B$28*M323))</f>
        <v>0</v>
      </c>
      <c r="T323" s="386">
        <f>IF(AND(COUNTBLANK('3B-Prestaties vloeren'!$F$3:$H$24)=0,COUNTBLANK('3B-Prestaties vloeren'!$L$3:$M$24)=0),IF(R323="Sprayen/conserveren",I323/VLOOKUP(E323,'3B-Prestaties vloeren'!$A$3:$M$24,12,FALSE),0)*(P323-1),0)</f>
        <v>0</v>
      </c>
      <c r="U323" s="386">
        <f>IF(AND(COUNTBLANK('3B-Prestaties vloeren'!$F$3:$H$24)=0,COUNTBLANK('3B-Prestaties vloeren'!$L$3:$M$24)=0),IF(R323="Sprayen/conserveren",I323/VLOOKUP(E323,'3B-Prestaties vloeren'!$A$3:$M$24,13,FALSE),0),0)</f>
        <v>0</v>
      </c>
      <c r="V323" s="386">
        <f>IF(AND(COUNTBLANK('3B-Prestaties vloeren'!$F$3:$H$24)=0,COUNTBLANK('3B-Prestaties vloeren'!$L$3:$M$24)=0),IF(R323="schrobben",I323/VLOOKUP(E323,'3B-Prestaties vloeren'!$A$3:$H$24,6,FALSE),0)*P323,0)</f>
        <v>0</v>
      </c>
      <c r="W323" s="386">
        <f>IF(AND(COUNTBLANK('3B-Prestaties vloeren'!$F$3:$H$24)=0,COUNTBLANK('3B-Prestaties vloeren'!$L$3:$M$24)=0),IF(R323="sproei-extractie",I323/VLOOKUP(E323,'3B-Prestaties vloeren'!$A$3:$H$24,8,FALSE),0)*P323,0)</f>
        <v>0</v>
      </c>
    </row>
    <row r="324" spans="1:23" ht="15" hidden="1">
      <c r="A324" s="378" t="s">
        <v>704</v>
      </c>
      <c r="B324" s="378" t="s">
        <v>678</v>
      </c>
      <c r="C324" s="378">
        <v>1</v>
      </c>
      <c r="D324" s="378" t="s">
        <v>336</v>
      </c>
      <c r="E324" s="378" t="s">
        <v>728</v>
      </c>
      <c r="F324" s="378" t="s">
        <v>266</v>
      </c>
      <c r="G324" s="378" t="str">
        <f>VLOOKUP(F324,'3B-Prestaties vloeren'!$A$28:$B$118,2,0)</f>
        <v>Hard behandeld</v>
      </c>
      <c r="H324" s="378" t="s">
        <v>283</v>
      </c>
      <c r="I324" s="378">
        <v>207.36</v>
      </c>
      <c r="J324" s="419"/>
      <c r="K324" s="426">
        <v>0</v>
      </c>
      <c r="L324" s="378">
        <f t="shared" si="15"/>
        <v>0</v>
      </c>
      <c r="M324" s="380">
        <f>IF(K324=0,0,IF(COUNTBLANK('3A-Prestatie'!$B$2:$I$22)=0,L324/VLOOKUP(E324,'3A-Prestatie'!$A$1:$M$22,VLOOKUP(K324,'3A-Prestatie'!$A$28:$B$34,2,FALSE),FALSE),"3A prestatie invullen"))</f>
        <v>0</v>
      </c>
      <c r="N324" s="380">
        <f t="shared" si="17"/>
        <v>0</v>
      </c>
      <c r="O324" s="381" t="str">
        <f>VLOOKUP(E324,'3A-Prestatie'!A:M,13,FALSE)</f>
        <v>N.v.t.</v>
      </c>
      <c r="P324" s="382">
        <f>IF(R324="Niet van toepassing",0,VLOOKUP(E324,'3B-Prestaties vloeren'!$A$3:$D$24,IF(G324="Hard onbehandeld",2,IF(G324="Hard behandeld",3,4)),FALSE))</f>
        <v>0</v>
      </c>
      <c r="Q324" s="383">
        <f t="shared" si="16"/>
        <v>0</v>
      </c>
      <c r="R324" s="384" t="str">
        <f>IF(K324=0,"Niet van toepassing",IF(G324='3B-Prestaties vloeren'!$B$2,"Schrobben",IF(G324='3B-Prestaties vloeren'!$C$2,"Sprayen/conserveren",IF(G324='3B-Prestaties vloeren'!$D$2,"Sproei-extractie",0))))</f>
        <v>Niet van toepassing</v>
      </c>
      <c r="S324" s="385">
        <f>IF('2-Tarieven'!$B$28=0,0,IF(M324=0,0,'2-Tarieven'!$B$28*M324))</f>
        <v>0</v>
      </c>
      <c r="T324" s="386">
        <f>IF(AND(COUNTBLANK('3B-Prestaties vloeren'!$F$3:$H$24)=0,COUNTBLANK('3B-Prestaties vloeren'!$L$3:$M$24)=0),IF(R324="Sprayen/conserveren",I324/VLOOKUP(E324,'3B-Prestaties vloeren'!$A$3:$M$24,12,FALSE),0)*(P324-1),0)</f>
        <v>0</v>
      </c>
      <c r="U324" s="386">
        <f>IF(AND(COUNTBLANK('3B-Prestaties vloeren'!$F$3:$H$24)=0,COUNTBLANK('3B-Prestaties vloeren'!$L$3:$M$24)=0),IF(R324="Sprayen/conserveren",I324/VLOOKUP(E324,'3B-Prestaties vloeren'!$A$3:$M$24,13,FALSE),0),0)</f>
        <v>0</v>
      </c>
      <c r="V324" s="386">
        <f>IF(AND(COUNTBLANK('3B-Prestaties vloeren'!$F$3:$H$24)=0,COUNTBLANK('3B-Prestaties vloeren'!$L$3:$M$24)=0),IF(R324="schrobben",I324/VLOOKUP(E324,'3B-Prestaties vloeren'!$A$3:$H$24,6,FALSE),0)*P324,0)</f>
        <v>0</v>
      </c>
      <c r="W324" s="386">
        <f>IF(AND(COUNTBLANK('3B-Prestaties vloeren'!$F$3:$H$24)=0,COUNTBLANK('3B-Prestaties vloeren'!$L$3:$M$24)=0),IF(R324="sproei-extractie",I324/VLOOKUP(E324,'3B-Prestaties vloeren'!$A$3:$H$24,8,FALSE),0)*P324,0)</f>
        <v>0</v>
      </c>
    </row>
    <row r="325" spans="1:23" ht="15" hidden="1">
      <c r="A325" s="378" t="s">
        <v>703</v>
      </c>
      <c r="B325" s="378" t="s">
        <v>678</v>
      </c>
      <c r="C325" s="378">
        <v>0</v>
      </c>
      <c r="D325" s="378" t="s">
        <v>288</v>
      </c>
      <c r="E325" s="378" t="s">
        <v>728</v>
      </c>
      <c r="F325" s="378" t="s">
        <v>695</v>
      </c>
      <c r="G325" s="378" t="str">
        <f>VLOOKUP(F325,'3B-Prestaties vloeren'!$A$28:$B$118,2,0)</f>
        <v>N.v.t.</v>
      </c>
      <c r="H325" s="378" t="s">
        <v>732</v>
      </c>
      <c r="I325" s="378">
        <v>2.2999999999999998</v>
      </c>
      <c r="J325" s="419"/>
      <c r="K325" s="426">
        <v>0</v>
      </c>
      <c r="L325" s="378">
        <f t="shared" si="15"/>
        <v>0</v>
      </c>
      <c r="M325" s="380">
        <f>IF(K325=0,0,IF(COUNTBLANK('3A-Prestatie'!$B$2:$I$22)=0,L325/VLOOKUP(E325,'3A-Prestatie'!$A$1:$M$22,VLOOKUP(K325,'3A-Prestatie'!$A$28:$B$34,2,FALSE),FALSE),"3A prestatie invullen"))</f>
        <v>0</v>
      </c>
      <c r="N325" s="380">
        <f t="shared" si="17"/>
        <v>0</v>
      </c>
      <c r="O325" s="381" t="str">
        <f>VLOOKUP(E325,'3A-Prestatie'!A:M,13,FALSE)</f>
        <v>N.v.t.</v>
      </c>
      <c r="P325" s="382">
        <f>IF(R325="Niet van toepassing",0,VLOOKUP(E325,'3B-Prestaties vloeren'!$A$3:$D$24,IF(G325="Hard onbehandeld",2,IF(G325="Hard behandeld",3,4)),FALSE))</f>
        <v>0</v>
      </c>
      <c r="Q325" s="383">
        <f t="shared" si="16"/>
        <v>0</v>
      </c>
      <c r="R325" s="384" t="str">
        <f>IF(K325=0,"Niet van toepassing",IF(G325='3B-Prestaties vloeren'!$B$2,"Schrobben",IF(G325='3B-Prestaties vloeren'!$C$2,"Sprayen/conserveren",IF(G325='3B-Prestaties vloeren'!$D$2,"Sproei-extractie",0))))</f>
        <v>Niet van toepassing</v>
      </c>
      <c r="S325" s="385">
        <f>IF('2-Tarieven'!$B$28=0,0,IF(M325=0,0,'2-Tarieven'!$B$28*M325))</f>
        <v>0</v>
      </c>
      <c r="T325" s="386">
        <f>IF(AND(COUNTBLANK('3B-Prestaties vloeren'!$F$3:$H$24)=0,COUNTBLANK('3B-Prestaties vloeren'!$L$3:$M$24)=0),IF(R325="Sprayen/conserveren",I325/VLOOKUP(E325,'3B-Prestaties vloeren'!$A$3:$M$24,12,FALSE),0)*(P325-1),0)</f>
        <v>0</v>
      </c>
      <c r="U325" s="386">
        <f>IF(AND(COUNTBLANK('3B-Prestaties vloeren'!$F$3:$H$24)=0,COUNTBLANK('3B-Prestaties vloeren'!$L$3:$M$24)=0),IF(R325="Sprayen/conserveren",I325/VLOOKUP(E325,'3B-Prestaties vloeren'!$A$3:$M$24,13,FALSE),0),0)</f>
        <v>0</v>
      </c>
      <c r="V325" s="386">
        <f>IF(AND(COUNTBLANK('3B-Prestaties vloeren'!$F$3:$H$24)=0,COUNTBLANK('3B-Prestaties vloeren'!$L$3:$M$24)=0),IF(R325="schrobben",I325/VLOOKUP(E325,'3B-Prestaties vloeren'!$A$3:$H$24,6,FALSE),0)*P325,0)</f>
        <v>0</v>
      </c>
      <c r="W325" s="386">
        <f>IF(AND(COUNTBLANK('3B-Prestaties vloeren'!$F$3:$H$24)=0,COUNTBLANK('3B-Prestaties vloeren'!$L$3:$M$24)=0),IF(R325="sproei-extractie",I325/VLOOKUP(E325,'3B-Prestaties vloeren'!$A$3:$H$24,8,FALSE),0)*P325,0)</f>
        <v>0</v>
      </c>
    </row>
    <row r="326" spans="1:23" ht="15" hidden="1">
      <c r="A326" s="378" t="s">
        <v>703</v>
      </c>
      <c r="B326" s="378" t="s">
        <v>678</v>
      </c>
      <c r="C326" s="378">
        <v>1</v>
      </c>
      <c r="D326" s="378" t="s">
        <v>336</v>
      </c>
      <c r="E326" s="378" t="s">
        <v>306</v>
      </c>
      <c r="F326" s="378" t="s">
        <v>647</v>
      </c>
      <c r="G326" s="378" t="str">
        <f>VLOOKUP(F326,'3B-Prestaties vloeren'!$A$28:$B$118,2,0)</f>
        <v>Hard onbehandeld</v>
      </c>
      <c r="H326" s="378"/>
      <c r="I326" s="378">
        <v>10.199999999999999</v>
      </c>
      <c r="J326" s="420" t="s">
        <v>749</v>
      </c>
      <c r="K326" s="426">
        <v>52</v>
      </c>
      <c r="L326" s="378">
        <f t="shared" si="15"/>
        <v>530.4</v>
      </c>
      <c r="M326" s="380" t="str">
        <f>IF(K326=0,0,IF(COUNTBLANK('3A-Prestatie'!$B$2:$I$22)=0,L326/VLOOKUP(E326,'3A-Prestatie'!$A$1:$M$22,VLOOKUP(K326,'3A-Prestatie'!$A$28:$B$34,2,FALSE),FALSE),"3A prestatie invullen"))</f>
        <v>3A prestatie invullen</v>
      </c>
      <c r="N326" s="380">
        <f t="shared" si="17"/>
        <v>0</v>
      </c>
      <c r="O326" s="381" t="str">
        <f>VLOOKUP(E326,'3A-Prestatie'!A:M,13,FALSE)</f>
        <v>V</v>
      </c>
      <c r="P326" s="382">
        <f>IF(R326="Niet van toepassing",0,VLOOKUP(E326,'3B-Prestaties vloeren'!$A$3:$D$24,IF(G326="Hard onbehandeld",2,IF(G326="Hard behandeld",3,4)),FALSE))</f>
        <v>12</v>
      </c>
      <c r="Q326" s="383">
        <f t="shared" si="16"/>
        <v>0</v>
      </c>
      <c r="R326" s="384" t="str">
        <f>IF(K326=0,"Niet van toepassing",IF(G326='3B-Prestaties vloeren'!$B$2,"Schrobben",IF(G326='3B-Prestaties vloeren'!$C$2,"Sprayen/conserveren",IF(G326='3B-Prestaties vloeren'!$D$2,"Sproei-extractie",0))))</f>
        <v>Schrobben</v>
      </c>
      <c r="S326" s="385">
        <f>IF('2-Tarieven'!$B$28=0,0,IF(M326=0,0,'2-Tarieven'!$B$28*M326))</f>
        <v>0</v>
      </c>
      <c r="T326" s="386">
        <f>IF(AND(COUNTBLANK('3B-Prestaties vloeren'!$F$3:$H$24)=0,COUNTBLANK('3B-Prestaties vloeren'!$L$3:$M$24)=0),IF(R326="Sprayen/conserveren",I326/VLOOKUP(E326,'3B-Prestaties vloeren'!$A$3:$M$24,12,FALSE),0)*(P326-1),0)</f>
        <v>0</v>
      </c>
      <c r="U326" s="386">
        <f>IF(AND(COUNTBLANK('3B-Prestaties vloeren'!$F$3:$H$24)=0,COUNTBLANK('3B-Prestaties vloeren'!$L$3:$M$24)=0),IF(R326="Sprayen/conserveren",I326/VLOOKUP(E326,'3B-Prestaties vloeren'!$A$3:$M$24,13,FALSE),0),0)</f>
        <v>0</v>
      </c>
      <c r="V326" s="386">
        <f>IF(AND(COUNTBLANK('3B-Prestaties vloeren'!$F$3:$H$24)=0,COUNTBLANK('3B-Prestaties vloeren'!$L$3:$M$24)=0),IF(R326="schrobben",I326/VLOOKUP(E326,'3B-Prestaties vloeren'!$A$3:$H$24,6,FALSE),0)*P326,0)</f>
        <v>0</v>
      </c>
      <c r="W326" s="386">
        <f>IF(AND(COUNTBLANK('3B-Prestaties vloeren'!$F$3:$H$24)=0,COUNTBLANK('3B-Prestaties vloeren'!$L$3:$M$24)=0),IF(R326="sproei-extractie",I326/VLOOKUP(E326,'3B-Prestaties vloeren'!$A$3:$H$24,8,FALSE),0)*P326,0)</f>
        <v>0</v>
      </c>
    </row>
    <row r="327" spans="1:23" ht="15" hidden="1">
      <c r="A327" s="378" t="s">
        <v>703</v>
      </c>
      <c r="B327" s="378" t="s">
        <v>678</v>
      </c>
      <c r="C327" s="378">
        <v>1</v>
      </c>
      <c r="D327" s="378" t="s">
        <v>337</v>
      </c>
      <c r="E327" s="378" t="s">
        <v>5</v>
      </c>
      <c r="F327" s="378" t="s">
        <v>647</v>
      </c>
      <c r="G327" s="378" t="str">
        <f>VLOOKUP(F327,'3B-Prestaties vloeren'!$A$28:$B$118,2,0)</f>
        <v>Hard onbehandeld</v>
      </c>
      <c r="H327" s="378"/>
      <c r="I327" s="378">
        <v>10.199999999999999</v>
      </c>
      <c r="J327" s="420" t="s">
        <v>749</v>
      </c>
      <c r="K327" s="426">
        <v>52</v>
      </c>
      <c r="L327" s="378">
        <f t="shared" si="15"/>
        <v>530.4</v>
      </c>
      <c r="M327" s="380" t="str">
        <f>IF(K327=0,0,IF(COUNTBLANK('3A-Prestatie'!$B$2:$I$22)=0,L327/VLOOKUP(E327,'3A-Prestatie'!$A$1:$M$22,VLOOKUP(K327,'3A-Prestatie'!$A$28:$B$34,2,FALSE),FALSE),"3A prestatie invullen"))</f>
        <v>3A prestatie invullen</v>
      </c>
      <c r="N327" s="380">
        <f t="shared" si="17"/>
        <v>0</v>
      </c>
      <c r="O327" s="381" t="str">
        <f>VLOOKUP(E327,'3A-Prestatie'!A:M,13,FALSE)</f>
        <v>B</v>
      </c>
      <c r="P327" s="382">
        <f>IF(R327="Niet van toepassing",0,VLOOKUP(E327,'3B-Prestaties vloeren'!$A$3:$D$24,IF(G327="Hard onbehandeld",2,IF(G327="Hard behandeld",3,4)),FALSE))</f>
        <v>4</v>
      </c>
      <c r="Q327" s="383">
        <f t="shared" si="16"/>
        <v>0</v>
      </c>
      <c r="R327" s="384" t="str">
        <f>IF(K327=0,"Niet van toepassing",IF(G327='3B-Prestaties vloeren'!$B$2,"Schrobben",IF(G327='3B-Prestaties vloeren'!$C$2,"Sprayen/conserveren",IF(G327='3B-Prestaties vloeren'!$D$2,"Sproei-extractie",0))))</f>
        <v>Schrobben</v>
      </c>
      <c r="S327" s="385">
        <f>IF('2-Tarieven'!$B$28=0,0,IF(M327=0,0,'2-Tarieven'!$B$28*M327))</f>
        <v>0</v>
      </c>
      <c r="T327" s="386">
        <f>IF(AND(COUNTBLANK('3B-Prestaties vloeren'!$F$3:$H$24)=0,COUNTBLANK('3B-Prestaties vloeren'!$L$3:$M$24)=0),IF(R327="Sprayen/conserveren",I327/VLOOKUP(E327,'3B-Prestaties vloeren'!$A$3:$M$24,12,FALSE),0)*(P327-1),0)</f>
        <v>0</v>
      </c>
      <c r="U327" s="386">
        <f>IF(AND(COUNTBLANK('3B-Prestaties vloeren'!$F$3:$H$24)=0,COUNTBLANK('3B-Prestaties vloeren'!$L$3:$M$24)=0),IF(R327="Sprayen/conserveren",I327/VLOOKUP(E327,'3B-Prestaties vloeren'!$A$3:$M$24,13,FALSE),0),0)</f>
        <v>0</v>
      </c>
      <c r="V327" s="386">
        <f>IF(AND(COUNTBLANK('3B-Prestaties vloeren'!$F$3:$H$24)=0,COUNTBLANK('3B-Prestaties vloeren'!$L$3:$M$24)=0),IF(R327="schrobben",I327/VLOOKUP(E327,'3B-Prestaties vloeren'!$A$3:$H$24,6,FALSE),0)*P327,0)</f>
        <v>0</v>
      </c>
      <c r="W327" s="386">
        <f>IF(AND(COUNTBLANK('3B-Prestaties vloeren'!$F$3:$H$24)=0,COUNTBLANK('3B-Prestaties vloeren'!$L$3:$M$24)=0),IF(R327="sproei-extractie",I327/VLOOKUP(E327,'3B-Prestaties vloeren'!$A$3:$H$24,8,FALSE),0)*P327,0)</f>
        <v>0</v>
      </c>
    </row>
    <row r="328" spans="1:23" ht="15" hidden="1">
      <c r="A328" s="378" t="s">
        <v>704</v>
      </c>
      <c r="B328" s="378" t="s">
        <v>678</v>
      </c>
      <c r="C328" s="378">
        <v>0</v>
      </c>
      <c r="D328" s="378" t="s">
        <v>288</v>
      </c>
      <c r="E328" s="378" t="s">
        <v>728</v>
      </c>
      <c r="F328" s="378" t="s">
        <v>502</v>
      </c>
      <c r="G328" s="378" t="str">
        <f>VLOOKUP(F328,'3B-Prestaties vloeren'!$A$28:$B$118,2,0)</f>
        <v>Hard onbehandeld</v>
      </c>
      <c r="H328" s="378" t="s">
        <v>651</v>
      </c>
      <c r="I328" s="378">
        <v>96</v>
      </c>
      <c r="J328" s="419"/>
      <c r="K328" s="426">
        <v>0</v>
      </c>
      <c r="L328" s="378">
        <f t="shared" si="15"/>
        <v>0</v>
      </c>
      <c r="M328" s="380">
        <f>IF(K328=0,0,IF(COUNTBLANK('3A-Prestatie'!$B$2:$I$22)=0,L328/VLOOKUP(E328,'3A-Prestatie'!$A$1:$M$22,VLOOKUP(K328,'3A-Prestatie'!$A$28:$B$34,2,FALSE),FALSE),"3A prestatie invullen"))</f>
        <v>0</v>
      </c>
      <c r="N328" s="380">
        <f t="shared" si="17"/>
        <v>0</v>
      </c>
      <c r="O328" s="381" t="s">
        <v>88</v>
      </c>
      <c r="P328" s="382">
        <f>IF(R328="Niet van toepassing",0,VLOOKUP(E328,'3B-Prestaties vloeren'!$A$3:$D$24,IF(G328="Hard onbehandeld",2,IF(G328="Hard behandeld",3,4)),FALSE))</f>
        <v>0</v>
      </c>
      <c r="Q328" s="383">
        <f t="shared" si="16"/>
        <v>0</v>
      </c>
      <c r="R328" s="384" t="str">
        <f>IF(K328=0,"Niet van toepassing",IF(G328='3B-Prestaties vloeren'!$B$2,"Schrobben",IF(G328='3B-Prestaties vloeren'!$C$2,"Sprayen/conserveren",IF(G328='3B-Prestaties vloeren'!$D$2,"Sproei-extractie",0))))</f>
        <v>Niet van toepassing</v>
      </c>
      <c r="S328" s="385">
        <f>IF('2-Tarieven'!$B$28=0,0,IF(M328=0,0,'2-Tarieven'!$B$28*M328))</f>
        <v>0</v>
      </c>
      <c r="T328" s="386">
        <f>IF(AND(COUNTBLANK('3B-Prestaties vloeren'!$F$3:$H$24)=0,COUNTBLANK('3B-Prestaties vloeren'!$L$3:$M$24)=0),IF(R328="Sprayen/conserveren",I328/VLOOKUP(E328,'3B-Prestaties vloeren'!$A$3:$M$24,12,FALSE),0)*(P328-1),0)</f>
        <v>0</v>
      </c>
      <c r="U328" s="386">
        <f>IF(AND(COUNTBLANK('3B-Prestaties vloeren'!$F$3:$H$24)=0,COUNTBLANK('3B-Prestaties vloeren'!$L$3:$M$24)=0),IF(R328="Sprayen/conserveren",I328/VLOOKUP(E328,'3B-Prestaties vloeren'!$A$3:$M$24,13,FALSE),0),0)</f>
        <v>0</v>
      </c>
      <c r="V328" s="386">
        <f>IF(AND(COUNTBLANK('3B-Prestaties vloeren'!$F$3:$H$24)=0,COUNTBLANK('3B-Prestaties vloeren'!$L$3:$M$24)=0),IF(R328="schrobben",I328/VLOOKUP(E328,'3B-Prestaties vloeren'!$A$3:$H$24,6,FALSE),0)*P328,0)</f>
        <v>0</v>
      </c>
      <c r="W328" s="386">
        <f>IF(AND(COUNTBLANK('3B-Prestaties vloeren'!$F$3:$H$24)=0,COUNTBLANK('3B-Prestaties vloeren'!$L$3:$M$24)=0),IF(R328="sproei-extractie",I328/VLOOKUP(E328,'3B-Prestaties vloeren'!$A$3:$H$24,8,FALSE),0)*P328,0)</f>
        <v>0</v>
      </c>
    </row>
    <row r="329" spans="1:23" ht="15" hidden="1">
      <c r="A329" s="378" t="s">
        <v>704</v>
      </c>
      <c r="B329" s="378" t="s">
        <v>678</v>
      </c>
      <c r="C329" s="378">
        <v>0</v>
      </c>
      <c r="D329" s="378" t="s">
        <v>289</v>
      </c>
      <c r="E329" s="378" t="s">
        <v>728</v>
      </c>
      <c r="F329" s="378" t="s">
        <v>502</v>
      </c>
      <c r="G329" s="378" t="str">
        <f>VLOOKUP(F329,'3B-Prestaties vloeren'!$A$28:$B$118,2,0)</f>
        <v>Hard onbehandeld</v>
      </c>
      <c r="H329" s="378" t="s">
        <v>651</v>
      </c>
      <c r="I329" s="378">
        <v>128</v>
      </c>
      <c r="J329" s="419"/>
      <c r="K329" s="426">
        <v>0</v>
      </c>
      <c r="L329" s="378">
        <f t="shared" si="15"/>
        <v>0</v>
      </c>
      <c r="M329" s="380">
        <f>IF(K329=0,0,IF(COUNTBLANK('3A-Prestatie'!$B$2:$I$22)=0,L329/VLOOKUP(E329,'3A-Prestatie'!$A$1:$M$22,VLOOKUP(K329,'3A-Prestatie'!$A$28:$B$34,2,FALSE),FALSE),"3A prestatie invullen"))</f>
        <v>0</v>
      </c>
      <c r="N329" s="380">
        <f t="shared" si="17"/>
        <v>0</v>
      </c>
      <c r="O329" s="381" t="s">
        <v>88</v>
      </c>
      <c r="P329" s="382">
        <f>IF(R329="Niet van toepassing",0,VLOOKUP(E329,'3B-Prestaties vloeren'!$A$3:$D$24,IF(G329="Hard onbehandeld",2,IF(G329="Hard behandeld",3,4)),FALSE))</f>
        <v>0</v>
      </c>
      <c r="Q329" s="383">
        <f t="shared" si="16"/>
        <v>0</v>
      </c>
      <c r="R329" s="384" t="str">
        <f>IF(K329=0,"Niet van toepassing",IF(G329='3B-Prestaties vloeren'!$B$2,"Schrobben",IF(G329='3B-Prestaties vloeren'!$C$2,"Sprayen/conserveren",IF(G329='3B-Prestaties vloeren'!$D$2,"Sproei-extractie",0))))</f>
        <v>Niet van toepassing</v>
      </c>
      <c r="S329" s="385">
        <f>IF('2-Tarieven'!$B$28=0,0,IF(M329=0,0,'2-Tarieven'!$B$28*M329))</f>
        <v>0</v>
      </c>
      <c r="T329" s="386">
        <f>IF(AND(COUNTBLANK('3B-Prestaties vloeren'!$F$3:$H$24)=0,COUNTBLANK('3B-Prestaties vloeren'!$L$3:$M$24)=0),IF(R329="Sprayen/conserveren",I329/VLOOKUP(E329,'3B-Prestaties vloeren'!$A$3:$M$24,12,FALSE),0)*(P329-1),0)</f>
        <v>0</v>
      </c>
      <c r="U329" s="386">
        <f>IF(AND(COUNTBLANK('3B-Prestaties vloeren'!$F$3:$H$24)=0,COUNTBLANK('3B-Prestaties vloeren'!$L$3:$M$24)=0),IF(R329="Sprayen/conserveren",I329/VLOOKUP(E329,'3B-Prestaties vloeren'!$A$3:$M$24,13,FALSE),0),0)</f>
        <v>0</v>
      </c>
      <c r="V329" s="386">
        <f>IF(AND(COUNTBLANK('3B-Prestaties vloeren'!$F$3:$H$24)=0,COUNTBLANK('3B-Prestaties vloeren'!$L$3:$M$24)=0),IF(R329="schrobben",I329/VLOOKUP(E329,'3B-Prestaties vloeren'!$A$3:$H$24,6,FALSE),0)*P329,0)</f>
        <v>0</v>
      </c>
      <c r="W329" s="386">
        <f>IF(AND(COUNTBLANK('3B-Prestaties vloeren'!$F$3:$H$24)=0,COUNTBLANK('3B-Prestaties vloeren'!$L$3:$M$24)=0),IF(R329="sproei-extractie",I329/VLOOKUP(E329,'3B-Prestaties vloeren'!$A$3:$H$24,8,FALSE),0)*P329,0)</f>
        <v>0</v>
      </c>
    </row>
    <row r="330" spans="1:23" ht="15" hidden="1">
      <c r="A330" s="378" t="s">
        <v>704</v>
      </c>
      <c r="B330" s="378" t="s">
        <v>678</v>
      </c>
      <c r="C330" s="378">
        <v>0</v>
      </c>
      <c r="D330" s="378" t="s">
        <v>290</v>
      </c>
      <c r="E330" s="378" t="s">
        <v>728</v>
      </c>
      <c r="F330" s="378" t="s">
        <v>648</v>
      </c>
      <c r="G330" s="378" t="str">
        <f>VLOOKUP(F330,'3B-Prestaties vloeren'!$A$28:$B$118,2,0)</f>
        <v>Hard onbehandeld</v>
      </c>
      <c r="H330" s="378" t="s">
        <v>287</v>
      </c>
      <c r="I330" s="378">
        <v>96</v>
      </c>
      <c r="J330" s="419"/>
      <c r="K330" s="426">
        <v>0</v>
      </c>
      <c r="L330" s="378">
        <f t="shared" si="15"/>
        <v>0</v>
      </c>
      <c r="M330" s="380">
        <f>IF(K330=0,0,IF(COUNTBLANK('3A-Prestatie'!$B$2:$I$22)=0,L330/VLOOKUP(E330,'3A-Prestatie'!$A$1:$M$22,VLOOKUP(K330,'3A-Prestatie'!$A$28:$B$34,2,FALSE),FALSE),"3A prestatie invullen"))</f>
        <v>0</v>
      </c>
      <c r="N330" s="380">
        <f t="shared" si="17"/>
        <v>0</v>
      </c>
      <c r="O330" s="381" t="str">
        <f>VLOOKUP(E330,'3A-Prestatie'!A:M,13,FALSE)</f>
        <v>N.v.t.</v>
      </c>
      <c r="P330" s="382">
        <f>IF(R330="Niet van toepassing",0,VLOOKUP(E330,'3B-Prestaties vloeren'!$A$3:$D$24,IF(G330="Hard onbehandeld",2,IF(G330="Hard behandeld",3,4)),FALSE))</f>
        <v>0</v>
      </c>
      <c r="Q330" s="383">
        <f t="shared" si="16"/>
        <v>0</v>
      </c>
      <c r="R330" s="384" t="str">
        <f>IF(K330=0,"Niet van toepassing",IF(G330='3B-Prestaties vloeren'!$B$2,"Schrobben",IF(G330='3B-Prestaties vloeren'!$C$2,"Sprayen/conserveren",IF(G330='3B-Prestaties vloeren'!$D$2,"Sproei-extractie",0))))</f>
        <v>Niet van toepassing</v>
      </c>
      <c r="S330" s="385">
        <f>IF('2-Tarieven'!$B$28=0,0,IF(M330=0,0,'2-Tarieven'!$B$28*M330))</f>
        <v>0</v>
      </c>
      <c r="T330" s="386">
        <f>IF(AND(COUNTBLANK('3B-Prestaties vloeren'!$F$3:$H$24)=0,COUNTBLANK('3B-Prestaties vloeren'!$L$3:$M$24)=0),IF(R330="Sprayen/conserveren",I330/VLOOKUP(E330,'3B-Prestaties vloeren'!$A$3:$M$24,12,FALSE),0)*(P330-1),0)</f>
        <v>0</v>
      </c>
      <c r="U330" s="386">
        <f>IF(AND(COUNTBLANK('3B-Prestaties vloeren'!$F$3:$H$24)=0,COUNTBLANK('3B-Prestaties vloeren'!$L$3:$M$24)=0),IF(R330="Sprayen/conserveren",I330/VLOOKUP(E330,'3B-Prestaties vloeren'!$A$3:$M$24,13,FALSE),0),0)</f>
        <v>0</v>
      </c>
      <c r="V330" s="386">
        <f>IF(AND(COUNTBLANK('3B-Prestaties vloeren'!$F$3:$H$24)=0,COUNTBLANK('3B-Prestaties vloeren'!$L$3:$M$24)=0),IF(R330="schrobben",I330/VLOOKUP(E330,'3B-Prestaties vloeren'!$A$3:$H$24,6,FALSE),0)*P330,0)</f>
        <v>0</v>
      </c>
      <c r="W330" s="386">
        <f>IF(AND(COUNTBLANK('3B-Prestaties vloeren'!$F$3:$H$24)=0,COUNTBLANK('3B-Prestaties vloeren'!$L$3:$M$24)=0),IF(R330="sproei-extractie",I330/VLOOKUP(E330,'3B-Prestaties vloeren'!$A$3:$H$24,8,FALSE),0)*P330,0)</f>
        <v>0</v>
      </c>
    </row>
    <row r="331" spans="1:23" ht="15" hidden="1">
      <c r="A331" s="378" t="s">
        <v>704</v>
      </c>
      <c r="B331" s="378" t="s">
        <v>678</v>
      </c>
      <c r="C331" s="378">
        <v>0</v>
      </c>
      <c r="D331" s="378" t="s">
        <v>291</v>
      </c>
      <c r="E331" s="378" t="s">
        <v>728</v>
      </c>
      <c r="F331" s="378" t="s">
        <v>502</v>
      </c>
      <c r="G331" s="378" t="str">
        <f>VLOOKUP(F331,'3B-Prestaties vloeren'!$A$28:$B$118,2,0)</f>
        <v>Hard onbehandeld</v>
      </c>
      <c r="H331" s="378" t="s">
        <v>705</v>
      </c>
      <c r="I331" s="378">
        <v>866.95</v>
      </c>
      <c r="J331" s="419"/>
      <c r="K331" s="426">
        <v>0</v>
      </c>
      <c r="L331" s="378">
        <f t="shared" si="15"/>
        <v>0</v>
      </c>
      <c r="M331" s="380">
        <f>IF(K331=0,0,IF(COUNTBLANK('3A-Prestatie'!$B$2:$I$22)=0,L331/VLOOKUP(E331,'3A-Prestatie'!$A$1:$M$22,VLOOKUP(K331,'3A-Prestatie'!$A$28:$B$34,2,FALSE),FALSE),"3A prestatie invullen"))</f>
        <v>0</v>
      </c>
      <c r="N331" s="380">
        <f t="shared" si="17"/>
        <v>0</v>
      </c>
      <c r="O331" s="381" t="str">
        <f>VLOOKUP(E331,'3A-Prestatie'!A:M,13,FALSE)</f>
        <v>N.v.t.</v>
      </c>
      <c r="P331" s="382">
        <f>IF(R331="Niet van toepassing",0,VLOOKUP(E331,'3B-Prestaties vloeren'!$A$3:$D$24,IF(G331="Hard onbehandeld",2,IF(G331="Hard behandeld",3,4)),FALSE))</f>
        <v>0</v>
      </c>
      <c r="Q331" s="383">
        <f t="shared" si="16"/>
        <v>0</v>
      </c>
      <c r="R331" s="384" t="str">
        <f>IF(K331=0,"Niet van toepassing",IF(G331='3B-Prestaties vloeren'!$B$2,"Schrobben",IF(G331='3B-Prestaties vloeren'!$C$2,"Sprayen/conserveren",IF(G331='3B-Prestaties vloeren'!$D$2,"Sproei-extractie",0))))</f>
        <v>Niet van toepassing</v>
      </c>
      <c r="S331" s="385">
        <f>IF('2-Tarieven'!$B$28=0,0,IF(M331=0,0,'2-Tarieven'!$B$28*M331))</f>
        <v>0</v>
      </c>
      <c r="T331" s="386">
        <f>IF(AND(COUNTBLANK('3B-Prestaties vloeren'!$F$3:$H$24)=0,COUNTBLANK('3B-Prestaties vloeren'!$L$3:$M$24)=0),IF(R331="Sprayen/conserveren",I331/VLOOKUP(E331,'3B-Prestaties vloeren'!$A$3:$M$24,12,FALSE),0)*(P331-1),0)</f>
        <v>0</v>
      </c>
      <c r="U331" s="386">
        <f>IF(AND(COUNTBLANK('3B-Prestaties vloeren'!$F$3:$H$24)=0,COUNTBLANK('3B-Prestaties vloeren'!$L$3:$M$24)=0),IF(R331="Sprayen/conserveren",I331/VLOOKUP(E331,'3B-Prestaties vloeren'!$A$3:$M$24,13,FALSE),0),0)</f>
        <v>0</v>
      </c>
      <c r="V331" s="386">
        <f>IF(AND(COUNTBLANK('3B-Prestaties vloeren'!$F$3:$H$24)=0,COUNTBLANK('3B-Prestaties vloeren'!$L$3:$M$24)=0),IF(R331="schrobben",I331/VLOOKUP(E331,'3B-Prestaties vloeren'!$A$3:$H$24,6,FALSE),0)*P331,0)</f>
        <v>0</v>
      </c>
      <c r="W331" s="386">
        <f>IF(AND(COUNTBLANK('3B-Prestaties vloeren'!$F$3:$H$24)=0,COUNTBLANK('3B-Prestaties vloeren'!$L$3:$M$24)=0),IF(R331="sproei-extractie",I331/VLOOKUP(E331,'3B-Prestaties vloeren'!$A$3:$H$24,8,FALSE),0)*P331,0)</f>
        <v>0</v>
      </c>
    </row>
    <row r="332" spans="1:23" ht="15" hidden="1">
      <c r="A332" s="378" t="s">
        <v>704</v>
      </c>
      <c r="B332" s="378" t="s">
        <v>678</v>
      </c>
      <c r="C332" s="378">
        <v>0</v>
      </c>
      <c r="D332" s="378" t="s">
        <v>292</v>
      </c>
      <c r="E332" s="378" t="s">
        <v>728</v>
      </c>
      <c r="F332" s="378" t="s">
        <v>502</v>
      </c>
      <c r="G332" s="378" t="str">
        <f>VLOOKUP(F332,'3B-Prestaties vloeren'!$A$28:$B$118,2,0)</f>
        <v>Hard onbehandeld</v>
      </c>
      <c r="H332" s="378" t="s">
        <v>705</v>
      </c>
      <c r="I332" s="378">
        <v>866.95</v>
      </c>
      <c r="J332" s="419"/>
      <c r="K332" s="426">
        <v>0</v>
      </c>
      <c r="L332" s="378">
        <f t="shared" si="15"/>
        <v>0</v>
      </c>
      <c r="M332" s="380">
        <f>IF(K332=0,0,IF(COUNTBLANK('3A-Prestatie'!$B$2:$I$22)=0,L332/VLOOKUP(E332,'3A-Prestatie'!$A$1:$M$22,VLOOKUP(K332,'3A-Prestatie'!$A$28:$B$34,2,FALSE),FALSE),"3A prestatie invullen"))</f>
        <v>0</v>
      </c>
      <c r="N332" s="380">
        <f t="shared" si="17"/>
        <v>0</v>
      </c>
      <c r="O332" s="381" t="str">
        <f>VLOOKUP(E332,'3A-Prestatie'!A:M,13,FALSE)</f>
        <v>N.v.t.</v>
      </c>
      <c r="P332" s="382">
        <f>IF(R332="Niet van toepassing",0,VLOOKUP(E332,'3B-Prestaties vloeren'!$A$3:$D$24,IF(G332="Hard onbehandeld",2,IF(G332="Hard behandeld",3,4)),FALSE))</f>
        <v>0</v>
      </c>
      <c r="Q332" s="383">
        <f t="shared" si="16"/>
        <v>0</v>
      </c>
      <c r="R332" s="384" t="str">
        <f>IF(K332=0,"Niet van toepassing",IF(G332='3B-Prestaties vloeren'!$B$2,"Schrobben",IF(G332='3B-Prestaties vloeren'!$C$2,"Sprayen/conserveren",IF(G332='3B-Prestaties vloeren'!$D$2,"Sproei-extractie",0))))</f>
        <v>Niet van toepassing</v>
      </c>
      <c r="S332" s="385">
        <f>IF('2-Tarieven'!$B$28=0,0,IF(M332=0,0,'2-Tarieven'!$B$28*M332))</f>
        <v>0</v>
      </c>
      <c r="T332" s="386">
        <f>IF(AND(COUNTBLANK('3B-Prestaties vloeren'!$F$3:$H$24)=0,COUNTBLANK('3B-Prestaties vloeren'!$L$3:$M$24)=0),IF(R332="Sprayen/conserveren",I332/VLOOKUP(E332,'3B-Prestaties vloeren'!$A$3:$M$24,12,FALSE),0)*(P332-1),0)</f>
        <v>0</v>
      </c>
      <c r="U332" s="386">
        <f>IF(AND(COUNTBLANK('3B-Prestaties vloeren'!$F$3:$H$24)=0,COUNTBLANK('3B-Prestaties vloeren'!$L$3:$M$24)=0),IF(R332="Sprayen/conserveren",I332/VLOOKUP(E332,'3B-Prestaties vloeren'!$A$3:$M$24,13,FALSE),0),0)</f>
        <v>0</v>
      </c>
      <c r="V332" s="386">
        <f>IF(AND(COUNTBLANK('3B-Prestaties vloeren'!$F$3:$H$24)=0,COUNTBLANK('3B-Prestaties vloeren'!$L$3:$M$24)=0),IF(R332="schrobben",I332/VLOOKUP(E332,'3B-Prestaties vloeren'!$A$3:$H$24,6,FALSE),0)*P332,0)</f>
        <v>0</v>
      </c>
      <c r="W332" s="386">
        <f>IF(AND(COUNTBLANK('3B-Prestaties vloeren'!$F$3:$H$24)=0,COUNTBLANK('3B-Prestaties vloeren'!$L$3:$M$24)=0),IF(R332="sproei-extractie",I332/VLOOKUP(E332,'3B-Prestaties vloeren'!$A$3:$H$24,8,FALSE),0)*P332,0)</f>
        <v>0</v>
      </c>
    </row>
    <row r="333" spans="1:23" ht="15" hidden="1">
      <c r="A333" s="378" t="s">
        <v>706</v>
      </c>
      <c r="B333" s="378" t="s">
        <v>678</v>
      </c>
      <c r="C333" s="378">
        <v>1</v>
      </c>
      <c r="D333" s="378" t="s">
        <v>336</v>
      </c>
      <c r="E333" s="378" t="s">
        <v>728</v>
      </c>
      <c r="F333" s="378" t="s">
        <v>648</v>
      </c>
      <c r="G333" s="378" t="str">
        <f>VLOOKUP(F333,'3B-Prestaties vloeren'!$A$28:$B$118,2,0)</f>
        <v>Hard onbehandeld</v>
      </c>
      <c r="H333" s="378" t="s">
        <v>705</v>
      </c>
      <c r="I333" s="378">
        <v>1992</v>
      </c>
      <c r="J333" s="419"/>
      <c r="K333" s="426">
        <v>0</v>
      </c>
      <c r="L333" s="378">
        <f t="shared" si="15"/>
        <v>0</v>
      </c>
      <c r="M333" s="380">
        <f>IF(K333=0,0,IF(COUNTBLANK('3A-Prestatie'!$B$2:$I$22)=0,L333/VLOOKUP(E333,'3A-Prestatie'!$A$1:$M$22,VLOOKUP(K333,'3A-Prestatie'!$A$28:$B$34,2,FALSE),FALSE),"3A prestatie invullen"))</f>
        <v>0</v>
      </c>
      <c r="N333" s="380">
        <f t="shared" si="17"/>
        <v>0</v>
      </c>
      <c r="O333" s="381" t="str">
        <f>VLOOKUP(E333,'3A-Prestatie'!A:M,13,FALSE)</f>
        <v>N.v.t.</v>
      </c>
      <c r="P333" s="382">
        <f>IF(R333="Niet van toepassing",0,VLOOKUP(E333,'3B-Prestaties vloeren'!$A$3:$D$24,IF(G333="Hard onbehandeld",2,IF(G333="Hard behandeld",3,4)),FALSE))</f>
        <v>0</v>
      </c>
      <c r="Q333" s="383">
        <f t="shared" si="16"/>
        <v>0</v>
      </c>
      <c r="R333" s="384" t="str">
        <f>IF(K333=0,"Niet van toepassing",IF(G333='3B-Prestaties vloeren'!$B$2,"Schrobben",IF(G333='3B-Prestaties vloeren'!$C$2,"Sprayen/conserveren",IF(G333='3B-Prestaties vloeren'!$D$2,"Sproei-extractie",0))))</f>
        <v>Niet van toepassing</v>
      </c>
      <c r="S333" s="385">
        <f>IF('2-Tarieven'!$B$28=0,0,IF(M333=0,0,'2-Tarieven'!$B$28*M333))</f>
        <v>0</v>
      </c>
      <c r="T333" s="386">
        <f>IF(AND(COUNTBLANK('3B-Prestaties vloeren'!$F$3:$H$24)=0,COUNTBLANK('3B-Prestaties vloeren'!$L$3:$M$24)=0),IF(R333="Sprayen/conserveren",I333/VLOOKUP(E333,'3B-Prestaties vloeren'!$A$3:$M$24,12,FALSE),0)*(P333-1),0)</f>
        <v>0</v>
      </c>
      <c r="U333" s="386">
        <f>IF(AND(COUNTBLANK('3B-Prestaties vloeren'!$F$3:$H$24)=0,COUNTBLANK('3B-Prestaties vloeren'!$L$3:$M$24)=0),IF(R333="Sprayen/conserveren",I333/VLOOKUP(E333,'3B-Prestaties vloeren'!$A$3:$M$24,13,FALSE),0),0)</f>
        <v>0</v>
      </c>
      <c r="V333" s="386">
        <f>IF(AND(COUNTBLANK('3B-Prestaties vloeren'!$F$3:$H$24)=0,COUNTBLANK('3B-Prestaties vloeren'!$L$3:$M$24)=0),IF(R333="schrobben",I333/VLOOKUP(E333,'3B-Prestaties vloeren'!$A$3:$H$24,6,FALSE),0)*P333,0)</f>
        <v>0</v>
      </c>
      <c r="W333" s="386">
        <f>IF(AND(COUNTBLANK('3B-Prestaties vloeren'!$F$3:$H$24)=0,COUNTBLANK('3B-Prestaties vloeren'!$L$3:$M$24)=0),IF(R333="sproei-extractie",I333/VLOOKUP(E333,'3B-Prestaties vloeren'!$A$3:$H$24,8,FALSE),0)*P333,0)</f>
        <v>0</v>
      </c>
    </row>
    <row r="334" spans="1:23" ht="15" hidden="1">
      <c r="A334" s="378" t="s">
        <v>706</v>
      </c>
      <c r="B334" s="378" t="s">
        <v>678</v>
      </c>
      <c r="C334" s="378">
        <v>0</v>
      </c>
      <c r="D334" s="378" t="s">
        <v>288</v>
      </c>
      <c r="E334" s="378" t="s">
        <v>334</v>
      </c>
      <c r="F334" s="378" t="s">
        <v>647</v>
      </c>
      <c r="G334" s="378" t="str">
        <f>VLOOKUP(F334,'3B-Prestaties vloeren'!$A$28:$B$118,2,0)</f>
        <v>Hard onbehandeld</v>
      </c>
      <c r="H334" s="378"/>
      <c r="I334" s="378">
        <v>4.5999999999999996</v>
      </c>
      <c r="J334" s="420" t="s">
        <v>749</v>
      </c>
      <c r="K334" s="426">
        <v>52</v>
      </c>
      <c r="L334" s="378">
        <f t="shared" si="15"/>
        <v>239.2</v>
      </c>
      <c r="M334" s="380" t="str">
        <f>IF(K334=0,0,IF(COUNTBLANK('3A-Prestatie'!$B$2:$I$22)=0,L334/VLOOKUP(E334,'3A-Prestatie'!$A$1:$M$22,VLOOKUP(K334,'3A-Prestatie'!$A$28:$B$34,2,FALSE),FALSE),"3A prestatie invullen"))</f>
        <v>3A prestatie invullen</v>
      </c>
      <c r="N334" s="380">
        <f t="shared" si="17"/>
        <v>0</v>
      </c>
      <c r="O334" s="381" t="str">
        <f>VLOOKUP(E334,'3A-Prestatie'!A:M,13,FALSE)</f>
        <v>V</v>
      </c>
      <c r="P334" s="382">
        <f>IF(R334="Niet van toepassing",0,VLOOKUP(E334,'3B-Prestaties vloeren'!$A$3:$D$24,IF(G334="Hard onbehandeld",2,IF(G334="Hard behandeld",3,4)),FALSE))</f>
        <v>12</v>
      </c>
      <c r="Q334" s="383">
        <f t="shared" si="16"/>
        <v>0</v>
      </c>
      <c r="R334" s="384" t="str">
        <f>IF(K334=0,"Niet van toepassing",IF(G334='3B-Prestaties vloeren'!$B$2,"Schrobben",IF(G334='3B-Prestaties vloeren'!$C$2,"Sprayen/conserveren",IF(G334='3B-Prestaties vloeren'!$D$2,"Sproei-extractie",0))))</f>
        <v>Schrobben</v>
      </c>
      <c r="S334" s="385">
        <f>IF('2-Tarieven'!$B$28=0,0,IF(M334=0,0,'2-Tarieven'!$B$28*M334))</f>
        <v>0</v>
      </c>
      <c r="T334" s="386">
        <f>IF(AND(COUNTBLANK('3B-Prestaties vloeren'!$F$3:$H$24)=0,COUNTBLANK('3B-Prestaties vloeren'!$L$3:$M$24)=0),IF(R334="Sprayen/conserveren",I334/VLOOKUP(E334,'3B-Prestaties vloeren'!$A$3:$M$24,12,FALSE),0)*(P334-1),0)</f>
        <v>0</v>
      </c>
      <c r="U334" s="386">
        <f>IF(AND(COUNTBLANK('3B-Prestaties vloeren'!$F$3:$H$24)=0,COUNTBLANK('3B-Prestaties vloeren'!$L$3:$M$24)=0),IF(R334="Sprayen/conserveren",I334/VLOOKUP(E334,'3B-Prestaties vloeren'!$A$3:$M$24,13,FALSE),0),0)</f>
        <v>0</v>
      </c>
      <c r="V334" s="386">
        <f>IF(AND(COUNTBLANK('3B-Prestaties vloeren'!$F$3:$H$24)=0,COUNTBLANK('3B-Prestaties vloeren'!$L$3:$M$24)=0),IF(R334="schrobben",I334/VLOOKUP(E334,'3B-Prestaties vloeren'!$A$3:$H$24,6,FALSE),0)*P334,0)</f>
        <v>0</v>
      </c>
      <c r="W334" s="386">
        <f>IF(AND(COUNTBLANK('3B-Prestaties vloeren'!$F$3:$H$24)=0,COUNTBLANK('3B-Prestaties vloeren'!$L$3:$M$24)=0),IF(R334="sproei-extractie",I334/VLOOKUP(E334,'3B-Prestaties vloeren'!$A$3:$H$24,8,FALSE),0)*P334,0)</f>
        <v>0</v>
      </c>
    </row>
    <row r="335" spans="1:23" ht="15" hidden="1">
      <c r="A335" s="378" t="s">
        <v>706</v>
      </c>
      <c r="B335" s="378" t="s">
        <v>678</v>
      </c>
      <c r="C335" s="378">
        <v>0</v>
      </c>
      <c r="D335" s="378" t="s">
        <v>289</v>
      </c>
      <c r="E335" s="378" t="s">
        <v>728</v>
      </c>
      <c r="F335" s="378" t="s">
        <v>647</v>
      </c>
      <c r="G335" s="378" t="str">
        <f>VLOOKUP(F335,'3B-Prestaties vloeren'!$A$28:$B$118,2,0)</f>
        <v>Hard onbehandeld</v>
      </c>
      <c r="H335" s="378" t="s">
        <v>287</v>
      </c>
      <c r="I335" s="378">
        <v>0.45</v>
      </c>
      <c r="J335" s="419"/>
      <c r="K335" s="426">
        <v>0</v>
      </c>
      <c r="L335" s="378">
        <f t="shared" si="15"/>
        <v>0</v>
      </c>
      <c r="M335" s="380">
        <f>IF(K335=0,0,IF(COUNTBLANK('3A-Prestatie'!$B$2:$I$22)=0,L335/VLOOKUP(E335,'3A-Prestatie'!$A$1:$M$22,VLOOKUP(K335,'3A-Prestatie'!$A$28:$B$34,2,FALSE),FALSE),"3A prestatie invullen"))</f>
        <v>0</v>
      </c>
      <c r="N335" s="380">
        <f t="shared" si="17"/>
        <v>0</v>
      </c>
      <c r="O335" s="381" t="str">
        <f>VLOOKUP(E335,'3A-Prestatie'!A:M,13,FALSE)</f>
        <v>N.v.t.</v>
      </c>
      <c r="P335" s="382">
        <f>IF(R335="Niet van toepassing",0,VLOOKUP(E335,'3B-Prestaties vloeren'!$A$3:$D$24,IF(G335="Hard onbehandeld",2,IF(G335="Hard behandeld",3,4)),FALSE))</f>
        <v>0</v>
      </c>
      <c r="Q335" s="383">
        <f t="shared" si="16"/>
        <v>0</v>
      </c>
      <c r="R335" s="384" t="str">
        <f>IF(K335=0,"Niet van toepassing",IF(G335='3B-Prestaties vloeren'!$B$2,"Schrobben",IF(G335='3B-Prestaties vloeren'!$C$2,"Sprayen/conserveren",IF(G335='3B-Prestaties vloeren'!$D$2,"Sproei-extractie",0))))</f>
        <v>Niet van toepassing</v>
      </c>
      <c r="S335" s="385">
        <f>IF('2-Tarieven'!$B$28=0,0,IF(M335=0,0,'2-Tarieven'!$B$28*M335))</f>
        <v>0</v>
      </c>
      <c r="T335" s="386">
        <f>IF(AND(COUNTBLANK('3B-Prestaties vloeren'!$F$3:$H$24)=0,COUNTBLANK('3B-Prestaties vloeren'!$L$3:$M$24)=0),IF(R335="Sprayen/conserveren",I335/VLOOKUP(E335,'3B-Prestaties vloeren'!$A$3:$M$24,12,FALSE),0)*(P335-1),0)</f>
        <v>0</v>
      </c>
      <c r="U335" s="386">
        <f>IF(AND(COUNTBLANK('3B-Prestaties vloeren'!$F$3:$H$24)=0,COUNTBLANK('3B-Prestaties vloeren'!$L$3:$M$24)=0),IF(R335="Sprayen/conserveren",I335/VLOOKUP(E335,'3B-Prestaties vloeren'!$A$3:$M$24,13,FALSE),0),0)</f>
        <v>0</v>
      </c>
      <c r="V335" s="386">
        <f>IF(AND(COUNTBLANK('3B-Prestaties vloeren'!$F$3:$H$24)=0,COUNTBLANK('3B-Prestaties vloeren'!$L$3:$M$24)=0),IF(R335="schrobben",I335/VLOOKUP(E335,'3B-Prestaties vloeren'!$A$3:$H$24,6,FALSE),0)*P335,0)</f>
        <v>0</v>
      </c>
      <c r="W335" s="386">
        <f>IF(AND(COUNTBLANK('3B-Prestaties vloeren'!$F$3:$H$24)=0,COUNTBLANK('3B-Prestaties vloeren'!$L$3:$M$24)=0),IF(R335="sproei-extractie",I335/VLOOKUP(E335,'3B-Prestaties vloeren'!$A$3:$H$24,8,FALSE),0)*P335,0)</f>
        <v>0</v>
      </c>
    </row>
    <row r="336" spans="1:23" ht="15" hidden="1">
      <c r="A336" s="378" t="s">
        <v>706</v>
      </c>
      <c r="B336" s="378" t="s">
        <v>678</v>
      </c>
      <c r="C336" s="378">
        <v>0</v>
      </c>
      <c r="D336" s="378" t="s">
        <v>290</v>
      </c>
      <c r="E336" s="378" t="s">
        <v>5</v>
      </c>
      <c r="F336" s="378" t="s">
        <v>647</v>
      </c>
      <c r="G336" s="378" t="str">
        <f>VLOOKUP(F336,'3B-Prestaties vloeren'!$A$28:$B$118,2,0)</f>
        <v>Hard onbehandeld</v>
      </c>
      <c r="H336" s="378"/>
      <c r="I336" s="378">
        <v>13.8</v>
      </c>
      <c r="J336" s="420" t="s">
        <v>749</v>
      </c>
      <c r="K336" s="426">
        <v>52</v>
      </c>
      <c r="L336" s="378">
        <f t="shared" si="15"/>
        <v>717.6</v>
      </c>
      <c r="M336" s="380" t="str">
        <f>IF(K336=0,0,IF(COUNTBLANK('3A-Prestatie'!$B$2:$I$22)=0,L336/VLOOKUP(E336,'3A-Prestatie'!$A$1:$M$22,VLOOKUP(K336,'3A-Prestatie'!$A$28:$B$34,2,FALSE),FALSE),"3A prestatie invullen"))</f>
        <v>3A prestatie invullen</v>
      </c>
      <c r="N336" s="380">
        <f t="shared" si="17"/>
        <v>0</v>
      </c>
      <c r="O336" s="381" t="str">
        <f>VLOOKUP(E336,'3A-Prestatie'!A:M,13,FALSE)</f>
        <v>B</v>
      </c>
      <c r="P336" s="382">
        <f>IF(R336="Niet van toepassing",0,VLOOKUP(E336,'3B-Prestaties vloeren'!$A$3:$D$24,IF(G336="Hard onbehandeld",2,IF(G336="Hard behandeld",3,4)),FALSE))</f>
        <v>4</v>
      </c>
      <c r="Q336" s="383">
        <f t="shared" si="16"/>
        <v>0</v>
      </c>
      <c r="R336" s="384" t="str">
        <f>IF(K336=0,"Niet van toepassing",IF(G336='3B-Prestaties vloeren'!$B$2,"Schrobben",IF(G336='3B-Prestaties vloeren'!$C$2,"Sprayen/conserveren",IF(G336='3B-Prestaties vloeren'!$D$2,"Sproei-extractie",0))))</f>
        <v>Schrobben</v>
      </c>
      <c r="S336" s="385">
        <f>IF('2-Tarieven'!$B$28=0,0,IF(M336=0,0,'2-Tarieven'!$B$28*M336))</f>
        <v>0</v>
      </c>
      <c r="T336" s="386">
        <f>IF(AND(COUNTBLANK('3B-Prestaties vloeren'!$F$3:$H$24)=0,COUNTBLANK('3B-Prestaties vloeren'!$L$3:$M$24)=0),IF(R336="Sprayen/conserveren",I336/VLOOKUP(E336,'3B-Prestaties vloeren'!$A$3:$M$24,12,FALSE),0)*(P336-1),0)</f>
        <v>0</v>
      </c>
      <c r="U336" s="386">
        <f>IF(AND(COUNTBLANK('3B-Prestaties vloeren'!$F$3:$H$24)=0,COUNTBLANK('3B-Prestaties vloeren'!$L$3:$M$24)=0),IF(R336="Sprayen/conserveren",I336/VLOOKUP(E336,'3B-Prestaties vloeren'!$A$3:$M$24,13,FALSE),0),0)</f>
        <v>0</v>
      </c>
      <c r="V336" s="386">
        <f>IF(AND(COUNTBLANK('3B-Prestaties vloeren'!$F$3:$H$24)=0,COUNTBLANK('3B-Prestaties vloeren'!$L$3:$M$24)=0),IF(R336="schrobben",I336/VLOOKUP(E336,'3B-Prestaties vloeren'!$A$3:$H$24,6,FALSE),0)*P336,0)</f>
        <v>0</v>
      </c>
      <c r="W336" s="386">
        <f>IF(AND(COUNTBLANK('3B-Prestaties vloeren'!$F$3:$H$24)=0,COUNTBLANK('3B-Prestaties vloeren'!$L$3:$M$24)=0),IF(R336="sproei-extractie",I336/VLOOKUP(E336,'3B-Prestaties vloeren'!$A$3:$H$24,8,FALSE),0)*P336,0)</f>
        <v>0</v>
      </c>
    </row>
    <row r="337" spans="1:23" ht="15" hidden="1">
      <c r="A337" s="378" t="s">
        <v>706</v>
      </c>
      <c r="B337" s="378" t="s">
        <v>678</v>
      </c>
      <c r="C337" s="378">
        <v>0</v>
      </c>
      <c r="D337" s="378" t="s">
        <v>291</v>
      </c>
      <c r="E337" s="378" t="s">
        <v>728</v>
      </c>
      <c r="F337" s="378" t="s">
        <v>647</v>
      </c>
      <c r="G337" s="378" t="str">
        <f>VLOOKUP(F337,'3B-Prestaties vloeren'!$A$28:$B$118,2,0)</f>
        <v>Hard onbehandeld</v>
      </c>
      <c r="H337" s="378" t="s">
        <v>287</v>
      </c>
      <c r="I337" s="378">
        <v>0.45</v>
      </c>
      <c r="J337" s="419"/>
      <c r="K337" s="426">
        <v>0</v>
      </c>
      <c r="L337" s="378">
        <f t="shared" si="15"/>
        <v>0</v>
      </c>
      <c r="M337" s="380">
        <f>IF(K337=0,0,IF(COUNTBLANK('3A-Prestatie'!$B$2:$I$22)=0,L337/VLOOKUP(E337,'3A-Prestatie'!$A$1:$M$22,VLOOKUP(K337,'3A-Prestatie'!$A$28:$B$34,2,FALSE),FALSE),"3A prestatie invullen"))</f>
        <v>0</v>
      </c>
      <c r="N337" s="380">
        <f t="shared" si="17"/>
        <v>0</v>
      </c>
      <c r="O337" s="381" t="str">
        <f>VLOOKUP(E337,'3A-Prestatie'!A:M,13,FALSE)</f>
        <v>N.v.t.</v>
      </c>
      <c r="P337" s="382">
        <f>IF(R337="Niet van toepassing",0,VLOOKUP(E337,'3B-Prestaties vloeren'!$A$3:$D$24,IF(G337="Hard onbehandeld",2,IF(G337="Hard behandeld",3,4)),FALSE))</f>
        <v>0</v>
      </c>
      <c r="Q337" s="383">
        <f t="shared" si="16"/>
        <v>0</v>
      </c>
      <c r="R337" s="384" t="str">
        <f>IF(K337=0,"Niet van toepassing",IF(G337='3B-Prestaties vloeren'!$B$2,"Schrobben",IF(G337='3B-Prestaties vloeren'!$C$2,"Sprayen/conserveren",IF(G337='3B-Prestaties vloeren'!$D$2,"Sproei-extractie",0))))</f>
        <v>Niet van toepassing</v>
      </c>
      <c r="S337" s="385">
        <f>IF('2-Tarieven'!$B$28=0,0,IF(M337=0,0,'2-Tarieven'!$B$28*M337))</f>
        <v>0</v>
      </c>
      <c r="T337" s="386">
        <f>IF(AND(COUNTBLANK('3B-Prestaties vloeren'!$F$3:$H$24)=0,COUNTBLANK('3B-Prestaties vloeren'!$L$3:$M$24)=0),IF(R337="Sprayen/conserveren",I337/VLOOKUP(E337,'3B-Prestaties vloeren'!$A$3:$M$24,12,FALSE),0)*(P337-1),0)</f>
        <v>0</v>
      </c>
      <c r="U337" s="386">
        <f>IF(AND(COUNTBLANK('3B-Prestaties vloeren'!$F$3:$H$24)=0,COUNTBLANK('3B-Prestaties vloeren'!$L$3:$M$24)=0),IF(R337="Sprayen/conserveren",I337/VLOOKUP(E337,'3B-Prestaties vloeren'!$A$3:$M$24,13,FALSE),0),0)</f>
        <v>0</v>
      </c>
      <c r="V337" s="386">
        <f>IF(AND(COUNTBLANK('3B-Prestaties vloeren'!$F$3:$H$24)=0,COUNTBLANK('3B-Prestaties vloeren'!$L$3:$M$24)=0),IF(R337="schrobben",I337/VLOOKUP(E337,'3B-Prestaties vloeren'!$A$3:$H$24,6,FALSE),0)*P337,0)</f>
        <v>0</v>
      </c>
      <c r="W337" s="386">
        <f>IF(AND(COUNTBLANK('3B-Prestaties vloeren'!$F$3:$H$24)=0,COUNTBLANK('3B-Prestaties vloeren'!$L$3:$M$24)=0),IF(R337="sproei-extractie",I337/VLOOKUP(E337,'3B-Prestaties vloeren'!$A$3:$H$24,8,FALSE),0)*P337,0)</f>
        <v>0</v>
      </c>
    </row>
    <row r="338" spans="1:23" ht="15" hidden="1">
      <c r="A338" s="378" t="s">
        <v>706</v>
      </c>
      <c r="B338" s="378" t="s">
        <v>678</v>
      </c>
      <c r="C338" s="378">
        <v>0</v>
      </c>
      <c r="D338" s="378" t="s">
        <v>292</v>
      </c>
      <c r="E338" s="378" t="s">
        <v>653</v>
      </c>
      <c r="F338" s="378" t="s">
        <v>647</v>
      </c>
      <c r="G338" s="378" t="str">
        <f>VLOOKUP(F338,'3B-Prestaties vloeren'!$A$28:$B$118,2,0)</f>
        <v>Hard onbehandeld</v>
      </c>
      <c r="H338" s="378" t="s">
        <v>330</v>
      </c>
      <c r="I338" s="378">
        <v>1.6</v>
      </c>
      <c r="J338" s="421" t="s">
        <v>511</v>
      </c>
      <c r="K338" s="426">
        <v>255</v>
      </c>
      <c r="L338" s="378">
        <f t="shared" si="15"/>
        <v>408</v>
      </c>
      <c r="M338" s="380" t="str">
        <f>IF(K338=0,0,IF(COUNTBLANK('3A-Prestatie'!$B$2:$I$22)=0,L338/VLOOKUP(E338,'3A-Prestatie'!$A$1:$M$22,VLOOKUP(K338,'3A-Prestatie'!$A$28:$B$34,2,FALSE),FALSE),"3A prestatie invullen"))</f>
        <v>3A prestatie invullen</v>
      </c>
      <c r="N338" s="380">
        <f t="shared" si="17"/>
        <v>0</v>
      </c>
      <c r="O338" s="381" t="str">
        <f>VLOOKUP(E338,'3A-Prestatie'!A:M,13,FALSE)</f>
        <v>S</v>
      </c>
      <c r="P338" s="382">
        <f>IF(R338="Niet van toepassing",0,VLOOKUP(E338,'3B-Prestaties vloeren'!$A$3:$D$24,IF(G338="Hard onbehandeld",2,IF(G338="Hard behandeld",3,4)),FALSE))</f>
        <v>52</v>
      </c>
      <c r="Q338" s="383">
        <f t="shared" si="16"/>
        <v>0</v>
      </c>
      <c r="R338" s="384" t="str">
        <f>IF(K338=0,"Niet van toepassing",IF(G338='3B-Prestaties vloeren'!$B$2,"Schrobben",IF(G338='3B-Prestaties vloeren'!$C$2,"Sprayen/conserveren",IF(G338='3B-Prestaties vloeren'!$D$2,"Sproei-extractie",0))))</f>
        <v>Schrobben</v>
      </c>
      <c r="S338" s="385">
        <f>IF('2-Tarieven'!$B$28=0,0,IF(M338=0,0,'2-Tarieven'!$B$28*M338))</f>
        <v>0</v>
      </c>
      <c r="T338" s="386">
        <f>IF(AND(COUNTBLANK('3B-Prestaties vloeren'!$F$3:$H$24)=0,COUNTBLANK('3B-Prestaties vloeren'!$L$3:$M$24)=0),IF(R338="Sprayen/conserveren",I338/VLOOKUP(E338,'3B-Prestaties vloeren'!$A$3:$M$24,12,FALSE),0)*(P338-1),0)</f>
        <v>0</v>
      </c>
      <c r="U338" s="386">
        <f>IF(AND(COUNTBLANK('3B-Prestaties vloeren'!$F$3:$H$24)=0,COUNTBLANK('3B-Prestaties vloeren'!$L$3:$M$24)=0),IF(R338="Sprayen/conserveren",I338/VLOOKUP(E338,'3B-Prestaties vloeren'!$A$3:$M$24,13,FALSE),0),0)</f>
        <v>0</v>
      </c>
      <c r="V338" s="386">
        <f>IF(AND(COUNTBLANK('3B-Prestaties vloeren'!$F$3:$H$24)=0,COUNTBLANK('3B-Prestaties vloeren'!$L$3:$M$24)=0),IF(R338="schrobben",I338/VLOOKUP(E338,'3B-Prestaties vloeren'!$A$3:$H$24,6,FALSE),0)*P338,0)</f>
        <v>0</v>
      </c>
      <c r="W338" s="386">
        <f>IF(AND(COUNTBLANK('3B-Prestaties vloeren'!$F$3:$H$24)=0,COUNTBLANK('3B-Prestaties vloeren'!$L$3:$M$24)=0),IF(R338="sproei-extractie",I338/VLOOKUP(E338,'3B-Prestaties vloeren'!$A$3:$H$24,8,FALSE),0)*P338,0)</f>
        <v>0</v>
      </c>
    </row>
    <row r="339" spans="1:23" ht="15" hidden="1">
      <c r="A339" s="378" t="s">
        <v>706</v>
      </c>
      <c r="B339" s="378" t="s">
        <v>678</v>
      </c>
      <c r="C339" s="378">
        <v>0</v>
      </c>
      <c r="D339" s="378" t="s">
        <v>293</v>
      </c>
      <c r="E339" s="378" t="s">
        <v>372</v>
      </c>
      <c r="F339" s="378" t="s">
        <v>647</v>
      </c>
      <c r="G339" s="378" t="str">
        <f>VLOOKUP(F339,'3B-Prestaties vloeren'!$A$28:$B$118,2,0)</f>
        <v>Hard onbehandeld</v>
      </c>
      <c r="H339" s="378"/>
      <c r="I339" s="378">
        <v>1.6</v>
      </c>
      <c r="J339" s="420" t="s">
        <v>749</v>
      </c>
      <c r="K339" s="426">
        <v>255</v>
      </c>
      <c r="L339" s="378">
        <f t="shared" si="15"/>
        <v>408</v>
      </c>
      <c r="M339" s="380" t="str">
        <f>IF(K339=0,0,IF(COUNTBLANK('3A-Prestatie'!$B$2:$I$22)=0,L339/VLOOKUP(E339,'3A-Prestatie'!$A$1:$M$22,VLOOKUP(K339,'3A-Prestatie'!$A$28:$B$34,2,FALSE),FALSE),"3A prestatie invullen"))</f>
        <v>3A prestatie invullen</v>
      </c>
      <c r="N339" s="380">
        <f t="shared" si="17"/>
        <v>0</v>
      </c>
      <c r="O339" s="381" t="str">
        <f>VLOOKUP(E339,'3A-Prestatie'!A:M,13,FALSE)</f>
        <v>V</v>
      </c>
      <c r="P339" s="382">
        <f>IF(R339="Niet van toepassing",0,VLOOKUP(E339,'3B-Prestaties vloeren'!$A$3:$D$24,IF(G339="Hard onbehandeld",2,IF(G339="Hard behandeld",3,4)),FALSE))</f>
        <v>12</v>
      </c>
      <c r="Q339" s="383">
        <f t="shared" si="16"/>
        <v>0</v>
      </c>
      <c r="R339" s="384" t="str">
        <f>IF(K339=0,"Niet van toepassing",IF(G339='3B-Prestaties vloeren'!$B$2,"Schrobben",IF(G339='3B-Prestaties vloeren'!$C$2,"Sprayen/conserveren",IF(G339='3B-Prestaties vloeren'!$D$2,"Sproei-extractie",0))))</f>
        <v>Schrobben</v>
      </c>
      <c r="S339" s="385">
        <f>IF('2-Tarieven'!$B$28=0,0,IF(M339=0,0,'2-Tarieven'!$B$28*M339))</f>
        <v>0</v>
      </c>
      <c r="T339" s="386">
        <f>IF(AND(COUNTBLANK('3B-Prestaties vloeren'!$F$3:$H$24)=0,COUNTBLANK('3B-Prestaties vloeren'!$L$3:$M$24)=0),IF(R339="Sprayen/conserveren",I339/VLOOKUP(E339,'3B-Prestaties vloeren'!$A$3:$M$24,12,FALSE),0)*(P339-1),0)</f>
        <v>0</v>
      </c>
      <c r="U339" s="386">
        <f>IF(AND(COUNTBLANK('3B-Prestaties vloeren'!$F$3:$H$24)=0,COUNTBLANK('3B-Prestaties vloeren'!$L$3:$M$24)=0),IF(R339="Sprayen/conserveren",I339/VLOOKUP(E339,'3B-Prestaties vloeren'!$A$3:$M$24,13,FALSE),0),0)</f>
        <v>0</v>
      </c>
      <c r="V339" s="386">
        <f>IF(AND(COUNTBLANK('3B-Prestaties vloeren'!$F$3:$H$24)=0,COUNTBLANK('3B-Prestaties vloeren'!$L$3:$M$24)=0),IF(R339="schrobben",I339/VLOOKUP(E339,'3B-Prestaties vloeren'!$A$3:$H$24,6,FALSE),0)*P339,0)</f>
        <v>0</v>
      </c>
      <c r="W339" s="386">
        <f>IF(AND(COUNTBLANK('3B-Prestaties vloeren'!$F$3:$H$24)=0,COUNTBLANK('3B-Prestaties vloeren'!$L$3:$M$24)=0),IF(R339="sproei-extractie",I339/VLOOKUP(E339,'3B-Prestaties vloeren'!$A$3:$H$24,8,FALSE),0)*P339,0)</f>
        <v>0</v>
      </c>
    </row>
    <row r="340" spans="1:23" ht="15" hidden="1">
      <c r="A340" s="378" t="s">
        <v>706</v>
      </c>
      <c r="B340" s="378" t="s">
        <v>678</v>
      </c>
      <c r="C340" s="378">
        <v>0</v>
      </c>
      <c r="D340" s="378" t="s">
        <v>294</v>
      </c>
      <c r="E340" s="378" t="s">
        <v>653</v>
      </c>
      <c r="F340" s="378" t="s">
        <v>647</v>
      </c>
      <c r="G340" s="378" t="str">
        <f>VLOOKUP(F340,'3B-Prestaties vloeren'!$A$28:$B$118,2,0)</f>
        <v>Hard onbehandeld</v>
      </c>
      <c r="H340" s="378" t="s">
        <v>330</v>
      </c>
      <c r="I340" s="378">
        <v>1.1000000000000001</v>
      </c>
      <c r="J340" s="421" t="s">
        <v>511</v>
      </c>
      <c r="K340" s="426">
        <v>255</v>
      </c>
      <c r="L340" s="378">
        <f t="shared" si="15"/>
        <v>280.5</v>
      </c>
      <c r="M340" s="380" t="str">
        <f>IF(K340=0,0,IF(COUNTBLANK('3A-Prestatie'!$B$2:$I$22)=0,L340/VLOOKUP(E340,'3A-Prestatie'!$A$1:$M$22,VLOOKUP(K340,'3A-Prestatie'!$A$28:$B$34,2,FALSE),FALSE),"3A prestatie invullen"))</f>
        <v>3A prestatie invullen</v>
      </c>
      <c r="N340" s="380">
        <f t="shared" si="17"/>
        <v>0</v>
      </c>
      <c r="O340" s="381" t="str">
        <f>VLOOKUP(E340,'3A-Prestatie'!A:M,13,FALSE)</f>
        <v>S</v>
      </c>
      <c r="P340" s="382">
        <f>IF(R340="Niet van toepassing",0,VLOOKUP(E340,'3B-Prestaties vloeren'!$A$3:$D$24,IF(G340="Hard onbehandeld",2,IF(G340="Hard behandeld",3,4)),FALSE))</f>
        <v>52</v>
      </c>
      <c r="Q340" s="383">
        <f t="shared" si="16"/>
        <v>0</v>
      </c>
      <c r="R340" s="384" t="str">
        <f>IF(K340=0,"Niet van toepassing",IF(G340='3B-Prestaties vloeren'!$B$2,"Schrobben",IF(G340='3B-Prestaties vloeren'!$C$2,"Sprayen/conserveren",IF(G340='3B-Prestaties vloeren'!$D$2,"Sproei-extractie",0))))</f>
        <v>Schrobben</v>
      </c>
      <c r="S340" s="385">
        <f>IF('2-Tarieven'!$B$28=0,0,IF(M340=0,0,'2-Tarieven'!$B$28*M340))</f>
        <v>0</v>
      </c>
      <c r="T340" s="386">
        <f>IF(AND(COUNTBLANK('3B-Prestaties vloeren'!$F$3:$H$24)=0,COUNTBLANK('3B-Prestaties vloeren'!$L$3:$M$24)=0),IF(R340="Sprayen/conserveren",I340/VLOOKUP(E340,'3B-Prestaties vloeren'!$A$3:$M$24,12,FALSE),0)*(P340-1),0)</f>
        <v>0</v>
      </c>
      <c r="U340" s="386">
        <f>IF(AND(COUNTBLANK('3B-Prestaties vloeren'!$F$3:$H$24)=0,COUNTBLANK('3B-Prestaties vloeren'!$L$3:$M$24)=0),IF(R340="Sprayen/conserveren",I340/VLOOKUP(E340,'3B-Prestaties vloeren'!$A$3:$M$24,13,FALSE),0),0)</f>
        <v>0</v>
      </c>
      <c r="V340" s="386">
        <f>IF(AND(COUNTBLANK('3B-Prestaties vloeren'!$F$3:$H$24)=0,COUNTBLANK('3B-Prestaties vloeren'!$L$3:$M$24)=0),IF(R340="schrobben",I340/VLOOKUP(E340,'3B-Prestaties vloeren'!$A$3:$H$24,6,FALSE),0)*P340,0)</f>
        <v>0</v>
      </c>
      <c r="W340" s="386">
        <f>IF(AND(COUNTBLANK('3B-Prestaties vloeren'!$F$3:$H$24)=0,COUNTBLANK('3B-Prestaties vloeren'!$L$3:$M$24)=0),IF(R340="sproei-extractie",I340/VLOOKUP(E340,'3B-Prestaties vloeren'!$A$3:$H$24,8,FALSE),0)*P340,0)</f>
        <v>0</v>
      </c>
    </row>
    <row r="341" spans="1:23" ht="15" hidden="1">
      <c r="A341" s="378" t="s">
        <v>706</v>
      </c>
      <c r="B341" s="378" t="s">
        <v>678</v>
      </c>
      <c r="C341" s="378">
        <v>0</v>
      </c>
      <c r="D341" s="378" t="s">
        <v>295</v>
      </c>
      <c r="E341" s="378" t="s">
        <v>302</v>
      </c>
      <c r="F341" s="378" t="s">
        <v>647</v>
      </c>
      <c r="G341" s="378" t="str">
        <f>VLOOKUP(F341,'3B-Prestaties vloeren'!$A$28:$B$118,2,0)</f>
        <v>Hard onbehandeld</v>
      </c>
      <c r="H341" s="378"/>
      <c r="I341" s="378">
        <v>1</v>
      </c>
      <c r="J341" s="419"/>
      <c r="K341" s="426">
        <v>0</v>
      </c>
      <c r="L341" s="378">
        <f t="shared" si="15"/>
        <v>0</v>
      </c>
      <c r="M341" s="380">
        <f>IF(K341=0,0,IF(COUNTBLANK('3A-Prestatie'!$B$2:$I$22)=0,L341/VLOOKUP(E341,'3A-Prestatie'!$A$1:$M$22,VLOOKUP(K341,'3A-Prestatie'!$A$28:$B$34,2,FALSE),FALSE),"3A prestatie invullen"))</f>
        <v>0</v>
      </c>
      <c r="N341" s="380">
        <f t="shared" si="17"/>
        <v>0</v>
      </c>
      <c r="O341" s="381" t="str">
        <f>VLOOKUP(E341,'3A-Prestatie'!A:M,13,FALSE)</f>
        <v>S</v>
      </c>
      <c r="P341" s="382">
        <f>IF(R341="Niet van toepassing",0,VLOOKUP(E341,'3B-Prestaties vloeren'!$A$3:$D$24,IF(G341="Hard onbehandeld",2,IF(G341="Hard behandeld",3,4)),FALSE))</f>
        <v>0</v>
      </c>
      <c r="Q341" s="383">
        <f t="shared" si="16"/>
        <v>0</v>
      </c>
      <c r="R341" s="384" t="str">
        <f>IF(K341=0,"Niet van toepassing",IF(G341='3B-Prestaties vloeren'!$B$2,"Schrobben",IF(G341='3B-Prestaties vloeren'!$C$2,"Sprayen/conserveren",IF(G341='3B-Prestaties vloeren'!$D$2,"Sproei-extractie",0))))</f>
        <v>Niet van toepassing</v>
      </c>
      <c r="S341" s="385">
        <f>IF('2-Tarieven'!$B$28=0,0,IF(M341=0,0,'2-Tarieven'!$B$28*M341))</f>
        <v>0</v>
      </c>
      <c r="T341" s="386">
        <f>IF(AND(COUNTBLANK('3B-Prestaties vloeren'!$F$3:$H$24)=0,COUNTBLANK('3B-Prestaties vloeren'!$L$3:$M$24)=0),IF(R341="Sprayen/conserveren",I341/VLOOKUP(E341,'3B-Prestaties vloeren'!$A$3:$M$24,12,FALSE),0)*(P341-1),0)</f>
        <v>0</v>
      </c>
      <c r="U341" s="386">
        <f>IF(AND(COUNTBLANK('3B-Prestaties vloeren'!$F$3:$H$24)=0,COUNTBLANK('3B-Prestaties vloeren'!$L$3:$M$24)=0),IF(R341="Sprayen/conserveren",I341/VLOOKUP(E341,'3B-Prestaties vloeren'!$A$3:$M$24,13,FALSE),0),0)</f>
        <v>0</v>
      </c>
      <c r="V341" s="386">
        <f>IF(AND(COUNTBLANK('3B-Prestaties vloeren'!$F$3:$H$24)=0,COUNTBLANK('3B-Prestaties vloeren'!$L$3:$M$24)=0),IF(R341="schrobben",I341/VLOOKUP(E341,'3B-Prestaties vloeren'!$A$3:$H$24,6,FALSE),0)*P341,0)</f>
        <v>0</v>
      </c>
      <c r="W341" s="386">
        <f>IF(AND(COUNTBLANK('3B-Prestaties vloeren'!$F$3:$H$24)=0,COUNTBLANK('3B-Prestaties vloeren'!$L$3:$M$24)=0),IF(R341="sproei-extractie",I341/VLOOKUP(E341,'3B-Prestaties vloeren'!$A$3:$H$24,8,FALSE),0)*P341,0)</f>
        <v>0</v>
      </c>
    </row>
    <row r="342" spans="1:23" ht="15" hidden="1">
      <c r="A342" s="378" t="s">
        <v>706</v>
      </c>
      <c r="B342" s="378" t="s">
        <v>678</v>
      </c>
      <c r="C342" s="378">
        <v>0</v>
      </c>
      <c r="D342" s="378" t="s">
        <v>296</v>
      </c>
      <c r="E342" s="378" t="s">
        <v>653</v>
      </c>
      <c r="F342" s="378" t="s">
        <v>647</v>
      </c>
      <c r="G342" s="378" t="str">
        <f>VLOOKUP(F342,'3B-Prestaties vloeren'!$A$28:$B$118,2,0)</f>
        <v>Hard onbehandeld</v>
      </c>
      <c r="H342" s="378" t="s">
        <v>330</v>
      </c>
      <c r="I342" s="378">
        <v>1.1000000000000001</v>
      </c>
      <c r="J342" s="421" t="s">
        <v>511</v>
      </c>
      <c r="K342" s="426">
        <v>255</v>
      </c>
      <c r="L342" s="378">
        <f t="shared" si="15"/>
        <v>280.5</v>
      </c>
      <c r="M342" s="380" t="str">
        <f>IF(K342=0,0,IF(COUNTBLANK('3A-Prestatie'!$B$2:$I$22)=0,L342/VLOOKUP(E342,'3A-Prestatie'!$A$1:$M$22,VLOOKUP(K342,'3A-Prestatie'!$A$28:$B$34,2,FALSE),FALSE),"3A prestatie invullen"))</f>
        <v>3A prestatie invullen</v>
      </c>
      <c r="N342" s="380">
        <f t="shared" si="17"/>
        <v>0</v>
      </c>
      <c r="O342" s="381" t="str">
        <f>VLOOKUP(E342,'3A-Prestatie'!A:M,13,FALSE)</f>
        <v>S</v>
      </c>
      <c r="P342" s="382">
        <f>IF(R342="Niet van toepassing",0,VLOOKUP(E342,'3B-Prestaties vloeren'!$A$3:$D$24,IF(G342="Hard onbehandeld",2,IF(G342="Hard behandeld",3,4)),FALSE))</f>
        <v>52</v>
      </c>
      <c r="Q342" s="383">
        <f t="shared" si="16"/>
        <v>0</v>
      </c>
      <c r="R342" s="384" t="str">
        <f>IF(K342=0,"Niet van toepassing",IF(G342='3B-Prestaties vloeren'!$B$2,"Schrobben",IF(G342='3B-Prestaties vloeren'!$C$2,"Sprayen/conserveren",IF(G342='3B-Prestaties vloeren'!$D$2,"Sproei-extractie",0))))</f>
        <v>Schrobben</v>
      </c>
      <c r="S342" s="385">
        <f>IF('2-Tarieven'!$B$28=0,0,IF(M342=0,0,'2-Tarieven'!$B$28*M342))</f>
        <v>0</v>
      </c>
      <c r="T342" s="386">
        <f>IF(AND(COUNTBLANK('3B-Prestaties vloeren'!$F$3:$H$24)=0,COUNTBLANK('3B-Prestaties vloeren'!$L$3:$M$24)=0),IF(R342="Sprayen/conserveren",I342/VLOOKUP(E342,'3B-Prestaties vloeren'!$A$3:$M$24,12,FALSE),0)*(P342-1),0)</f>
        <v>0</v>
      </c>
      <c r="U342" s="386">
        <f>IF(AND(COUNTBLANK('3B-Prestaties vloeren'!$F$3:$H$24)=0,COUNTBLANK('3B-Prestaties vloeren'!$L$3:$M$24)=0),IF(R342="Sprayen/conserveren",I342/VLOOKUP(E342,'3B-Prestaties vloeren'!$A$3:$M$24,13,FALSE),0),0)</f>
        <v>0</v>
      </c>
      <c r="V342" s="386">
        <f>IF(AND(COUNTBLANK('3B-Prestaties vloeren'!$F$3:$H$24)=0,COUNTBLANK('3B-Prestaties vloeren'!$L$3:$M$24)=0),IF(R342="schrobben",I342/VLOOKUP(E342,'3B-Prestaties vloeren'!$A$3:$H$24,6,FALSE),0)*P342,0)</f>
        <v>0</v>
      </c>
      <c r="W342" s="386">
        <f>IF(AND(COUNTBLANK('3B-Prestaties vloeren'!$F$3:$H$24)=0,COUNTBLANK('3B-Prestaties vloeren'!$L$3:$M$24)=0),IF(R342="sproei-extractie",I342/VLOOKUP(E342,'3B-Prestaties vloeren'!$A$3:$H$24,8,FALSE),0)*P342,0)</f>
        <v>0</v>
      </c>
    </row>
    <row r="343" spans="1:23" ht="15" hidden="1">
      <c r="A343" s="378" t="s">
        <v>706</v>
      </c>
      <c r="B343" s="378" t="s">
        <v>678</v>
      </c>
      <c r="C343" s="378">
        <v>0</v>
      </c>
      <c r="D343" s="378" t="s">
        <v>297</v>
      </c>
      <c r="E343" s="378" t="s">
        <v>6</v>
      </c>
      <c r="F343" s="378" t="s">
        <v>647</v>
      </c>
      <c r="G343" s="378" t="str">
        <f>VLOOKUP(F343,'3B-Prestaties vloeren'!$A$28:$B$118,2,0)</f>
        <v>Hard onbehandeld</v>
      </c>
      <c r="H343" s="378"/>
      <c r="I343" s="378">
        <v>4.3</v>
      </c>
      <c r="J343" s="420" t="s">
        <v>749</v>
      </c>
      <c r="K343" s="426">
        <v>52</v>
      </c>
      <c r="L343" s="378">
        <f t="shared" si="15"/>
        <v>223.6</v>
      </c>
      <c r="M343" s="380" t="str">
        <f>IF(K343=0,0,IF(COUNTBLANK('3A-Prestatie'!$B$2:$I$22)=0,L343/VLOOKUP(E343,'3A-Prestatie'!$A$1:$M$22,VLOOKUP(K343,'3A-Prestatie'!$A$28:$B$34,2,FALSE),FALSE),"3A prestatie invullen"))</f>
        <v>3A prestatie invullen</v>
      </c>
      <c r="N343" s="380">
        <f t="shared" si="17"/>
        <v>0</v>
      </c>
      <c r="O343" s="381" t="str">
        <f>VLOOKUP(E343,'3A-Prestatie'!A:M,13,FALSE)</f>
        <v>V</v>
      </c>
      <c r="P343" s="382">
        <f>IF(R343="Niet van toepassing",0,VLOOKUP(E343,'3B-Prestaties vloeren'!$A$3:$D$24,IF(G343="Hard onbehandeld",2,IF(G343="Hard behandeld",3,4)),FALSE))</f>
        <v>4</v>
      </c>
      <c r="Q343" s="383">
        <f t="shared" si="16"/>
        <v>0</v>
      </c>
      <c r="R343" s="384" t="str">
        <f>IF(K343=0,"Niet van toepassing",IF(G343='3B-Prestaties vloeren'!$B$2,"Schrobben",IF(G343='3B-Prestaties vloeren'!$C$2,"Sprayen/conserveren",IF(G343='3B-Prestaties vloeren'!$D$2,"Sproei-extractie",0))))</f>
        <v>Schrobben</v>
      </c>
      <c r="S343" s="385">
        <f>IF('2-Tarieven'!$B$28=0,0,IF(M343=0,0,'2-Tarieven'!$B$28*M343))</f>
        <v>0</v>
      </c>
      <c r="T343" s="386">
        <f>IF(AND(COUNTBLANK('3B-Prestaties vloeren'!$F$3:$H$24)=0,COUNTBLANK('3B-Prestaties vloeren'!$L$3:$M$24)=0),IF(R343="Sprayen/conserveren",I343/VLOOKUP(E343,'3B-Prestaties vloeren'!$A$3:$M$24,12,FALSE),0)*(P343-1),0)</f>
        <v>0</v>
      </c>
      <c r="U343" s="386">
        <f>IF(AND(COUNTBLANK('3B-Prestaties vloeren'!$F$3:$H$24)=0,COUNTBLANK('3B-Prestaties vloeren'!$L$3:$M$24)=0),IF(R343="Sprayen/conserveren",I343/VLOOKUP(E343,'3B-Prestaties vloeren'!$A$3:$M$24,13,FALSE),0),0)</f>
        <v>0</v>
      </c>
      <c r="V343" s="386">
        <f>IF(AND(COUNTBLANK('3B-Prestaties vloeren'!$F$3:$H$24)=0,COUNTBLANK('3B-Prestaties vloeren'!$L$3:$M$24)=0),IF(R343="schrobben",I343/VLOOKUP(E343,'3B-Prestaties vloeren'!$A$3:$H$24,6,FALSE),0)*P343,0)</f>
        <v>0</v>
      </c>
      <c r="W343" s="386">
        <f>IF(AND(COUNTBLANK('3B-Prestaties vloeren'!$F$3:$H$24)=0,COUNTBLANK('3B-Prestaties vloeren'!$L$3:$M$24)=0),IF(R343="sproei-extractie",I343/VLOOKUP(E343,'3B-Prestaties vloeren'!$A$3:$H$24,8,FALSE),0)*P343,0)</f>
        <v>0</v>
      </c>
    </row>
    <row r="344" spans="1:23" ht="15" hidden="1">
      <c r="A344" s="378" t="s">
        <v>706</v>
      </c>
      <c r="B344" s="378" t="s">
        <v>678</v>
      </c>
      <c r="C344" s="378">
        <v>0</v>
      </c>
      <c r="D344" s="378" t="s">
        <v>288</v>
      </c>
      <c r="E344" s="378" t="s">
        <v>728</v>
      </c>
      <c r="F344" s="378" t="s">
        <v>695</v>
      </c>
      <c r="G344" s="378" t="str">
        <f>VLOOKUP(F344,'3B-Prestaties vloeren'!$A$28:$B$118,2,0)</f>
        <v>N.v.t.</v>
      </c>
      <c r="H344" s="378" t="s">
        <v>707</v>
      </c>
      <c r="I344" s="378">
        <v>25</v>
      </c>
      <c r="J344" s="422"/>
      <c r="K344" s="426">
        <v>0</v>
      </c>
      <c r="L344" s="378">
        <f t="shared" si="15"/>
        <v>0</v>
      </c>
      <c r="M344" s="380">
        <f>IF(K344=0,0,IF(COUNTBLANK('3A-Prestatie'!$B$2:$I$22)=0,L344/VLOOKUP(E344,'3A-Prestatie'!$A$1:$M$22,VLOOKUP(K344,'3A-Prestatie'!$A$28:$B$34,2,FALSE),FALSE),"3A prestatie invullen"))</f>
        <v>0</v>
      </c>
      <c r="N344" s="380">
        <f t="shared" si="17"/>
        <v>0</v>
      </c>
      <c r="O344" s="381" t="str">
        <f>VLOOKUP(E344,'3A-Prestatie'!A:M,13,FALSE)</f>
        <v>N.v.t.</v>
      </c>
      <c r="P344" s="382">
        <f>IF(R344="Niet van toepassing",0,VLOOKUP(E344,'3B-Prestaties vloeren'!$A$3:$D$24,IF(G344="Hard onbehandeld",2,IF(G344="Hard behandeld",3,4)),FALSE))</f>
        <v>0</v>
      </c>
      <c r="Q344" s="383">
        <f t="shared" si="16"/>
        <v>0</v>
      </c>
      <c r="R344" s="384" t="str">
        <f>IF(K344=0,"Niet van toepassing",IF(G344='3B-Prestaties vloeren'!$B$2,"Schrobben",IF(G344='3B-Prestaties vloeren'!$C$2,"Sprayen/conserveren",IF(G344='3B-Prestaties vloeren'!$D$2,"Sproei-extractie",0))))</f>
        <v>Niet van toepassing</v>
      </c>
      <c r="S344" s="385">
        <f>IF('2-Tarieven'!$B$28=0,0,IF(M344=0,0,'2-Tarieven'!$B$28*M344))</f>
        <v>0</v>
      </c>
      <c r="T344" s="386">
        <f>IF(AND(COUNTBLANK('3B-Prestaties vloeren'!$F$3:$H$24)=0,COUNTBLANK('3B-Prestaties vloeren'!$L$3:$M$24)=0),IF(R344="Sprayen/conserveren",I344/VLOOKUP(E344,'3B-Prestaties vloeren'!$A$3:$M$24,12,FALSE),0)*(P344-1),0)</f>
        <v>0</v>
      </c>
      <c r="U344" s="386">
        <f>IF(AND(COUNTBLANK('3B-Prestaties vloeren'!$F$3:$H$24)=0,COUNTBLANK('3B-Prestaties vloeren'!$L$3:$M$24)=0),IF(R344="Sprayen/conserveren",I344/VLOOKUP(E344,'3B-Prestaties vloeren'!$A$3:$M$24,13,FALSE),0),0)</f>
        <v>0</v>
      </c>
      <c r="V344" s="386">
        <f>IF(AND(COUNTBLANK('3B-Prestaties vloeren'!$F$3:$H$24)=0,COUNTBLANK('3B-Prestaties vloeren'!$L$3:$M$24)=0),IF(R344="schrobben",I344/VLOOKUP(E344,'3B-Prestaties vloeren'!$A$3:$H$24,6,FALSE),0)*P344,0)</f>
        <v>0</v>
      </c>
      <c r="W344" s="386">
        <f>IF(AND(COUNTBLANK('3B-Prestaties vloeren'!$F$3:$H$24)=0,COUNTBLANK('3B-Prestaties vloeren'!$L$3:$M$24)=0),IF(R344="sproei-extractie",I344/VLOOKUP(E344,'3B-Prestaties vloeren'!$A$3:$H$24,8,FALSE),0)*P344,0)</f>
        <v>0</v>
      </c>
    </row>
    <row r="345" spans="1:23" ht="15" hidden="1">
      <c r="A345" s="378" t="s">
        <v>706</v>
      </c>
      <c r="B345" s="378" t="s">
        <v>678</v>
      </c>
      <c r="C345" s="378">
        <v>0</v>
      </c>
      <c r="D345" s="378" t="s">
        <v>289</v>
      </c>
      <c r="E345" s="378" t="s">
        <v>728</v>
      </c>
      <c r="F345" s="378" t="s">
        <v>695</v>
      </c>
      <c r="G345" s="378" t="str">
        <f>VLOOKUP(F345,'3B-Prestaties vloeren'!$A$28:$B$118,2,0)</f>
        <v>N.v.t.</v>
      </c>
      <c r="H345" s="378" t="s">
        <v>470</v>
      </c>
      <c r="I345" s="378">
        <v>320</v>
      </c>
      <c r="J345" s="419"/>
      <c r="K345" s="426">
        <v>0</v>
      </c>
      <c r="L345" s="378">
        <f t="shared" si="15"/>
        <v>0</v>
      </c>
      <c r="M345" s="380">
        <f>IF(K345=0,0,IF(COUNTBLANK('3A-Prestatie'!$B$2:$I$22)=0,L345/VLOOKUP(E345,'3A-Prestatie'!$A$1:$M$22,VLOOKUP(K345,'3A-Prestatie'!$A$28:$B$34,2,FALSE),FALSE),"3A prestatie invullen"))</f>
        <v>0</v>
      </c>
      <c r="N345" s="380">
        <f t="shared" si="17"/>
        <v>0</v>
      </c>
      <c r="O345" s="381" t="str">
        <f>VLOOKUP(E345,'3A-Prestatie'!A:M,13,FALSE)</f>
        <v>N.v.t.</v>
      </c>
      <c r="P345" s="382">
        <f>IF(R345="Niet van toepassing",0,VLOOKUP(E345,'3B-Prestaties vloeren'!$A$3:$D$24,IF(G345="Hard onbehandeld",2,IF(G345="Hard behandeld",3,4)),FALSE))</f>
        <v>0</v>
      </c>
      <c r="Q345" s="383">
        <f t="shared" si="16"/>
        <v>0</v>
      </c>
      <c r="R345" s="384" t="str">
        <f>IF(K345=0,"Niet van toepassing",IF(G345='3B-Prestaties vloeren'!$B$2,"Schrobben",IF(G345='3B-Prestaties vloeren'!$C$2,"Sprayen/conserveren",IF(G345='3B-Prestaties vloeren'!$D$2,"Sproei-extractie",0))))</f>
        <v>Niet van toepassing</v>
      </c>
      <c r="S345" s="385">
        <f>IF('2-Tarieven'!$B$28=0,0,IF(M345=0,0,'2-Tarieven'!$B$28*M345))</f>
        <v>0</v>
      </c>
      <c r="T345" s="386">
        <f>IF(AND(COUNTBLANK('3B-Prestaties vloeren'!$F$3:$H$24)=0,COUNTBLANK('3B-Prestaties vloeren'!$L$3:$M$24)=0),IF(R345="Sprayen/conserveren",I345/VLOOKUP(E345,'3B-Prestaties vloeren'!$A$3:$M$24,12,FALSE),0)*(P345-1),0)</f>
        <v>0</v>
      </c>
      <c r="U345" s="386">
        <f>IF(AND(COUNTBLANK('3B-Prestaties vloeren'!$F$3:$H$24)=0,COUNTBLANK('3B-Prestaties vloeren'!$L$3:$M$24)=0),IF(R345="Sprayen/conserveren",I345/VLOOKUP(E345,'3B-Prestaties vloeren'!$A$3:$M$24,13,FALSE),0),0)</f>
        <v>0</v>
      </c>
      <c r="V345" s="386">
        <f>IF(AND(COUNTBLANK('3B-Prestaties vloeren'!$F$3:$H$24)=0,COUNTBLANK('3B-Prestaties vloeren'!$L$3:$M$24)=0),IF(R345="schrobben",I345/VLOOKUP(E345,'3B-Prestaties vloeren'!$A$3:$H$24,6,FALSE),0)*P345,0)</f>
        <v>0</v>
      </c>
      <c r="W345" s="386">
        <f>IF(AND(COUNTBLANK('3B-Prestaties vloeren'!$F$3:$H$24)=0,COUNTBLANK('3B-Prestaties vloeren'!$L$3:$M$24)=0),IF(R345="sproei-extractie",I345/VLOOKUP(E345,'3B-Prestaties vloeren'!$A$3:$H$24,8,FALSE),0)*P345,0)</f>
        <v>0</v>
      </c>
    </row>
    <row r="346" spans="1:23" ht="15" hidden="1">
      <c r="A346" s="378" t="s">
        <v>706</v>
      </c>
      <c r="B346" s="378" t="s">
        <v>678</v>
      </c>
      <c r="C346" s="378">
        <v>0</v>
      </c>
      <c r="D346" s="378" t="s">
        <v>290</v>
      </c>
      <c r="E346" s="378" t="s">
        <v>728</v>
      </c>
      <c r="F346" s="378" t="s">
        <v>695</v>
      </c>
      <c r="G346" s="378" t="str">
        <f>VLOOKUP(F346,'3B-Prestaties vloeren'!$A$28:$B$118,2,0)</f>
        <v>N.v.t.</v>
      </c>
      <c r="H346" s="378" t="s">
        <v>705</v>
      </c>
      <c r="I346" s="378">
        <v>330</v>
      </c>
      <c r="J346" s="422"/>
      <c r="K346" s="426">
        <v>0</v>
      </c>
      <c r="L346" s="378">
        <f t="shared" si="15"/>
        <v>0</v>
      </c>
      <c r="M346" s="380">
        <f>IF(K346=0,0,IF(COUNTBLANK('3A-Prestatie'!$B$2:$I$22)=0,L346/VLOOKUP(E346,'3A-Prestatie'!$A$1:$M$22,VLOOKUP(K346,'3A-Prestatie'!$A$28:$B$34,2,FALSE),FALSE),"3A prestatie invullen"))</f>
        <v>0</v>
      </c>
      <c r="N346" s="380">
        <f t="shared" si="17"/>
        <v>0</v>
      </c>
      <c r="O346" s="381" t="str">
        <f>VLOOKUP(E346,'3A-Prestatie'!A:M,13,FALSE)</f>
        <v>N.v.t.</v>
      </c>
      <c r="P346" s="382">
        <f>IF(R346="Niet van toepassing",0,VLOOKUP(E346,'3B-Prestaties vloeren'!$A$3:$D$24,IF(G346="Hard onbehandeld",2,IF(G346="Hard behandeld",3,4)),FALSE))</f>
        <v>0</v>
      </c>
      <c r="Q346" s="383">
        <f t="shared" si="16"/>
        <v>0</v>
      </c>
      <c r="R346" s="384" t="str">
        <f>IF(K346=0,"Niet van toepassing",IF(G346='3B-Prestaties vloeren'!$B$2,"Schrobben",IF(G346='3B-Prestaties vloeren'!$C$2,"Sprayen/conserveren",IF(G346='3B-Prestaties vloeren'!$D$2,"Sproei-extractie",0))))</f>
        <v>Niet van toepassing</v>
      </c>
      <c r="S346" s="385">
        <f>IF('2-Tarieven'!$B$28=0,0,IF(M346=0,0,'2-Tarieven'!$B$28*M346))</f>
        <v>0</v>
      </c>
      <c r="T346" s="386">
        <f>IF(AND(COUNTBLANK('3B-Prestaties vloeren'!$F$3:$H$24)=0,COUNTBLANK('3B-Prestaties vloeren'!$L$3:$M$24)=0),IF(R346="Sprayen/conserveren",I346/VLOOKUP(E346,'3B-Prestaties vloeren'!$A$3:$M$24,12,FALSE),0)*(P346-1),0)</f>
        <v>0</v>
      </c>
      <c r="U346" s="386">
        <f>IF(AND(COUNTBLANK('3B-Prestaties vloeren'!$F$3:$H$24)=0,COUNTBLANK('3B-Prestaties vloeren'!$L$3:$M$24)=0),IF(R346="Sprayen/conserveren",I346/VLOOKUP(E346,'3B-Prestaties vloeren'!$A$3:$M$24,13,FALSE),0),0)</f>
        <v>0</v>
      </c>
      <c r="V346" s="386">
        <f>IF(AND(COUNTBLANK('3B-Prestaties vloeren'!$F$3:$H$24)=0,COUNTBLANK('3B-Prestaties vloeren'!$L$3:$M$24)=0),IF(R346="schrobben",I346/VLOOKUP(E346,'3B-Prestaties vloeren'!$A$3:$H$24,6,FALSE),0)*P346,0)</f>
        <v>0</v>
      </c>
      <c r="W346" s="386">
        <f>IF(AND(COUNTBLANK('3B-Prestaties vloeren'!$F$3:$H$24)=0,COUNTBLANK('3B-Prestaties vloeren'!$L$3:$M$24)=0),IF(R346="sproei-extractie",I346/VLOOKUP(E346,'3B-Prestaties vloeren'!$A$3:$H$24,8,FALSE),0)*P346,0)</f>
        <v>0</v>
      </c>
    </row>
    <row r="347" spans="1:23" ht="15" hidden="1">
      <c r="A347" s="378" t="s">
        <v>706</v>
      </c>
      <c r="B347" s="378" t="s">
        <v>678</v>
      </c>
      <c r="C347" s="378">
        <v>0</v>
      </c>
      <c r="D347" s="378" t="s">
        <v>708</v>
      </c>
      <c r="E347" s="378" t="s">
        <v>728</v>
      </c>
      <c r="F347" s="378" t="s">
        <v>695</v>
      </c>
      <c r="G347" s="378" t="str">
        <f>VLOOKUP(F347,'3B-Prestaties vloeren'!$A$28:$B$118,2,0)</f>
        <v>N.v.t.</v>
      </c>
      <c r="H347" s="378" t="s">
        <v>705</v>
      </c>
      <c r="I347" s="378">
        <v>1020</v>
      </c>
      <c r="J347" s="419"/>
      <c r="K347" s="426">
        <v>0</v>
      </c>
      <c r="L347" s="378">
        <f t="shared" si="15"/>
        <v>0</v>
      </c>
      <c r="M347" s="380">
        <f>IF(K347=0,0,IF(COUNTBLANK('3A-Prestatie'!$B$2:$I$22)=0,L347/VLOOKUP(E347,'3A-Prestatie'!$A$1:$M$22,VLOOKUP(K347,'3A-Prestatie'!$A$28:$B$34,2,FALSE),FALSE),"3A prestatie invullen"))</f>
        <v>0</v>
      </c>
      <c r="N347" s="380">
        <f t="shared" si="17"/>
        <v>0</v>
      </c>
      <c r="O347" s="381" t="str">
        <f>VLOOKUP(E347,'3A-Prestatie'!A:M,13,FALSE)</f>
        <v>N.v.t.</v>
      </c>
      <c r="P347" s="382">
        <f>IF(R347="Niet van toepassing",0,VLOOKUP(E347,'3B-Prestaties vloeren'!$A$3:$D$24,IF(G347="Hard onbehandeld",2,IF(G347="Hard behandeld",3,4)),FALSE))</f>
        <v>0</v>
      </c>
      <c r="Q347" s="383">
        <f t="shared" si="16"/>
        <v>0</v>
      </c>
      <c r="R347" s="384" t="str">
        <f>IF(K347=0,"Niet van toepassing",IF(G347='3B-Prestaties vloeren'!$B$2,"Schrobben",IF(G347='3B-Prestaties vloeren'!$C$2,"Sprayen/conserveren",IF(G347='3B-Prestaties vloeren'!$D$2,"Sproei-extractie",0))))</f>
        <v>Niet van toepassing</v>
      </c>
      <c r="S347" s="385">
        <f>IF('2-Tarieven'!$B$28=0,0,IF(M347=0,0,'2-Tarieven'!$B$28*M347))</f>
        <v>0</v>
      </c>
      <c r="T347" s="386">
        <f>IF(AND(COUNTBLANK('3B-Prestaties vloeren'!$F$3:$H$24)=0,COUNTBLANK('3B-Prestaties vloeren'!$L$3:$M$24)=0),IF(R347="Sprayen/conserveren",I347/VLOOKUP(E347,'3B-Prestaties vloeren'!$A$3:$M$24,12,FALSE),0)*(P347-1),0)</f>
        <v>0</v>
      </c>
      <c r="U347" s="386">
        <f>IF(AND(COUNTBLANK('3B-Prestaties vloeren'!$F$3:$H$24)=0,COUNTBLANK('3B-Prestaties vloeren'!$L$3:$M$24)=0),IF(R347="Sprayen/conserveren",I347/VLOOKUP(E347,'3B-Prestaties vloeren'!$A$3:$M$24,13,FALSE),0),0)</f>
        <v>0</v>
      </c>
      <c r="V347" s="386">
        <f>IF(AND(COUNTBLANK('3B-Prestaties vloeren'!$F$3:$H$24)=0,COUNTBLANK('3B-Prestaties vloeren'!$L$3:$M$24)=0),IF(R347="schrobben",I347/VLOOKUP(E347,'3B-Prestaties vloeren'!$A$3:$H$24,6,FALSE),0)*P347,0)</f>
        <v>0</v>
      </c>
      <c r="W347" s="386">
        <f>IF(AND(COUNTBLANK('3B-Prestaties vloeren'!$F$3:$H$24)=0,COUNTBLANK('3B-Prestaties vloeren'!$L$3:$M$24)=0),IF(R347="sproei-extractie",I347/VLOOKUP(E347,'3B-Prestaties vloeren'!$A$3:$H$24,8,FALSE),0)*P347,0)</f>
        <v>0</v>
      </c>
    </row>
    <row r="348" spans="1:23" ht="15" hidden="1">
      <c r="A348" s="378" t="s">
        <v>706</v>
      </c>
      <c r="B348" s="378" t="s">
        <v>678</v>
      </c>
      <c r="C348" s="378">
        <v>0</v>
      </c>
      <c r="D348" s="378" t="s">
        <v>709</v>
      </c>
      <c r="E348" s="378" t="s">
        <v>728</v>
      </c>
      <c r="F348" s="378" t="s">
        <v>695</v>
      </c>
      <c r="G348" s="378" t="str">
        <f>VLOOKUP(F348,'3B-Prestaties vloeren'!$A$28:$B$118,2,0)</f>
        <v>N.v.t.</v>
      </c>
      <c r="H348" s="378" t="s">
        <v>705</v>
      </c>
      <c r="I348" s="378">
        <v>1020</v>
      </c>
      <c r="J348" s="419"/>
      <c r="K348" s="426">
        <v>0</v>
      </c>
      <c r="L348" s="378">
        <f t="shared" si="15"/>
        <v>0</v>
      </c>
      <c r="M348" s="380">
        <f>IF(K348=0,0,IF(COUNTBLANK('3A-Prestatie'!$B$2:$I$22)=0,L348/VLOOKUP(E348,'3A-Prestatie'!$A$1:$M$22,VLOOKUP(K348,'3A-Prestatie'!$A$28:$B$34,2,FALSE),FALSE),"3A prestatie invullen"))</f>
        <v>0</v>
      </c>
      <c r="N348" s="380">
        <f t="shared" si="17"/>
        <v>0</v>
      </c>
      <c r="O348" s="381" t="str">
        <f>VLOOKUP(E348,'3A-Prestatie'!A:M,13,FALSE)</f>
        <v>N.v.t.</v>
      </c>
      <c r="P348" s="382">
        <f>IF(R348="Niet van toepassing",0,VLOOKUP(E348,'3B-Prestaties vloeren'!$A$3:$D$24,IF(G348="Hard onbehandeld",2,IF(G348="Hard behandeld",3,4)),FALSE))</f>
        <v>0</v>
      </c>
      <c r="Q348" s="383">
        <f t="shared" si="16"/>
        <v>0</v>
      </c>
      <c r="R348" s="384" t="str">
        <f>IF(K348=0,"Niet van toepassing",IF(G348='3B-Prestaties vloeren'!$B$2,"Schrobben",IF(G348='3B-Prestaties vloeren'!$C$2,"Sprayen/conserveren",IF(G348='3B-Prestaties vloeren'!$D$2,"Sproei-extractie",0))))</f>
        <v>Niet van toepassing</v>
      </c>
      <c r="S348" s="385">
        <f>IF('2-Tarieven'!$B$28=0,0,IF(M348=0,0,'2-Tarieven'!$B$28*M348))</f>
        <v>0</v>
      </c>
      <c r="T348" s="386">
        <f>IF(AND(COUNTBLANK('3B-Prestaties vloeren'!$F$3:$H$24)=0,COUNTBLANK('3B-Prestaties vloeren'!$L$3:$M$24)=0),IF(R348="Sprayen/conserveren",I348/VLOOKUP(E348,'3B-Prestaties vloeren'!$A$3:$M$24,12,FALSE),0)*(P348-1),0)</f>
        <v>0</v>
      </c>
      <c r="U348" s="386">
        <f>IF(AND(COUNTBLANK('3B-Prestaties vloeren'!$F$3:$H$24)=0,COUNTBLANK('3B-Prestaties vloeren'!$L$3:$M$24)=0),IF(R348="Sprayen/conserveren",I348/VLOOKUP(E348,'3B-Prestaties vloeren'!$A$3:$M$24,13,FALSE),0),0)</f>
        <v>0</v>
      </c>
      <c r="V348" s="386">
        <f>IF(AND(COUNTBLANK('3B-Prestaties vloeren'!$F$3:$H$24)=0,COUNTBLANK('3B-Prestaties vloeren'!$L$3:$M$24)=0),IF(R348="schrobben",I348/VLOOKUP(E348,'3B-Prestaties vloeren'!$A$3:$H$24,6,FALSE),0)*P348,0)</f>
        <v>0</v>
      </c>
      <c r="W348" s="386">
        <f>IF(AND(COUNTBLANK('3B-Prestaties vloeren'!$F$3:$H$24)=0,COUNTBLANK('3B-Prestaties vloeren'!$L$3:$M$24)=0),IF(R348="sproei-extractie",I348/VLOOKUP(E348,'3B-Prestaties vloeren'!$A$3:$H$24,8,FALSE),0)*P348,0)</f>
        <v>0</v>
      </c>
    </row>
    <row r="349" spans="1:23" ht="15" hidden="1">
      <c r="A349" s="378" t="s">
        <v>706</v>
      </c>
      <c r="B349" s="378" t="s">
        <v>678</v>
      </c>
      <c r="C349" s="378">
        <v>1</v>
      </c>
      <c r="D349" s="378" t="s">
        <v>336</v>
      </c>
      <c r="E349" s="378" t="s">
        <v>728</v>
      </c>
      <c r="F349" s="378" t="s">
        <v>695</v>
      </c>
      <c r="G349" s="378" t="str">
        <f>VLOOKUP(F349,'3B-Prestaties vloeren'!$A$28:$B$118,2,0)</f>
        <v>N.v.t.</v>
      </c>
      <c r="H349" s="378" t="s">
        <v>705</v>
      </c>
      <c r="I349" s="378">
        <v>2050</v>
      </c>
      <c r="J349" s="419"/>
      <c r="K349" s="426">
        <v>0</v>
      </c>
      <c r="L349" s="378">
        <f t="shared" si="15"/>
        <v>0</v>
      </c>
      <c r="M349" s="380">
        <f>IF(K349=0,0,IF(COUNTBLANK('3A-Prestatie'!$B$2:$I$22)=0,L349/VLOOKUP(E349,'3A-Prestatie'!$A$1:$M$22,VLOOKUP(K349,'3A-Prestatie'!$A$28:$B$34,2,FALSE),FALSE),"3A prestatie invullen"))</f>
        <v>0</v>
      </c>
      <c r="N349" s="380">
        <f t="shared" si="17"/>
        <v>0</v>
      </c>
      <c r="O349" s="381" t="str">
        <f>VLOOKUP(E349,'3A-Prestatie'!A:M,13,FALSE)</f>
        <v>N.v.t.</v>
      </c>
      <c r="P349" s="382">
        <f>IF(R349="Niet van toepassing",0,VLOOKUP(E349,'3B-Prestaties vloeren'!$A$3:$D$24,IF(G349="Hard onbehandeld",2,IF(G349="Hard behandeld",3,4)),FALSE))</f>
        <v>0</v>
      </c>
      <c r="Q349" s="383">
        <f t="shared" si="16"/>
        <v>0</v>
      </c>
      <c r="R349" s="384" t="str">
        <f>IF(K349=0,"Niet van toepassing",IF(G349='3B-Prestaties vloeren'!$B$2,"Schrobben",IF(G349='3B-Prestaties vloeren'!$C$2,"Sprayen/conserveren",IF(G349='3B-Prestaties vloeren'!$D$2,"Sproei-extractie",0))))</f>
        <v>Niet van toepassing</v>
      </c>
      <c r="S349" s="385">
        <f>IF('2-Tarieven'!$B$28=0,0,IF(M349=0,0,'2-Tarieven'!$B$28*M349))</f>
        <v>0</v>
      </c>
      <c r="T349" s="386">
        <f>IF(AND(COUNTBLANK('3B-Prestaties vloeren'!$F$3:$H$24)=0,COUNTBLANK('3B-Prestaties vloeren'!$L$3:$M$24)=0),IF(R349="Sprayen/conserveren",I349/VLOOKUP(E349,'3B-Prestaties vloeren'!$A$3:$M$24,12,FALSE),0)*(P349-1),0)</f>
        <v>0</v>
      </c>
      <c r="U349" s="386">
        <f>IF(AND(COUNTBLANK('3B-Prestaties vloeren'!$F$3:$H$24)=0,COUNTBLANK('3B-Prestaties vloeren'!$L$3:$M$24)=0),IF(R349="Sprayen/conserveren",I349/VLOOKUP(E349,'3B-Prestaties vloeren'!$A$3:$M$24,13,FALSE),0),0)</f>
        <v>0</v>
      </c>
      <c r="V349" s="386">
        <f>IF(AND(COUNTBLANK('3B-Prestaties vloeren'!$F$3:$H$24)=0,COUNTBLANK('3B-Prestaties vloeren'!$L$3:$M$24)=0),IF(R349="schrobben",I349/VLOOKUP(E349,'3B-Prestaties vloeren'!$A$3:$H$24,6,FALSE),0)*P349,0)</f>
        <v>0</v>
      </c>
      <c r="W349" s="386">
        <f>IF(AND(COUNTBLANK('3B-Prestaties vloeren'!$F$3:$H$24)=0,COUNTBLANK('3B-Prestaties vloeren'!$L$3:$M$24)=0),IF(R349="sproei-extractie",I349/VLOOKUP(E349,'3B-Prestaties vloeren'!$A$3:$H$24,8,FALSE),0)*P349,0)</f>
        <v>0</v>
      </c>
    </row>
    <row r="350" spans="1:23" ht="15" hidden="1">
      <c r="A350" s="378" t="s">
        <v>706</v>
      </c>
      <c r="B350" s="378" t="s">
        <v>678</v>
      </c>
      <c r="C350" s="378">
        <v>0</v>
      </c>
      <c r="D350" s="378" t="s">
        <v>291</v>
      </c>
      <c r="E350" s="378" t="s">
        <v>728</v>
      </c>
      <c r="F350" s="378" t="s">
        <v>695</v>
      </c>
      <c r="G350" s="378" t="str">
        <f>VLOOKUP(F350,'3B-Prestaties vloeren'!$A$28:$B$118,2,0)</f>
        <v>N.v.t.</v>
      </c>
      <c r="H350" s="378" t="s">
        <v>710</v>
      </c>
      <c r="I350" s="378">
        <v>4490</v>
      </c>
      <c r="J350" s="419"/>
      <c r="K350" s="426">
        <v>0</v>
      </c>
      <c r="L350" s="378">
        <f t="shared" si="15"/>
        <v>0</v>
      </c>
      <c r="M350" s="380">
        <f>IF(K350=0,0,IF(COUNTBLANK('3A-Prestatie'!$B$2:$I$22)=0,L350/VLOOKUP(E350,'3A-Prestatie'!$A$1:$M$22,VLOOKUP(K350,'3A-Prestatie'!$A$28:$B$34,2,FALSE),FALSE),"3A prestatie invullen"))</f>
        <v>0</v>
      </c>
      <c r="N350" s="380">
        <f t="shared" si="17"/>
        <v>0</v>
      </c>
      <c r="O350" s="381" t="str">
        <f>VLOOKUP(E350,'3A-Prestatie'!A:M,13,FALSE)</f>
        <v>N.v.t.</v>
      </c>
      <c r="P350" s="382">
        <f>IF(R350="Niet van toepassing",0,VLOOKUP(E350,'3B-Prestaties vloeren'!$A$3:$D$24,IF(G350="Hard onbehandeld",2,IF(G350="Hard behandeld",3,4)),FALSE))</f>
        <v>0</v>
      </c>
      <c r="Q350" s="383">
        <f t="shared" si="16"/>
        <v>0</v>
      </c>
      <c r="R350" s="384" t="str">
        <f>IF(K350=0,"Niet van toepassing",IF(G350='3B-Prestaties vloeren'!$B$2,"Schrobben",IF(G350='3B-Prestaties vloeren'!$C$2,"Sprayen/conserveren",IF(G350='3B-Prestaties vloeren'!$D$2,"Sproei-extractie",0))))</f>
        <v>Niet van toepassing</v>
      </c>
      <c r="S350" s="385">
        <f>IF('2-Tarieven'!$B$28=0,0,IF(M350=0,0,'2-Tarieven'!$B$28*M350))</f>
        <v>0</v>
      </c>
      <c r="T350" s="386">
        <f>IF(AND(COUNTBLANK('3B-Prestaties vloeren'!$F$3:$H$24)=0,COUNTBLANK('3B-Prestaties vloeren'!$L$3:$M$24)=0),IF(R350="Sprayen/conserveren",I350/VLOOKUP(E350,'3B-Prestaties vloeren'!$A$3:$M$24,12,FALSE),0)*(P350-1),0)</f>
        <v>0</v>
      </c>
      <c r="U350" s="386">
        <f>IF(AND(COUNTBLANK('3B-Prestaties vloeren'!$F$3:$H$24)=0,COUNTBLANK('3B-Prestaties vloeren'!$L$3:$M$24)=0),IF(R350="Sprayen/conserveren",I350/VLOOKUP(E350,'3B-Prestaties vloeren'!$A$3:$M$24,13,FALSE),0),0)</f>
        <v>0</v>
      </c>
      <c r="V350" s="386">
        <f>IF(AND(COUNTBLANK('3B-Prestaties vloeren'!$F$3:$H$24)=0,COUNTBLANK('3B-Prestaties vloeren'!$L$3:$M$24)=0),IF(R350="schrobben",I350/VLOOKUP(E350,'3B-Prestaties vloeren'!$A$3:$H$24,6,FALSE),0)*P350,0)</f>
        <v>0</v>
      </c>
      <c r="W350" s="386">
        <f>IF(AND(COUNTBLANK('3B-Prestaties vloeren'!$F$3:$H$24)=0,COUNTBLANK('3B-Prestaties vloeren'!$L$3:$M$24)=0),IF(R350="sproei-extractie",I350/VLOOKUP(E350,'3B-Prestaties vloeren'!$A$3:$H$24,8,FALSE),0)*P350,0)</f>
        <v>0</v>
      </c>
    </row>
    <row r="351" spans="1:23" ht="15" hidden="1">
      <c r="A351" s="378" t="s">
        <v>706</v>
      </c>
      <c r="B351" s="378" t="s">
        <v>678</v>
      </c>
      <c r="C351" s="378">
        <v>0</v>
      </c>
      <c r="D351" s="378" t="s">
        <v>292</v>
      </c>
      <c r="E351" s="378" t="s">
        <v>728</v>
      </c>
      <c r="F351" s="378" t="s">
        <v>695</v>
      </c>
      <c r="G351" s="378" t="str">
        <f>VLOOKUP(F351,'3B-Prestaties vloeren'!$A$28:$B$118,2,0)</f>
        <v>N.v.t.</v>
      </c>
      <c r="H351" s="378" t="s">
        <v>283</v>
      </c>
      <c r="I351" s="378">
        <v>25</v>
      </c>
      <c r="J351" s="419"/>
      <c r="K351" s="426">
        <v>0</v>
      </c>
      <c r="L351" s="378">
        <f t="shared" si="15"/>
        <v>0</v>
      </c>
      <c r="M351" s="380">
        <f>IF(K351=0,0,IF(COUNTBLANK('3A-Prestatie'!$B$2:$I$22)=0,L351/VLOOKUP(E351,'3A-Prestatie'!$A$1:$M$22,VLOOKUP(K351,'3A-Prestatie'!$A$28:$B$34,2,FALSE),FALSE),"3A prestatie invullen"))</f>
        <v>0</v>
      </c>
      <c r="N351" s="380">
        <f t="shared" si="17"/>
        <v>0</v>
      </c>
      <c r="O351" s="381" t="str">
        <f>VLOOKUP(E351,'3A-Prestatie'!A:M,13,FALSE)</f>
        <v>N.v.t.</v>
      </c>
      <c r="P351" s="382">
        <f>IF(R351="Niet van toepassing",0,VLOOKUP(E351,'3B-Prestaties vloeren'!$A$3:$D$24,IF(G351="Hard onbehandeld",2,IF(G351="Hard behandeld",3,4)),FALSE))</f>
        <v>0</v>
      </c>
      <c r="Q351" s="383">
        <f t="shared" si="16"/>
        <v>0</v>
      </c>
      <c r="R351" s="384" t="str">
        <f>IF(K351=0,"Niet van toepassing",IF(G351='3B-Prestaties vloeren'!$B$2,"Schrobben",IF(G351='3B-Prestaties vloeren'!$C$2,"Sprayen/conserveren",IF(G351='3B-Prestaties vloeren'!$D$2,"Sproei-extractie",0))))</f>
        <v>Niet van toepassing</v>
      </c>
      <c r="S351" s="385">
        <f>IF('2-Tarieven'!$B$28=0,0,IF(M351=0,0,'2-Tarieven'!$B$28*M351))</f>
        <v>0</v>
      </c>
      <c r="T351" s="386">
        <f>IF(AND(COUNTBLANK('3B-Prestaties vloeren'!$F$3:$H$24)=0,COUNTBLANK('3B-Prestaties vloeren'!$L$3:$M$24)=0),IF(R351="Sprayen/conserveren",I351/VLOOKUP(E351,'3B-Prestaties vloeren'!$A$3:$M$24,12,FALSE),0)*(P351-1),0)</f>
        <v>0</v>
      </c>
      <c r="U351" s="386">
        <f>IF(AND(COUNTBLANK('3B-Prestaties vloeren'!$F$3:$H$24)=0,COUNTBLANK('3B-Prestaties vloeren'!$L$3:$M$24)=0),IF(R351="Sprayen/conserveren",I351/VLOOKUP(E351,'3B-Prestaties vloeren'!$A$3:$M$24,13,FALSE),0),0)</f>
        <v>0</v>
      </c>
      <c r="V351" s="386">
        <f>IF(AND(COUNTBLANK('3B-Prestaties vloeren'!$F$3:$H$24)=0,COUNTBLANK('3B-Prestaties vloeren'!$L$3:$M$24)=0),IF(R351="schrobben",I351/VLOOKUP(E351,'3B-Prestaties vloeren'!$A$3:$H$24,6,FALSE),0)*P351,0)</f>
        <v>0</v>
      </c>
      <c r="W351" s="386">
        <f>IF(AND(COUNTBLANK('3B-Prestaties vloeren'!$F$3:$H$24)=0,COUNTBLANK('3B-Prestaties vloeren'!$L$3:$M$24)=0),IF(R351="sproei-extractie",I351/VLOOKUP(E351,'3B-Prestaties vloeren'!$A$3:$H$24,8,FALSE),0)*P351,0)</f>
        <v>0</v>
      </c>
    </row>
    <row r="352" spans="1:23" ht="15" hidden="1">
      <c r="A352" s="378" t="s">
        <v>706</v>
      </c>
      <c r="B352" s="378" t="s">
        <v>678</v>
      </c>
      <c r="C352" s="378">
        <v>0</v>
      </c>
      <c r="D352" s="378" t="s">
        <v>294</v>
      </c>
      <c r="E352" s="378" t="s">
        <v>728</v>
      </c>
      <c r="F352" s="378" t="s">
        <v>695</v>
      </c>
      <c r="G352" s="378" t="str">
        <f>VLOOKUP(F352,'3B-Prestaties vloeren'!$A$28:$B$118,2,0)</f>
        <v>N.v.t.</v>
      </c>
      <c r="H352" s="378" t="s">
        <v>711</v>
      </c>
      <c r="I352" s="387">
        <v>145</v>
      </c>
      <c r="J352" s="419"/>
      <c r="K352" s="426">
        <v>0</v>
      </c>
      <c r="L352" s="378">
        <f t="shared" si="15"/>
        <v>0</v>
      </c>
      <c r="M352" s="380">
        <f>IF(K352=0,0,IF(COUNTBLANK('3A-Prestatie'!$B$2:$I$22)=0,L352/VLOOKUP(E352,'3A-Prestatie'!$A$1:$M$22,VLOOKUP(K352,'3A-Prestatie'!$A$28:$B$34,2,FALSE),FALSE),"3A prestatie invullen"))</f>
        <v>0</v>
      </c>
      <c r="N352" s="380">
        <f t="shared" si="17"/>
        <v>0</v>
      </c>
      <c r="O352" s="381" t="str">
        <f>VLOOKUP(E352,'3A-Prestatie'!A:M,13,FALSE)</f>
        <v>N.v.t.</v>
      </c>
      <c r="P352" s="382">
        <f>IF(R352="Niet van toepassing",0,VLOOKUP(E352,'3B-Prestaties vloeren'!$A$3:$D$24,IF(G352="Hard onbehandeld",2,IF(G352="Hard behandeld",3,4)),FALSE))</f>
        <v>0</v>
      </c>
      <c r="Q352" s="383">
        <f t="shared" si="16"/>
        <v>0</v>
      </c>
      <c r="R352" s="384" t="str">
        <f>IF(K352=0,"Niet van toepassing",IF(G352='3B-Prestaties vloeren'!$B$2,"Schrobben",IF(G352='3B-Prestaties vloeren'!$C$2,"Sprayen/conserveren",IF(G352='3B-Prestaties vloeren'!$D$2,"Sproei-extractie",0))))</f>
        <v>Niet van toepassing</v>
      </c>
      <c r="S352" s="385">
        <f>IF('2-Tarieven'!$B$28=0,0,IF(M352=0,0,'2-Tarieven'!$B$28*M352))</f>
        <v>0</v>
      </c>
      <c r="T352" s="386">
        <f>IF(AND(COUNTBLANK('3B-Prestaties vloeren'!$F$3:$H$24)=0,COUNTBLANK('3B-Prestaties vloeren'!$L$3:$M$24)=0),IF(R352="Sprayen/conserveren",I352/VLOOKUP(E352,'3B-Prestaties vloeren'!$A$3:$M$24,12,FALSE),0)*(P352-1),0)</f>
        <v>0</v>
      </c>
      <c r="U352" s="386">
        <f>IF(AND(COUNTBLANK('3B-Prestaties vloeren'!$F$3:$H$24)=0,COUNTBLANK('3B-Prestaties vloeren'!$L$3:$M$24)=0),IF(R352="Sprayen/conserveren",I352/VLOOKUP(E352,'3B-Prestaties vloeren'!$A$3:$M$24,13,FALSE),0),0)</f>
        <v>0</v>
      </c>
      <c r="V352" s="386">
        <f>IF(AND(COUNTBLANK('3B-Prestaties vloeren'!$F$3:$H$24)=0,COUNTBLANK('3B-Prestaties vloeren'!$L$3:$M$24)=0),IF(R352="schrobben",I352/VLOOKUP(E352,'3B-Prestaties vloeren'!$A$3:$H$24,6,FALSE),0)*P352,0)</f>
        <v>0</v>
      </c>
      <c r="W352" s="386">
        <f>IF(AND(COUNTBLANK('3B-Prestaties vloeren'!$F$3:$H$24)=0,COUNTBLANK('3B-Prestaties vloeren'!$L$3:$M$24)=0),IF(R352="sproei-extractie",I352/VLOOKUP(E352,'3B-Prestaties vloeren'!$A$3:$H$24,8,FALSE),0)*P352,0)</f>
        <v>0</v>
      </c>
    </row>
    <row r="353" spans="1:23" ht="15" hidden="1">
      <c r="A353" s="378" t="s">
        <v>706</v>
      </c>
      <c r="B353" s="378" t="s">
        <v>678</v>
      </c>
      <c r="C353" s="378">
        <v>0</v>
      </c>
      <c r="D353" s="378" t="s">
        <v>296</v>
      </c>
      <c r="E353" s="378" t="s">
        <v>728</v>
      </c>
      <c r="F353" s="378" t="s">
        <v>695</v>
      </c>
      <c r="G353" s="378" t="str">
        <f>VLOOKUP(F353,'3B-Prestaties vloeren'!$A$28:$B$118,2,0)</f>
        <v>N.v.t.</v>
      </c>
      <c r="H353" s="378" t="s">
        <v>705</v>
      </c>
      <c r="I353" s="387">
        <v>365</v>
      </c>
      <c r="J353" s="419"/>
      <c r="K353" s="426">
        <v>0</v>
      </c>
      <c r="L353" s="378">
        <f t="shared" si="15"/>
        <v>0</v>
      </c>
      <c r="M353" s="380">
        <f>IF(K353=0,0,IF(COUNTBLANK('3A-Prestatie'!$B$2:$I$22)=0,L353/VLOOKUP(E353,'3A-Prestatie'!$A$1:$M$22,VLOOKUP(K353,'3A-Prestatie'!$A$28:$B$34,2,FALSE),FALSE),"3A prestatie invullen"))</f>
        <v>0</v>
      </c>
      <c r="N353" s="380">
        <f t="shared" si="17"/>
        <v>0</v>
      </c>
      <c r="O353" s="381" t="str">
        <f>VLOOKUP(E353,'3A-Prestatie'!A:M,13,FALSE)</f>
        <v>N.v.t.</v>
      </c>
      <c r="P353" s="382">
        <f>IF(R353="Niet van toepassing",0,VLOOKUP(E353,'3B-Prestaties vloeren'!$A$3:$D$24,IF(G353="Hard onbehandeld",2,IF(G353="Hard behandeld",3,4)),FALSE))</f>
        <v>0</v>
      </c>
      <c r="Q353" s="383">
        <f t="shared" si="16"/>
        <v>0</v>
      </c>
      <c r="R353" s="384" t="str">
        <f>IF(K353=0,"Niet van toepassing",IF(G353='3B-Prestaties vloeren'!$B$2,"Schrobben",IF(G353='3B-Prestaties vloeren'!$C$2,"Sprayen/conserveren",IF(G353='3B-Prestaties vloeren'!$D$2,"Sproei-extractie",0))))</f>
        <v>Niet van toepassing</v>
      </c>
      <c r="S353" s="385">
        <f>IF('2-Tarieven'!$B$28=0,0,IF(M353=0,0,'2-Tarieven'!$B$28*M353))</f>
        <v>0</v>
      </c>
      <c r="T353" s="386">
        <f>IF(AND(COUNTBLANK('3B-Prestaties vloeren'!$F$3:$H$24)=0,COUNTBLANK('3B-Prestaties vloeren'!$L$3:$M$24)=0),IF(R353="Sprayen/conserveren",I353/VLOOKUP(E353,'3B-Prestaties vloeren'!$A$3:$M$24,12,FALSE),0)*(P353-1),0)</f>
        <v>0</v>
      </c>
      <c r="U353" s="386">
        <f>IF(AND(COUNTBLANK('3B-Prestaties vloeren'!$F$3:$H$24)=0,COUNTBLANK('3B-Prestaties vloeren'!$L$3:$M$24)=0),IF(R353="Sprayen/conserveren",I353/VLOOKUP(E353,'3B-Prestaties vloeren'!$A$3:$M$24,13,FALSE),0),0)</f>
        <v>0</v>
      </c>
      <c r="V353" s="386">
        <f>IF(AND(COUNTBLANK('3B-Prestaties vloeren'!$F$3:$H$24)=0,COUNTBLANK('3B-Prestaties vloeren'!$L$3:$M$24)=0),IF(R353="schrobben",I353/VLOOKUP(E353,'3B-Prestaties vloeren'!$A$3:$H$24,6,FALSE),0)*P353,0)</f>
        <v>0</v>
      </c>
      <c r="W353" s="386">
        <f>IF(AND(COUNTBLANK('3B-Prestaties vloeren'!$F$3:$H$24)=0,COUNTBLANK('3B-Prestaties vloeren'!$L$3:$M$24)=0),IF(R353="sproei-extractie",I353/VLOOKUP(E353,'3B-Prestaties vloeren'!$A$3:$H$24,8,FALSE),0)*P353,0)</f>
        <v>0</v>
      </c>
    </row>
    <row r="354" spans="1:23" ht="15" hidden="1">
      <c r="A354" s="378" t="s">
        <v>706</v>
      </c>
      <c r="B354" s="378" t="s">
        <v>678</v>
      </c>
      <c r="C354" s="378">
        <v>0</v>
      </c>
      <c r="D354" s="378" t="s">
        <v>0</v>
      </c>
      <c r="E354" s="378" t="s">
        <v>728</v>
      </c>
      <c r="F354" s="378" t="s">
        <v>695</v>
      </c>
      <c r="G354" s="378" t="str">
        <f>VLOOKUP(F354,'3B-Prestaties vloeren'!$A$28:$B$118,2,0)</f>
        <v>N.v.t.</v>
      </c>
      <c r="H354" s="378" t="s">
        <v>710</v>
      </c>
      <c r="I354" s="387">
        <v>1711</v>
      </c>
      <c r="J354" s="419"/>
      <c r="K354" s="426">
        <v>0</v>
      </c>
      <c r="L354" s="378">
        <f t="shared" si="15"/>
        <v>0</v>
      </c>
      <c r="M354" s="380">
        <f>IF(K354=0,0,IF(COUNTBLANK('3A-Prestatie'!$B$2:$I$22)=0,L354/VLOOKUP(E354,'3A-Prestatie'!$A$1:$M$22,VLOOKUP(K354,'3A-Prestatie'!$A$28:$B$34,2,FALSE),FALSE),"3A prestatie invullen"))</f>
        <v>0</v>
      </c>
      <c r="N354" s="380">
        <f t="shared" si="17"/>
        <v>0</v>
      </c>
      <c r="O354" s="381" t="str">
        <f>VLOOKUP(E354,'3A-Prestatie'!A:M,13,FALSE)</f>
        <v>N.v.t.</v>
      </c>
      <c r="P354" s="382">
        <f>IF(R354="Niet van toepassing",0,VLOOKUP(E354,'3B-Prestaties vloeren'!$A$3:$D$24,IF(G354="Hard onbehandeld",2,IF(G354="Hard behandeld",3,4)),FALSE))</f>
        <v>0</v>
      </c>
      <c r="Q354" s="383">
        <f t="shared" si="16"/>
        <v>0</v>
      </c>
      <c r="R354" s="384" t="str">
        <f>IF(K354=0,"Niet van toepassing",IF(G354='3B-Prestaties vloeren'!$B$2,"Schrobben",IF(G354='3B-Prestaties vloeren'!$C$2,"Sprayen/conserveren",IF(G354='3B-Prestaties vloeren'!$D$2,"Sproei-extractie",0))))</f>
        <v>Niet van toepassing</v>
      </c>
      <c r="S354" s="385">
        <f>IF('2-Tarieven'!$B$28=0,0,IF(M354=0,0,'2-Tarieven'!$B$28*M354))</f>
        <v>0</v>
      </c>
      <c r="T354" s="386">
        <f>IF(AND(COUNTBLANK('3B-Prestaties vloeren'!$F$3:$H$24)=0,COUNTBLANK('3B-Prestaties vloeren'!$L$3:$M$24)=0),IF(R354="Sprayen/conserveren",I354/VLOOKUP(E354,'3B-Prestaties vloeren'!$A$3:$M$24,12,FALSE),0)*(P354-1),0)</f>
        <v>0</v>
      </c>
      <c r="U354" s="386">
        <f>IF(AND(COUNTBLANK('3B-Prestaties vloeren'!$F$3:$H$24)=0,COUNTBLANK('3B-Prestaties vloeren'!$L$3:$M$24)=0),IF(R354="Sprayen/conserveren",I354/VLOOKUP(E354,'3B-Prestaties vloeren'!$A$3:$M$24,13,FALSE),0),0)</f>
        <v>0</v>
      </c>
      <c r="V354" s="386">
        <f>IF(AND(COUNTBLANK('3B-Prestaties vloeren'!$F$3:$H$24)=0,COUNTBLANK('3B-Prestaties vloeren'!$L$3:$M$24)=0),IF(R354="schrobben",I354/VLOOKUP(E354,'3B-Prestaties vloeren'!$A$3:$H$24,6,FALSE),0)*P354,0)</f>
        <v>0</v>
      </c>
      <c r="W354" s="386">
        <f>IF(AND(COUNTBLANK('3B-Prestaties vloeren'!$F$3:$H$24)=0,COUNTBLANK('3B-Prestaties vloeren'!$L$3:$M$24)=0),IF(R354="sproei-extractie",I354/VLOOKUP(E354,'3B-Prestaties vloeren'!$A$3:$H$24,8,FALSE),0)*P354,0)</f>
        <v>0</v>
      </c>
    </row>
    <row r="355" spans="1:23" ht="15" hidden="1">
      <c r="A355" s="378" t="s">
        <v>706</v>
      </c>
      <c r="B355" s="378" t="s">
        <v>678</v>
      </c>
      <c r="C355" s="378">
        <v>0</v>
      </c>
      <c r="D355" s="378" t="s">
        <v>298</v>
      </c>
      <c r="E355" s="378" t="s">
        <v>728</v>
      </c>
      <c r="F355" s="378" t="s">
        <v>695</v>
      </c>
      <c r="G355" s="378" t="str">
        <f>VLOOKUP(F355,'3B-Prestaties vloeren'!$A$28:$B$118,2,0)</f>
        <v>N.v.t.</v>
      </c>
      <c r="H355" s="378" t="s">
        <v>62</v>
      </c>
      <c r="I355" s="387">
        <v>1465</v>
      </c>
      <c r="J355" s="419"/>
      <c r="K355" s="426">
        <v>0</v>
      </c>
      <c r="L355" s="378">
        <f t="shared" si="15"/>
        <v>0</v>
      </c>
      <c r="M355" s="380">
        <f>IF(K355=0,0,IF(COUNTBLANK('3A-Prestatie'!$B$2:$I$22)=0,L355/VLOOKUP(E355,'3A-Prestatie'!$A$1:$M$22,VLOOKUP(K355,'3A-Prestatie'!$A$28:$B$34,2,FALSE),FALSE),"3A prestatie invullen"))</f>
        <v>0</v>
      </c>
      <c r="N355" s="380">
        <f t="shared" si="17"/>
        <v>0</v>
      </c>
      <c r="O355" s="381" t="str">
        <f>VLOOKUP(E355,'3A-Prestatie'!A:M,13,FALSE)</f>
        <v>N.v.t.</v>
      </c>
      <c r="P355" s="382">
        <f>IF(R355="Niet van toepassing",0,VLOOKUP(E355,'3B-Prestaties vloeren'!$A$3:$D$24,IF(G355="Hard onbehandeld",2,IF(G355="Hard behandeld",3,4)),FALSE))</f>
        <v>0</v>
      </c>
      <c r="Q355" s="383">
        <f t="shared" si="16"/>
        <v>0</v>
      </c>
      <c r="R355" s="384" t="str">
        <f>IF(K355=0,"Niet van toepassing",IF(G355='3B-Prestaties vloeren'!$B$2,"Schrobben",IF(G355='3B-Prestaties vloeren'!$C$2,"Sprayen/conserveren",IF(G355='3B-Prestaties vloeren'!$D$2,"Sproei-extractie",0))))</f>
        <v>Niet van toepassing</v>
      </c>
      <c r="S355" s="385">
        <f>IF('2-Tarieven'!$B$28=0,0,IF(M355=0,0,'2-Tarieven'!$B$28*M355))</f>
        <v>0</v>
      </c>
      <c r="T355" s="386">
        <f>IF(AND(COUNTBLANK('3B-Prestaties vloeren'!$F$3:$H$24)=0,COUNTBLANK('3B-Prestaties vloeren'!$L$3:$M$24)=0),IF(R355="Sprayen/conserveren",I355/VLOOKUP(E355,'3B-Prestaties vloeren'!$A$3:$M$24,12,FALSE),0)*(P355-1),0)</f>
        <v>0</v>
      </c>
      <c r="U355" s="386">
        <f>IF(AND(COUNTBLANK('3B-Prestaties vloeren'!$F$3:$H$24)=0,COUNTBLANK('3B-Prestaties vloeren'!$L$3:$M$24)=0),IF(R355="Sprayen/conserveren",I355/VLOOKUP(E355,'3B-Prestaties vloeren'!$A$3:$M$24,13,FALSE),0),0)</f>
        <v>0</v>
      </c>
      <c r="V355" s="386">
        <f>IF(AND(COUNTBLANK('3B-Prestaties vloeren'!$F$3:$H$24)=0,COUNTBLANK('3B-Prestaties vloeren'!$L$3:$M$24)=0),IF(R355="schrobben",I355/VLOOKUP(E355,'3B-Prestaties vloeren'!$A$3:$H$24,6,FALSE),0)*P355,0)</f>
        <v>0</v>
      </c>
      <c r="W355" s="386">
        <f>IF(AND(COUNTBLANK('3B-Prestaties vloeren'!$F$3:$H$24)=0,COUNTBLANK('3B-Prestaties vloeren'!$L$3:$M$24)=0),IF(R355="sproei-extractie",I355/VLOOKUP(E355,'3B-Prestaties vloeren'!$A$3:$H$24,8,FALSE),0)*P355,0)</f>
        <v>0</v>
      </c>
    </row>
    <row r="356" spans="1:23" ht="15" hidden="1">
      <c r="A356" s="378" t="s">
        <v>706</v>
      </c>
      <c r="B356" s="378" t="s">
        <v>678</v>
      </c>
      <c r="C356" s="378">
        <v>0</v>
      </c>
      <c r="D356" s="378" t="s">
        <v>299</v>
      </c>
      <c r="E356" s="378" t="s">
        <v>728</v>
      </c>
      <c r="F356" s="378" t="s">
        <v>695</v>
      </c>
      <c r="G356" s="378" t="str">
        <f>VLOOKUP(F356,'3B-Prestaties vloeren'!$A$28:$B$118,2,0)</f>
        <v>N.v.t.</v>
      </c>
      <c r="H356" s="378" t="s">
        <v>284</v>
      </c>
      <c r="I356" s="387">
        <v>1400</v>
      </c>
      <c r="J356" s="419"/>
      <c r="K356" s="426">
        <v>0</v>
      </c>
      <c r="L356" s="378">
        <f t="shared" si="15"/>
        <v>0</v>
      </c>
      <c r="M356" s="380">
        <f>IF(K356=0,0,IF(COUNTBLANK('3A-Prestatie'!$B$2:$I$22)=0,L356/VLOOKUP(E356,'3A-Prestatie'!$A$1:$M$22,VLOOKUP(K356,'3A-Prestatie'!$A$28:$B$34,2,FALSE),FALSE),"3A prestatie invullen"))</f>
        <v>0</v>
      </c>
      <c r="N356" s="380">
        <f t="shared" si="17"/>
        <v>0</v>
      </c>
      <c r="O356" s="381" t="str">
        <f>VLOOKUP(E356,'3A-Prestatie'!A:M,13,FALSE)</f>
        <v>N.v.t.</v>
      </c>
      <c r="P356" s="382">
        <f>IF(R356="Niet van toepassing",0,VLOOKUP(E356,'3B-Prestaties vloeren'!$A$3:$D$24,IF(G356="Hard onbehandeld",2,IF(G356="Hard behandeld",3,4)),FALSE))</f>
        <v>0</v>
      </c>
      <c r="Q356" s="383">
        <f t="shared" si="16"/>
        <v>0</v>
      </c>
      <c r="R356" s="384" t="str">
        <f>IF(K356=0,"Niet van toepassing",IF(G356='3B-Prestaties vloeren'!$B$2,"Schrobben",IF(G356='3B-Prestaties vloeren'!$C$2,"Sprayen/conserveren",IF(G356='3B-Prestaties vloeren'!$D$2,"Sproei-extractie",0))))</f>
        <v>Niet van toepassing</v>
      </c>
      <c r="S356" s="385">
        <f>IF('2-Tarieven'!$B$28=0,0,IF(M356=0,0,'2-Tarieven'!$B$28*M356))</f>
        <v>0</v>
      </c>
      <c r="T356" s="386">
        <f>IF(AND(COUNTBLANK('3B-Prestaties vloeren'!$F$3:$H$24)=0,COUNTBLANK('3B-Prestaties vloeren'!$L$3:$M$24)=0),IF(R356="Sprayen/conserveren",I356/VLOOKUP(E356,'3B-Prestaties vloeren'!$A$3:$M$24,12,FALSE),0)*(P356-1),0)</f>
        <v>0</v>
      </c>
      <c r="U356" s="386">
        <f>IF(AND(COUNTBLANK('3B-Prestaties vloeren'!$F$3:$H$24)=0,COUNTBLANK('3B-Prestaties vloeren'!$L$3:$M$24)=0),IF(R356="Sprayen/conserveren",I356/VLOOKUP(E356,'3B-Prestaties vloeren'!$A$3:$M$24,13,FALSE),0),0)</f>
        <v>0</v>
      </c>
      <c r="V356" s="386">
        <f>IF(AND(COUNTBLANK('3B-Prestaties vloeren'!$F$3:$H$24)=0,COUNTBLANK('3B-Prestaties vloeren'!$L$3:$M$24)=0),IF(R356="schrobben",I356/VLOOKUP(E356,'3B-Prestaties vloeren'!$A$3:$H$24,6,FALSE),0)*P356,0)</f>
        <v>0</v>
      </c>
      <c r="W356" s="386">
        <f>IF(AND(COUNTBLANK('3B-Prestaties vloeren'!$F$3:$H$24)=0,COUNTBLANK('3B-Prestaties vloeren'!$L$3:$M$24)=0),IF(R356="sproei-extractie",I356/VLOOKUP(E356,'3B-Prestaties vloeren'!$A$3:$H$24,8,FALSE),0)*P356,0)</f>
        <v>0</v>
      </c>
    </row>
    <row r="357" spans="1:23" ht="15" hidden="1">
      <c r="A357" s="378" t="s">
        <v>706</v>
      </c>
      <c r="B357" s="378" t="s">
        <v>678</v>
      </c>
      <c r="C357" s="378">
        <v>0</v>
      </c>
      <c r="D357" s="378" t="s">
        <v>300</v>
      </c>
      <c r="E357" s="378" t="s">
        <v>728</v>
      </c>
      <c r="F357" s="378" t="s">
        <v>695</v>
      </c>
      <c r="G357" s="378" t="str">
        <f>VLOOKUP(F357,'3B-Prestaties vloeren'!$A$28:$B$118,2,0)</f>
        <v>N.v.t.</v>
      </c>
      <c r="H357" s="378" t="s">
        <v>62</v>
      </c>
      <c r="I357" s="387">
        <v>345</v>
      </c>
      <c r="J357" s="419"/>
      <c r="K357" s="426">
        <v>0</v>
      </c>
      <c r="L357" s="378">
        <f t="shared" si="15"/>
        <v>0</v>
      </c>
      <c r="M357" s="380">
        <f>IF(K357=0,0,IF(COUNTBLANK('3A-Prestatie'!$B$2:$I$22)=0,L357/VLOOKUP(E357,'3A-Prestatie'!$A$1:$M$22,VLOOKUP(K357,'3A-Prestatie'!$A$28:$B$34,2,FALSE),FALSE),"3A prestatie invullen"))</f>
        <v>0</v>
      </c>
      <c r="N357" s="380">
        <f t="shared" si="17"/>
        <v>0</v>
      </c>
      <c r="O357" s="381" t="str">
        <f>VLOOKUP(E357,'3A-Prestatie'!A:M,13,FALSE)</f>
        <v>N.v.t.</v>
      </c>
      <c r="P357" s="382">
        <f>IF(R357="Niet van toepassing",0,VLOOKUP(E357,'3B-Prestaties vloeren'!$A$3:$D$24,IF(G357="Hard onbehandeld",2,IF(G357="Hard behandeld",3,4)),FALSE))</f>
        <v>0</v>
      </c>
      <c r="Q357" s="383">
        <f t="shared" si="16"/>
        <v>0</v>
      </c>
      <c r="R357" s="384" t="str">
        <f>IF(K357=0,"Niet van toepassing",IF(G357='3B-Prestaties vloeren'!$B$2,"Schrobben",IF(G357='3B-Prestaties vloeren'!$C$2,"Sprayen/conserveren",IF(G357='3B-Prestaties vloeren'!$D$2,"Sproei-extractie",0))))</f>
        <v>Niet van toepassing</v>
      </c>
      <c r="S357" s="385">
        <f>IF('2-Tarieven'!$B$28=0,0,IF(M357=0,0,'2-Tarieven'!$B$28*M357))</f>
        <v>0</v>
      </c>
      <c r="T357" s="386">
        <f>IF(AND(COUNTBLANK('3B-Prestaties vloeren'!$F$3:$H$24)=0,COUNTBLANK('3B-Prestaties vloeren'!$L$3:$M$24)=0),IF(R357="Sprayen/conserveren",I357/VLOOKUP(E357,'3B-Prestaties vloeren'!$A$3:$M$24,12,FALSE),0)*(P357-1),0)</f>
        <v>0</v>
      </c>
      <c r="U357" s="386">
        <f>IF(AND(COUNTBLANK('3B-Prestaties vloeren'!$F$3:$H$24)=0,COUNTBLANK('3B-Prestaties vloeren'!$L$3:$M$24)=0),IF(R357="Sprayen/conserveren",I357/VLOOKUP(E357,'3B-Prestaties vloeren'!$A$3:$M$24,13,FALSE),0),0)</f>
        <v>0</v>
      </c>
      <c r="V357" s="386">
        <f>IF(AND(COUNTBLANK('3B-Prestaties vloeren'!$F$3:$H$24)=0,COUNTBLANK('3B-Prestaties vloeren'!$L$3:$M$24)=0),IF(R357="schrobben",I357/VLOOKUP(E357,'3B-Prestaties vloeren'!$A$3:$H$24,6,FALSE),0)*P357,0)</f>
        <v>0</v>
      </c>
      <c r="W357" s="386">
        <f>IF(AND(COUNTBLANK('3B-Prestaties vloeren'!$F$3:$H$24)=0,COUNTBLANK('3B-Prestaties vloeren'!$L$3:$M$24)=0),IF(R357="sproei-extractie",I357/VLOOKUP(E357,'3B-Prestaties vloeren'!$A$3:$H$24,8,FALSE),0)*P357,0)</f>
        <v>0</v>
      </c>
    </row>
    <row r="358" spans="1:23" ht="15" hidden="1">
      <c r="A358" s="378" t="s">
        <v>706</v>
      </c>
      <c r="B358" s="378" t="s">
        <v>678</v>
      </c>
      <c r="C358" s="378">
        <v>0</v>
      </c>
      <c r="D358" s="378" t="s">
        <v>301</v>
      </c>
      <c r="E358" s="378" t="s">
        <v>728</v>
      </c>
      <c r="F358" s="378" t="s">
        <v>695</v>
      </c>
      <c r="G358" s="378" t="str">
        <f>VLOOKUP(F358,'3B-Prestaties vloeren'!$A$28:$B$118,2,0)</f>
        <v>N.v.t.</v>
      </c>
      <c r="H358" s="378" t="s">
        <v>705</v>
      </c>
      <c r="I358" s="387">
        <v>920</v>
      </c>
      <c r="J358" s="419"/>
      <c r="K358" s="426">
        <v>0</v>
      </c>
      <c r="L358" s="378">
        <f t="shared" si="15"/>
        <v>0</v>
      </c>
      <c r="M358" s="380">
        <f>IF(K358=0,0,IF(COUNTBLANK('3A-Prestatie'!$B$2:$I$22)=0,L358/VLOOKUP(E358,'3A-Prestatie'!$A$1:$M$22,VLOOKUP(K358,'3A-Prestatie'!$A$28:$B$34,2,FALSE),FALSE),"3A prestatie invullen"))</f>
        <v>0</v>
      </c>
      <c r="N358" s="380">
        <f t="shared" si="17"/>
        <v>0</v>
      </c>
      <c r="O358" s="381" t="str">
        <f>VLOOKUP(E358,'3A-Prestatie'!A:M,13,FALSE)</f>
        <v>N.v.t.</v>
      </c>
      <c r="P358" s="382">
        <f>IF(R358="Niet van toepassing",0,VLOOKUP(E358,'3B-Prestaties vloeren'!$A$3:$D$24,IF(G358="Hard onbehandeld",2,IF(G358="Hard behandeld",3,4)),FALSE))</f>
        <v>0</v>
      </c>
      <c r="Q358" s="383">
        <f t="shared" si="16"/>
        <v>0</v>
      </c>
      <c r="R358" s="384" t="str">
        <f>IF(K358=0,"Niet van toepassing",IF(G358='3B-Prestaties vloeren'!$B$2,"Schrobben",IF(G358='3B-Prestaties vloeren'!$C$2,"Sprayen/conserveren",IF(G358='3B-Prestaties vloeren'!$D$2,"Sproei-extractie",0))))</f>
        <v>Niet van toepassing</v>
      </c>
      <c r="S358" s="385">
        <f>IF('2-Tarieven'!$B$28=0,0,IF(M358=0,0,'2-Tarieven'!$B$28*M358))</f>
        <v>0</v>
      </c>
      <c r="T358" s="386">
        <f>IF(AND(COUNTBLANK('3B-Prestaties vloeren'!$F$3:$H$24)=0,COUNTBLANK('3B-Prestaties vloeren'!$L$3:$M$24)=0),IF(R358="Sprayen/conserveren",I358/VLOOKUP(E358,'3B-Prestaties vloeren'!$A$3:$M$24,12,FALSE),0)*(P358-1),0)</f>
        <v>0</v>
      </c>
      <c r="U358" s="386">
        <f>IF(AND(COUNTBLANK('3B-Prestaties vloeren'!$F$3:$H$24)=0,COUNTBLANK('3B-Prestaties vloeren'!$L$3:$M$24)=0),IF(R358="Sprayen/conserveren",I358/VLOOKUP(E358,'3B-Prestaties vloeren'!$A$3:$M$24,13,FALSE),0),0)</f>
        <v>0</v>
      </c>
      <c r="V358" s="386">
        <f>IF(AND(COUNTBLANK('3B-Prestaties vloeren'!$F$3:$H$24)=0,COUNTBLANK('3B-Prestaties vloeren'!$L$3:$M$24)=0),IF(R358="schrobben",I358/VLOOKUP(E358,'3B-Prestaties vloeren'!$A$3:$H$24,6,FALSE),0)*P358,0)</f>
        <v>0</v>
      </c>
      <c r="W358" s="386">
        <f>IF(AND(COUNTBLANK('3B-Prestaties vloeren'!$F$3:$H$24)=0,COUNTBLANK('3B-Prestaties vloeren'!$L$3:$M$24)=0),IF(R358="sproei-extractie",I358/VLOOKUP(E358,'3B-Prestaties vloeren'!$A$3:$H$24,8,FALSE),0)*P358,0)</f>
        <v>0</v>
      </c>
    </row>
    <row r="359" spans="1:23" ht="15" hidden="1">
      <c r="A359" s="378" t="s">
        <v>706</v>
      </c>
      <c r="B359" s="378" t="s">
        <v>678</v>
      </c>
      <c r="C359" s="378">
        <v>0</v>
      </c>
      <c r="D359" s="378" t="s">
        <v>303</v>
      </c>
      <c r="E359" s="378" t="s">
        <v>728</v>
      </c>
      <c r="F359" s="378" t="s">
        <v>695</v>
      </c>
      <c r="G359" s="378" t="str">
        <f>VLOOKUP(F359,'3B-Prestaties vloeren'!$A$28:$B$118,2,0)</f>
        <v>N.v.t.</v>
      </c>
      <c r="H359" s="378" t="s">
        <v>62</v>
      </c>
      <c r="I359" s="387">
        <v>1385</v>
      </c>
      <c r="J359" s="419"/>
      <c r="K359" s="426">
        <v>0</v>
      </c>
      <c r="L359" s="378">
        <f t="shared" si="15"/>
        <v>0</v>
      </c>
      <c r="M359" s="380">
        <f>IF(K359=0,0,IF(COUNTBLANK('3A-Prestatie'!$B$2:$I$22)=0,L359/VLOOKUP(E359,'3A-Prestatie'!$A$1:$M$22,VLOOKUP(K359,'3A-Prestatie'!$A$28:$B$34,2,FALSE),FALSE),"3A prestatie invullen"))</f>
        <v>0</v>
      </c>
      <c r="N359" s="380">
        <f t="shared" si="17"/>
        <v>0</v>
      </c>
      <c r="O359" s="381" t="str">
        <f>VLOOKUP(E359,'3A-Prestatie'!A:M,13,FALSE)</f>
        <v>N.v.t.</v>
      </c>
      <c r="P359" s="382">
        <f>IF(R359="Niet van toepassing",0,VLOOKUP(E359,'3B-Prestaties vloeren'!$A$3:$D$24,IF(G359="Hard onbehandeld",2,IF(G359="Hard behandeld",3,4)),FALSE))</f>
        <v>0</v>
      </c>
      <c r="Q359" s="383">
        <f t="shared" si="16"/>
        <v>0</v>
      </c>
      <c r="R359" s="384" t="str">
        <f>IF(K359=0,"Niet van toepassing",IF(G359='3B-Prestaties vloeren'!$B$2,"Schrobben",IF(G359='3B-Prestaties vloeren'!$C$2,"Sprayen/conserveren",IF(G359='3B-Prestaties vloeren'!$D$2,"Sproei-extractie",0))))</f>
        <v>Niet van toepassing</v>
      </c>
      <c r="S359" s="385">
        <f>IF('2-Tarieven'!$B$28=0,0,IF(M359=0,0,'2-Tarieven'!$B$28*M359))</f>
        <v>0</v>
      </c>
      <c r="T359" s="386">
        <f>IF(AND(COUNTBLANK('3B-Prestaties vloeren'!$F$3:$H$24)=0,COUNTBLANK('3B-Prestaties vloeren'!$L$3:$M$24)=0),IF(R359="Sprayen/conserveren",I359/VLOOKUP(E359,'3B-Prestaties vloeren'!$A$3:$M$24,12,FALSE),0)*(P359-1),0)</f>
        <v>0</v>
      </c>
      <c r="U359" s="386">
        <f>IF(AND(COUNTBLANK('3B-Prestaties vloeren'!$F$3:$H$24)=0,COUNTBLANK('3B-Prestaties vloeren'!$L$3:$M$24)=0),IF(R359="Sprayen/conserveren",I359/VLOOKUP(E359,'3B-Prestaties vloeren'!$A$3:$M$24,13,FALSE),0),0)</f>
        <v>0</v>
      </c>
      <c r="V359" s="386">
        <f>IF(AND(COUNTBLANK('3B-Prestaties vloeren'!$F$3:$H$24)=0,COUNTBLANK('3B-Prestaties vloeren'!$L$3:$M$24)=0),IF(R359="schrobben",I359/VLOOKUP(E359,'3B-Prestaties vloeren'!$A$3:$H$24,6,FALSE),0)*P359,0)</f>
        <v>0</v>
      </c>
      <c r="W359" s="386">
        <f>IF(AND(COUNTBLANK('3B-Prestaties vloeren'!$F$3:$H$24)=0,COUNTBLANK('3B-Prestaties vloeren'!$L$3:$M$24)=0),IF(R359="sproei-extractie",I359/VLOOKUP(E359,'3B-Prestaties vloeren'!$A$3:$H$24,8,FALSE),0)*P359,0)</f>
        <v>0</v>
      </c>
    </row>
    <row r="360" spans="1:23" ht="15" hidden="1">
      <c r="A360" s="378" t="s">
        <v>706</v>
      </c>
      <c r="B360" s="378" t="s">
        <v>678</v>
      </c>
      <c r="C360" s="378">
        <v>0</v>
      </c>
      <c r="D360" s="378" t="s">
        <v>305</v>
      </c>
      <c r="E360" s="378" t="s">
        <v>728</v>
      </c>
      <c r="F360" s="378" t="s">
        <v>695</v>
      </c>
      <c r="G360" s="378" t="str">
        <f>VLOOKUP(F360,'3B-Prestaties vloeren'!$A$28:$B$118,2,0)</f>
        <v>N.v.t.</v>
      </c>
      <c r="H360" s="378" t="s">
        <v>707</v>
      </c>
      <c r="I360" s="387">
        <v>25</v>
      </c>
      <c r="J360" s="419"/>
      <c r="K360" s="426">
        <v>0</v>
      </c>
      <c r="L360" s="378">
        <f t="shared" si="15"/>
        <v>0</v>
      </c>
      <c r="M360" s="380">
        <f>IF(K360=0,0,IF(COUNTBLANK('3A-Prestatie'!$B$2:$I$22)=0,L360/VLOOKUP(E360,'3A-Prestatie'!$A$1:$M$22,VLOOKUP(K360,'3A-Prestatie'!$A$28:$B$34,2,FALSE),FALSE),"3A prestatie invullen"))</f>
        <v>0</v>
      </c>
      <c r="N360" s="380">
        <f t="shared" si="17"/>
        <v>0</v>
      </c>
      <c r="O360" s="381" t="str">
        <f>VLOOKUP(E360,'3A-Prestatie'!A:M,13,FALSE)</f>
        <v>N.v.t.</v>
      </c>
      <c r="P360" s="382">
        <f>IF(R360="Niet van toepassing",0,VLOOKUP(E360,'3B-Prestaties vloeren'!$A$3:$D$24,IF(G360="Hard onbehandeld",2,IF(G360="Hard behandeld",3,4)),FALSE))</f>
        <v>0</v>
      </c>
      <c r="Q360" s="383">
        <f t="shared" si="16"/>
        <v>0</v>
      </c>
      <c r="R360" s="384" t="str">
        <f>IF(K360=0,"Niet van toepassing",IF(G360='3B-Prestaties vloeren'!$B$2,"Schrobben",IF(G360='3B-Prestaties vloeren'!$C$2,"Sprayen/conserveren",IF(G360='3B-Prestaties vloeren'!$D$2,"Sproei-extractie",0))))</f>
        <v>Niet van toepassing</v>
      </c>
      <c r="S360" s="385">
        <f>IF('2-Tarieven'!$B$28=0,0,IF(M360=0,0,'2-Tarieven'!$B$28*M360))</f>
        <v>0</v>
      </c>
      <c r="T360" s="386">
        <f>IF(AND(COUNTBLANK('3B-Prestaties vloeren'!$F$3:$H$24)=0,COUNTBLANK('3B-Prestaties vloeren'!$L$3:$M$24)=0),IF(R360="Sprayen/conserveren",I360/VLOOKUP(E360,'3B-Prestaties vloeren'!$A$3:$M$24,12,FALSE),0)*(P360-1),0)</f>
        <v>0</v>
      </c>
      <c r="U360" s="386">
        <f>IF(AND(COUNTBLANK('3B-Prestaties vloeren'!$F$3:$H$24)=0,COUNTBLANK('3B-Prestaties vloeren'!$L$3:$M$24)=0),IF(R360="Sprayen/conserveren",I360/VLOOKUP(E360,'3B-Prestaties vloeren'!$A$3:$M$24,13,FALSE),0),0)</f>
        <v>0</v>
      </c>
      <c r="V360" s="386">
        <f>IF(AND(COUNTBLANK('3B-Prestaties vloeren'!$F$3:$H$24)=0,COUNTBLANK('3B-Prestaties vloeren'!$L$3:$M$24)=0),IF(R360="schrobben",I360/VLOOKUP(E360,'3B-Prestaties vloeren'!$A$3:$H$24,6,FALSE),0)*P360,0)</f>
        <v>0</v>
      </c>
      <c r="W360" s="386">
        <f>IF(AND(COUNTBLANK('3B-Prestaties vloeren'!$F$3:$H$24)=0,COUNTBLANK('3B-Prestaties vloeren'!$L$3:$M$24)=0),IF(R360="sproei-extractie",I360/VLOOKUP(E360,'3B-Prestaties vloeren'!$A$3:$H$24,8,FALSE),0)*P360,0)</f>
        <v>0</v>
      </c>
    </row>
    <row r="361" spans="1:23" ht="15" hidden="1">
      <c r="A361" s="378" t="s">
        <v>706</v>
      </c>
      <c r="B361" s="378" t="s">
        <v>678</v>
      </c>
      <c r="C361" s="378">
        <v>0</v>
      </c>
      <c r="D361" s="378" t="s">
        <v>2</v>
      </c>
      <c r="E361" s="378" t="s">
        <v>728</v>
      </c>
      <c r="F361" s="378" t="s">
        <v>695</v>
      </c>
      <c r="G361" s="378" t="str">
        <f>VLOOKUP(F361,'3B-Prestaties vloeren'!$A$28:$B$118,2,0)</f>
        <v>N.v.t.</v>
      </c>
      <c r="H361" s="378" t="s">
        <v>712</v>
      </c>
      <c r="I361" s="387">
        <v>25</v>
      </c>
      <c r="J361" s="419"/>
      <c r="K361" s="426">
        <v>0</v>
      </c>
      <c r="L361" s="378">
        <f t="shared" si="15"/>
        <v>0</v>
      </c>
      <c r="M361" s="380">
        <f>IF(K361=0,0,IF(COUNTBLANK('3A-Prestatie'!$B$2:$I$22)=0,L361/VLOOKUP(E361,'3A-Prestatie'!$A$1:$M$22,VLOOKUP(K361,'3A-Prestatie'!$A$28:$B$34,2,FALSE),FALSE),"3A prestatie invullen"))</f>
        <v>0</v>
      </c>
      <c r="N361" s="380">
        <f t="shared" si="17"/>
        <v>0</v>
      </c>
      <c r="O361" s="381" t="str">
        <f>VLOOKUP(E361,'3A-Prestatie'!A:M,13,FALSE)</f>
        <v>N.v.t.</v>
      </c>
      <c r="P361" s="382">
        <f>IF(R361="Niet van toepassing",0,VLOOKUP(E361,'3B-Prestaties vloeren'!$A$3:$D$24,IF(G361="Hard onbehandeld",2,IF(G361="Hard behandeld",3,4)),FALSE))</f>
        <v>0</v>
      </c>
      <c r="Q361" s="383">
        <f t="shared" si="16"/>
        <v>0</v>
      </c>
      <c r="R361" s="384" t="str">
        <f>IF(K361=0,"Niet van toepassing",IF(G361='3B-Prestaties vloeren'!$B$2,"Schrobben",IF(G361='3B-Prestaties vloeren'!$C$2,"Sprayen/conserveren",IF(G361='3B-Prestaties vloeren'!$D$2,"Sproei-extractie",0))))</f>
        <v>Niet van toepassing</v>
      </c>
      <c r="S361" s="385">
        <f>IF('2-Tarieven'!$B$28=0,0,IF(M361=0,0,'2-Tarieven'!$B$28*M361))</f>
        <v>0</v>
      </c>
      <c r="T361" s="386">
        <f>IF(AND(COUNTBLANK('3B-Prestaties vloeren'!$F$3:$H$24)=0,COUNTBLANK('3B-Prestaties vloeren'!$L$3:$M$24)=0),IF(R361="Sprayen/conserveren",I361/VLOOKUP(E361,'3B-Prestaties vloeren'!$A$3:$M$24,12,FALSE),0)*(P361-1),0)</f>
        <v>0</v>
      </c>
      <c r="U361" s="386">
        <f>IF(AND(COUNTBLANK('3B-Prestaties vloeren'!$F$3:$H$24)=0,COUNTBLANK('3B-Prestaties vloeren'!$L$3:$M$24)=0),IF(R361="Sprayen/conserveren",I361/VLOOKUP(E361,'3B-Prestaties vloeren'!$A$3:$M$24,13,FALSE),0),0)</f>
        <v>0</v>
      </c>
      <c r="V361" s="386">
        <f>IF(AND(COUNTBLANK('3B-Prestaties vloeren'!$F$3:$H$24)=0,COUNTBLANK('3B-Prestaties vloeren'!$L$3:$M$24)=0),IF(R361="schrobben",I361/VLOOKUP(E361,'3B-Prestaties vloeren'!$A$3:$H$24,6,FALSE),0)*P361,0)</f>
        <v>0</v>
      </c>
      <c r="W361" s="386">
        <f>IF(AND(COUNTBLANK('3B-Prestaties vloeren'!$F$3:$H$24)=0,COUNTBLANK('3B-Prestaties vloeren'!$L$3:$M$24)=0),IF(R361="sproei-extractie",I361/VLOOKUP(E361,'3B-Prestaties vloeren'!$A$3:$H$24,8,FALSE),0)*P361,0)</f>
        <v>0</v>
      </c>
    </row>
    <row r="362" spans="1:23" ht="15" hidden="1">
      <c r="A362" s="378" t="s">
        <v>706</v>
      </c>
      <c r="B362" s="378" t="s">
        <v>678</v>
      </c>
      <c r="C362" s="378">
        <v>0</v>
      </c>
      <c r="D362" s="378" t="s">
        <v>3</v>
      </c>
      <c r="E362" s="378" t="s">
        <v>728</v>
      </c>
      <c r="F362" s="378" t="s">
        <v>695</v>
      </c>
      <c r="G362" s="378" t="str">
        <f>VLOOKUP(F362,'3B-Prestaties vloeren'!$A$28:$B$118,2,0)</f>
        <v>N.v.t.</v>
      </c>
      <c r="H362" s="378" t="s">
        <v>713</v>
      </c>
      <c r="I362" s="387">
        <v>420</v>
      </c>
      <c r="J362" s="419"/>
      <c r="K362" s="426">
        <v>0</v>
      </c>
      <c r="L362" s="378">
        <f t="shared" si="15"/>
        <v>0</v>
      </c>
      <c r="M362" s="380">
        <f>IF(K362=0,0,IF(COUNTBLANK('3A-Prestatie'!$B$2:$I$22)=0,L362/VLOOKUP(E362,'3A-Prestatie'!$A$1:$M$22,VLOOKUP(K362,'3A-Prestatie'!$A$28:$B$34,2,FALSE),FALSE),"3A prestatie invullen"))</f>
        <v>0</v>
      </c>
      <c r="N362" s="380">
        <f t="shared" si="17"/>
        <v>0</v>
      </c>
      <c r="O362" s="381" t="str">
        <f>VLOOKUP(E362,'3A-Prestatie'!A:M,13,FALSE)</f>
        <v>N.v.t.</v>
      </c>
      <c r="P362" s="382">
        <f>IF(R362="Niet van toepassing",0,VLOOKUP(E362,'3B-Prestaties vloeren'!$A$3:$D$24,IF(G362="Hard onbehandeld",2,IF(G362="Hard behandeld",3,4)),FALSE))</f>
        <v>0</v>
      </c>
      <c r="Q362" s="383">
        <f t="shared" si="16"/>
        <v>0</v>
      </c>
      <c r="R362" s="384" t="str">
        <f>IF(K362=0,"Niet van toepassing",IF(G362='3B-Prestaties vloeren'!$B$2,"Schrobben",IF(G362='3B-Prestaties vloeren'!$C$2,"Sprayen/conserveren",IF(G362='3B-Prestaties vloeren'!$D$2,"Sproei-extractie",0))))</f>
        <v>Niet van toepassing</v>
      </c>
      <c r="S362" s="385">
        <f>IF('2-Tarieven'!$B$28=0,0,IF(M362=0,0,'2-Tarieven'!$B$28*M362))</f>
        <v>0</v>
      </c>
      <c r="T362" s="386">
        <f>IF(AND(COUNTBLANK('3B-Prestaties vloeren'!$F$3:$H$24)=0,COUNTBLANK('3B-Prestaties vloeren'!$L$3:$M$24)=0),IF(R362="Sprayen/conserveren",I362/VLOOKUP(E362,'3B-Prestaties vloeren'!$A$3:$M$24,12,FALSE),0)*(P362-1),0)</f>
        <v>0</v>
      </c>
      <c r="U362" s="386">
        <f>IF(AND(COUNTBLANK('3B-Prestaties vloeren'!$F$3:$H$24)=0,COUNTBLANK('3B-Prestaties vloeren'!$L$3:$M$24)=0),IF(R362="Sprayen/conserveren",I362/VLOOKUP(E362,'3B-Prestaties vloeren'!$A$3:$M$24,13,FALSE),0),0)</f>
        <v>0</v>
      </c>
      <c r="V362" s="386">
        <f>IF(AND(COUNTBLANK('3B-Prestaties vloeren'!$F$3:$H$24)=0,COUNTBLANK('3B-Prestaties vloeren'!$L$3:$M$24)=0),IF(R362="schrobben",I362/VLOOKUP(E362,'3B-Prestaties vloeren'!$A$3:$H$24,6,FALSE),0)*P362,0)</f>
        <v>0</v>
      </c>
      <c r="W362" s="386">
        <f>IF(AND(COUNTBLANK('3B-Prestaties vloeren'!$F$3:$H$24)=0,COUNTBLANK('3B-Prestaties vloeren'!$L$3:$M$24)=0),IF(R362="sproei-extractie",I362/VLOOKUP(E362,'3B-Prestaties vloeren'!$A$3:$H$24,8,FALSE),0)*P362,0)</f>
        <v>0</v>
      </c>
    </row>
    <row r="363" spans="1:23" ht="15" hidden="1">
      <c r="A363" s="378" t="s">
        <v>706</v>
      </c>
      <c r="B363" s="378" t="s">
        <v>678</v>
      </c>
      <c r="C363" s="378">
        <v>0</v>
      </c>
      <c r="D363" s="378" t="s">
        <v>308</v>
      </c>
      <c r="E363" s="378" t="s">
        <v>728</v>
      </c>
      <c r="F363" s="378" t="s">
        <v>695</v>
      </c>
      <c r="G363" s="378" t="str">
        <f>VLOOKUP(F363,'3B-Prestaties vloeren'!$A$28:$B$118,2,0)</f>
        <v>N.v.t.</v>
      </c>
      <c r="H363" s="378" t="s">
        <v>62</v>
      </c>
      <c r="I363" s="387">
        <v>55</v>
      </c>
      <c r="J363" s="419"/>
      <c r="K363" s="426">
        <v>0</v>
      </c>
      <c r="L363" s="378">
        <f t="shared" si="15"/>
        <v>0</v>
      </c>
      <c r="M363" s="380">
        <f>IF(K363=0,0,IF(COUNTBLANK('3A-Prestatie'!$B$2:$I$22)=0,L363/VLOOKUP(E363,'3A-Prestatie'!$A$1:$M$22,VLOOKUP(K363,'3A-Prestatie'!$A$28:$B$34,2,FALSE),FALSE),"3A prestatie invullen"))</f>
        <v>0</v>
      </c>
      <c r="N363" s="380">
        <f t="shared" si="17"/>
        <v>0</v>
      </c>
      <c r="O363" s="381" t="str">
        <f>VLOOKUP(E363,'3A-Prestatie'!A:M,13,FALSE)</f>
        <v>N.v.t.</v>
      </c>
      <c r="P363" s="382">
        <f>IF(R363="Niet van toepassing",0,VLOOKUP(E363,'3B-Prestaties vloeren'!$A$3:$D$24,IF(G363="Hard onbehandeld",2,IF(G363="Hard behandeld",3,4)),FALSE))</f>
        <v>0</v>
      </c>
      <c r="Q363" s="383">
        <f t="shared" si="16"/>
        <v>0</v>
      </c>
      <c r="R363" s="384" t="str">
        <f>IF(K363=0,"Niet van toepassing",IF(G363='3B-Prestaties vloeren'!$B$2,"Schrobben",IF(G363='3B-Prestaties vloeren'!$C$2,"Sprayen/conserveren",IF(G363='3B-Prestaties vloeren'!$D$2,"Sproei-extractie",0))))</f>
        <v>Niet van toepassing</v>
      </c>
      <c r="S363" s="385">
        <f>IF('2-Tarieven'!$B$28=0,0,IF(M363=0,0,'2-Tarieven'!$B$28*M363))</f>
        <v>0</v>
      </c>
      <c r="T363" s="386">
        <f>IF(AND(COUNTBLANK('3B-Prestaties vloeren'!$F$3:$H$24)=0,COUNTBLANK('3B-Prestaties vloeren'!$L$3:$M$24)=0),IF(R363="Sprayen/conserveren",I363/VLOOKUP(E363,'3B-Prestaties vloeren'!$A$3:$M$24,12,FALSE),0)*(P363-1),0)</f>
        <v>0</v>
      </c>
      <c r="U363" s="386">
        <f>IF(AND(COUNTBLANK('3B-Prestaties vloeren'!$F$3:$H$24)=0,COUNTBLANK('3B-Prestaties vloeren'!$L$3:$M$24)=0),IF(R363="Sprayen/conserveren",I363/VLOOKUP(E363,'3B-Prestaties vloeren'!$A$3:$M$24,13,FALSE),0),0)</f>
        <v>0</v>
      </c>
      <c r="V363" s="386">
        <f>IF(AND(COUNTBLANK('3B-Prestaties vloeren'!$F$3:$H$24)=0,COUNTBLANK('3B-Prestaties vloeren'!$L$3:$M$24)=0),IF(R363="schrobben",I363/VLOOKUP(E363,'3B-Prestaties vloeren'!$A$3:$H$24,6,FALSE),0)*P363,0)</f>
        <v>0</v>
      </c>
      <c r="W363" s="386">
        <f>IF(AND(COUNTBLANK('3B-Prestaties vloeren'!$F$3:$H$24)=0,COUNTBLANK('3B-Prestaties vloeren'!$L$3:$M$24)=0),IF(R363="sproei-extractie",I363/VLOOKUP(E363,'3B-Prestaties vloeren'!$A$3:$H$24,8,FALSE),0)*P363,0)</f>
        <v>0</v>
      </c>
    </row>
    <row r="364" spans="1:23" ht="15" hidden="1">
      <c r="A364" s="378" t="s">
        <v>706</v>
      </c>
      <c r="B364" s="378" t="s">
        <v>678</v>
      </c>
      <c r="C364" s="378">
        <v>0</v>
      </c>
      <c r="D364" s="378" t="s">
        <v>309</v>
      </c>
      <c r="E364" s="378" t="s">
        <v>728</v>
      </c>
      <c r="F364" s="378" t="s">
        <v>695</v>
      </c>
      <c r="G364" s="378" t="str">
        <f>VLOOKUP(F364,'3B-Prestaties vloeren'!$A$28:$B$118,2,0)</f>
        <v>N.v.t.</v>
      </c>
      <c r="H364" s="378" t="s">
        <v>5</v>
      </c>
      <c r="I364" s="387">
        <v>10.199999999999999</v>
      </c>
      <c r="J364" s="419"/>
      <c r="K364" s="426">
        <v>0</v>
      </c>
      <c r="L364" s="378">
        <f t="shared" si="15"/>
        <v>0</v>
      </c>
      <c r="M364" s="380">
        <f>IF(K364=0,0,IF(COUNTBLANK('3A-Prestatie'!$B$2:$I$22)=0,L364/VLOOKUP(E364,'3A-Prestatie'!$A$1:$M$22,VLOOKUP(K364,'3A-Prestatie'!$A$28:$B$34,2,FALSE),FALSE),"3A prestatie invullen"))</f>
        <v>0</v>
      </c>
      <c r="N364" s="380">
        <f t="shared" si="17"/>
        <v>0</v>
      </c>
      <c r="O364" s="381" t="str">
        <f>VLOOKUP(E364,'3A-Prestatie'!A:M,13,FALSE)</f>
        <v>N.v.t.</v>
      </c>
      <c r="P364" s="382">
        <f>IF(R364="Niet van toepassing",0,VLOOKUP(E364,'3B-Prestaties vloeren'!$A$3:$D$24,IF(G364="Hard onbehandeld",2,IF(G364="Hard behandeld",3,4)),FALSE))</f>
        <v>0</v>
      </c>
      <c r="Q364" s="383">
        <f t="shared" si="16"/>
        <v>0</v>
      </c>
      <c r="R364" s="384" t="str">
        <f>IF(K364=0,"Niet van toepassing",IF(G364='3B-Prestaties vloeren'!$B$2,"Schrobben",IF(G364='3B-Prestaties vloeren'!$C$2,"Sprayen/conserveren",IF(G364='3B-Prestaties vloeren'!$D$2,"Sproei-extractie",0))))</f>
        <v>Niet van toepassing</v>
      </c>
      <c r="S364" s="385">
        <f>IF('2-Tarieven'!$B$28=0,0,IF(M364=0,0,'2-Tarieven'!$B$28*M364))</f>
        <v>0</v>
      </c>
      <c r="T364" s="386">
        <f>IF(AND(COUNTBLANK('3B-Prestaties vloeren'!$F$3:$H$24)=0,COUNTBLANK('3B-Prestaties vloeren'!$L$3:$M$24)=0),IF(R364="Sprayen/conserveren",I364/VLOOKUP(E364,'3B-Prestaties vloeren'!$A$3:$M$24,12,FALSE),0)*(P364-1),0)</f>
        <v>0</v>
      </c>
      <c r="U364" s="386">
        <f>IF(AND(COUNTBLANK('3B-Prestaties vloeren'!$F$3:$H$24)=0,COUNTBLANK('3B-Prestaties vloeren'!$L$3:$M$24)=0),IF(R364="Sprayen/conserveren",I364/VLOOKUP(E364,'3B-Prestaties vloeren'!$A$3:$M$24,13,FALSE),0),0)</f>
        <v>0</v>
      </c>
      <c r="V364" s="386">
        <f>IF(AND(COUNTBLANK('3B-Prestaties vloeren'!$F$3:$H$24)=0,COUNTBLANK('3B-Prestaties vloeren'!$L$3:$M$24)=0),IF(R364="schrobben",I364/VLOOKUP(E364,'3B-Prestaties vloeren'!$A$3:$H$24,6,FALSE),0)*P364,0)</f>
        <v>0</v>
      </c>
      <c r="W364" s="386">
        <f>IF(AND(COUNTBLANK('3B-Prestaties vloeren'!$F$3:$H$24)=0,COUNTBLANK('3B-Prestaties vloeren'!$L$3:$M$24)=0),IF(R364="sproei-extractie",I364/VLOOKUP(E364,'3B-Prestaties vloeren'!$A$3:$H$24,8,FALSE),0)*P364,0)</f>
        <v>0</v>
      </c>
    </row>
    <row r="365" spans="1:23" ht="15" hidden="1">
      <c r="A365" s="378" t="s">
        <v>706</v>
      </c>
      <c r="B365" s="378" t="s">
        <v>678</v>
      </c>
      <c r="C365" s="378">
        <v>0</v>
      </c>
      <c r="D365" s="378" t="s">
        <v>310</v>
      </c>
      <c r="E365" s="378" t="s">
        <v>728</v>
      </c>
      <c r="F365" s="378" t="s">
        <v>695</v>
      </c>
      <c r="G365" s="378" t="str">
        <f>VLOOKUP(F365,'3B-Prestaties vloeren'!$A$28:$B$118,2,0)</f>
        <v>N.v.t.</v>
      </c>
      <c r="H365" s="378" t="s">
        <v>306</v>
      </c>
      <c r="I365" s="387">
        <v>10.199999999999999</v>
      </c>
      <c r="J365" s="419"/>
      <c r="K365" s="426">
        <v>0</v>
      </c>
      <c r="L365" s="378">
        <f t="shared" si="15"/>
        <v>0</v>
      </c>
      <c r="M365" s="380">
        <f>IF(K365=0,0,IF(COUNTBLANK('3A-Prestatie'!$B$2:$I$22)=0,L365/VLOOKUP(E365,'3A-Prestatie'!$A$1:$M$22,VLOOKUP(K365,'3A-Prestatie'!$A$28:$B$34,2,FALSE),FALSE),"3A prestatie invullen"))</f>
        <v>0</v>
      </c>
      <c r="N365" s="380">
        <f t="shared" si="17"/>
        <v>0</v>
      </c>
      <c r="O365" s="381" t="str">
        <f>VLOOKUP(E365,'3A-Prestatie'!A:M,13,FALSE)</f>
        <v>N.v.t.</v>
      </c>
      <c r="P365" s="382">
        <f>IF(R365="Niet van toepassing",0,VLOOKUP(E365,'3B-Prestaties vloeren'!$A$3:$D$24,IF(G365="Hard onbehandeld",2,IF(G365="Hard behandeld",3,4)),FALSE))</f>
        <v>0</v>
      </c>
      <c r="Q365" s="383">
        <f t="shared" si="16"/>
        <v>0</v>
      </c>
      <c r="R365" s="384" t="str">
        <f>IF(K365=0,"Niet van toepassing",IF(G365='3B-Prestaties vloeren'!$B$2,"Schrobben",IF(G365='3B-Prestaties vloeren'!$C$2,"Sprayen/conserveren",IF(G365='3B-Prestaties vloeren'!$D$2,"Sproei-extractie",0))))</f>
        <v>Niet van toepassing</v>
      </c>
      <c r="S365" s="385">
        <f>IF('2-Tarieven'!$B$28=0,0,IF(M365=0,0,'2-Tarieven'!$B$28*M365))</f>
        <v>0</v>
      </c>
      <c r="T365" s="386">
        <f>IF(AND(COUNTBLANK('3B-Prestaties vloeren'!$F$3:$H$24)=0,COUNTBLANK('3B-Prestaties vloeren'!$L$3:$M$24)=0),IF(R365="Sprayen/conserveren",I365/VLOOKUP(E365,'3B-Prestaties vloeren'!$A$3:$M$24,12,FALSE),0)*(P365-1),0)</f>
        <v>0</v>
      </c>
      <c r="U365" s="386">
        <f>IF(AND(COUNTBLANK('3B-Prestaties vloeren'!$F$3:$H$24)=0,COUNTBLANK('3B-Prestaties vloeren'!$L$3:$M$24)=0),IF(R365="Sprayen/conserveren",I365/VLOOKUP(E365,'3B-Prestaties vloeren'!$A$3:$M$24,13,FALSE),0),0)</f>
        <v>0</v>
      </c>
      <c r="V365" s="386">
        <f>IF(AND(COUNTBLANK('3B-Prestaties vloeren'!$F$3:$H$24)=0,COUNTBLANK('3B-Prestaties vloeren'!$L$3:$M$24)=0),IF(R365="schrobben",I365/VLOOKUP(E365,'3B-Prestaties vloeren'!$A$3:$H$24,6,FALSE),0)*P365,0)</f>
        <v>0</v>
      </c>
      <c r="W365" s="386">
        <f>IF(AND(COUNTBLANK('3B-Prestaties vloeren'!$F$3:$H$24)=0,COUNTBLANK('3B-Prestaties vloeren'!$L$3:$M$24)=0),IF(R365="sproei-extractie",I365/VLOOKUP(E365,'3B-Prestaties vloeren'!$A$3:$H$24,8,FALSE),0)*P365,0)</f>
        <v>0</v>
      </c>
    </row>
    <row r="366" spans="1:23" ht="15" hidden="1">
      <c r="A366" s="378" t="s">
        <v>706</v>
      </c>
      <c r="B366" s="378" t="s">
        <v>678</v>
      </c>
      <c r="C366" s="378">
        <v>0</v>
      </c>
      <c r="D366" s="378" t="s">
        <v>311</v>
      </c>
      <c r="E366" s="378" t="s">
        <v>728</v>
      </c>
      <c r="F366" s="378" t="s">
        <v>695</v>
      </c>
      <c r="G366" s="378" t="str">
        <f>VLOOKUP(F366,'3B-Prestaties vloeren'!$A$28:$B$118,2,0)</f>
        <v>N.v.t.</v>
      </c>
      <c r="H366" s="378" t="s">
        <v>651</v>
      </c>
      <c r="I366" s="387">
        <v>2.2999999999999998</v>
      </c>
      <c r="J366" s="419"/>
      <c r="K366" s="426">
        <v>0</v>
      </c>
      <c r="L366" s="378">
        <f t="shared" si="15"/>
        <v>0</v>
      </c>
      <c r="M366" s="380">
        <f>IF(K366=0,0,IF(COUNTBLANK('3A-Prestatie'!$B$2:$I$22)=0,L366/VLOOKUP(E366,'3A-Prestatie'!$A$1:$M$22,VLOOKUP(K366,'3A-Prestatie'!$A$28:$B$34,2,FALSE),FALSE),"3A prestatie invullen"))</f>
        <v>0</v>
      </c>
      <c r="N366" s="380">
        <f t="shared" si="17"/>
        <v>0</v>
      </c>
      <c r="O366" s="381" t="str">
        <f>VLOOKUP(E366,'3A-Prestatie'!A:M,13,FALSE)</f>
        <v>N.v.t.</v>
      </c>
      <c r="P366" s="382">
        <f>IF(R366="Niet van toepassing",0,VLOOKUP(E366,'3B-Prestaties vloeren'!$A$3:$D$24,IF(G366="Hard onbehandeld",2,IF(G366="Hard behandeld",3,4)),FALSE))</f>
        <v>0</v>
      </c>
      <c r="Q366" s="383">
        <f t="shared" si="16"/>
        <v>0</v>
      </c>
      <c r="R366" s="384" t="str">
        <f>IF(K366=0,"Niet van toepassing",IF(G366='3B-Prestaties vloeren'!$B$2,"Schrobben",IF(G366='3B-Prestaties vloeren'!$C$2,"Sprayen/conserveren",IF(G366='3B-Prestaties vloeren'!$D$2,"Sproei-extractie",0))))</f>
        <v>Niet van toepassing</v>
      </c>
      <c r="S366" s="385">
        <f>IF('2-Tarieven'!$B$28=0,0,IF(M366=0,0,'2-Tarieven'!$B$28*M366))</f>
        <v>0</v>
      </c>
      <c r="T366" s="386">
        <f>IF(AND(COUNTBLANK('3B-Prestaties vloeren'!$F$3:$H$24)=0,COUNTBLANK('3B-Prestaties vloeren'!$L$3:$M$24)=0),IF(R366="Sprayen/conserveren",I366/VLOOKUP(E366,'3B-Prestaties vloeren'!$A$3:$M$24,12,FALSE),0)*(P366-1),0)</f>
        <v>0</v>
      </c>
      <c r="U366" s="386">
        <f>IF(AND(COUNTBLANK('3B-Prestaties vloeren'!$F$3:$H$24)=0,COUNTBLANK('3B-Prestaties vloeren'!$L$3:$M$24)=0),IF(R366="Sprayen/conserveren",I366/VLOOKUP(E366,'3B-Prestaties vloeren'!$A$3:$M$24,13,FALSE),0),0)</f>
        <v>0</v>
      </c>
      <c r="V366" s="386">
        <f>IF(AND(COUNTBLANK('3B-Prestaties vloeren'!$F$3:$H$24)=0,COUNTBLANK('3B-Prestaties vloeren'!$L$3:$M$24)=0),IF(R366="schrobben",I366/VLOOKUP(E366,'3B-Prestaties vloeren'!$A$3:$H$24,6,FALSE),0)*P366,0)</f>
        <v>0</v>
      </c>
      <c r="W366" s="386">
        <f>IF(AND(COUNTBLANK('3B-Prestaties vloeren'!$F$3:$H$24)=0,COUNTBLANK('3B-Prestaties vloeren'!$L$3:$M$24)=0),IF(R366="sproei-extractie",I366/VLOOKUP(E366,'3B-Prestaties vloeren'!$A$3:$H$24,8,FALSE),0)*P366,0)</f>
        <v>0</v>
      </c>
    </row>
    <row r="367" spans="1:23" ht="15" hidden="1">
      <c r="A367" s="378" t="s">
        <v>706</v>
      </c>
      <c r="B367" s="378" t="s">
        <v>678</v>
      </c>
      <c r="C367" s="378">
        <v>0</v>
      </c>
      <c r="D367" s="378" t="s">
        <v>313</v>
      </c>
      <c r="E367" s="378" t="s">
        <v>728</v>
      </c>
      <c r="F367" s="378" t="s">
        <v>695</v>
      </c>
      <c r="G367" s="378" t="str">
        <f>VLOOKUP(F367,'3B-Prestaties vloeren'!$A$28:$B$118,2,0)</f>
        <v>N.v.t.</v>
      </c>
      <c r="H367" s="378" t="s">
        <v>283</v>
      </c>
      <c r="I367" s="387">
        <v>55</v>
      </c>
      <c r="J367" s="419"/>
      <c r="K367" s="426">
        <v>0</v>
      </c>
      <c r="L367" s="378">
        <f t="shared" si="15"/>
        <v>0</v>
      </c>
      <c r="M367" s="380">
        <f>IF(K367=0,0,IF(COUNTBLANK('3A-Prestatie'!$B$2:$I$22)=0,L367/VLOOKUP(E367,'3A-Prestatie'!$A$1:$M$22,VLOOKUP(K367,'3A-Prestatie'!$A$28:$B$34,2,FALSE),FALSE),"3A prestatie invullen"))</f>
        <v>0</v>
      </c>
      <c r="N367" s="380">
        <f t="shared" si="17"/>
        <v>0</v>
      </c>
      <c r="O367" s="381" t="str">
        <f>VLOOKUP(E367,'3A-Prestatie'!A:M,13,FALSE)</f>
        <v>N.v.t.</v>
      </c>
      <c r="P367" s="382">
        <f>IF(R367="Niet van toepassing",0,VLOOKUP(E367,'3B-Prestaties vloeren'!$A$3:$D$24,IF(G367="Hard onbehandeld",2,IF(G367="Hard behandeld",3,4)),FALSE))</f>
        <v>0</v>
      </c>
      <c r="Q367" s="383">
        <f t="shared" si="16"/>
        <v>0</v>
      </c>
      <c r="R367" s="384" t="str">
        <f>IF(K367=0,"Niet van toepassing",IF(G367='3B-Prestaties vloeren'!$B$2,"Schrobben",IF(G367='3B-Prestaties vloeren'!$C$2,"Sprayen/conserveren",IF(G367='3B-Prestaties vloeren'!$D$2,"Sproei-extractie",0))))</f>
        <v>Niet van toepassing</v>
      </c>
      <c r="S367" s="385">
        <f>IF('2-Tarieven'!$B$28=0,0,IF(M367=0,0,'2-Tarieven'!$B$28*M367))</f>
        <v>0</v>
      </c>
      <c r="T367" s="386">
        <f>IF(AND(COUNTBLANK('3B-Prestaties vloeren'!$F$3:$H$24)=0,COUNTBLANK('3B-Prestaties vloeren'!$L$3:$M$24)=0),IF(R367="Sprayen/conserveren",I367/VLOOKUP(E367,'3B-Prestaties vloeren'!$A$3:$M$24,12,FALSE),0)*(P367-1),0)</f>
        <v>0</v>
      </c>
      <c r="U367" s="386">
        <f>IF(AND(COUNTBLANK('3B-Prestaties vloeren'!$F$3:$H$24)=0,COUNTBLANK('3B-Prestaties vloeren'!$L$3:$M$24)=0),IF(R367="Sprayen/conserveren",I367/VLOOKUP(E367,'3B-Prestaties vloeren'!$A$3:$M$24,13,FALSE),0),0)</f>
        <v>0</v>
      </c>
      <c r="V367" s="386">
        <f>IF(AND(COUNTBLANK('3B-Prestaties vloeren'!$F$3:$H$24)=0,COUNTBLANK('3B-Prestaties vloeren'!$L$3:$M$24)=0),IF(R367="schrobben",I367/VLOOKUP(E367,'3B-Prestaties vloeren'!$A$3:$H$24,6,FALSE),0)*P367,0)</f>
        <v>0</v>
      </c>
      <c r="W367" s="386">
        <f>IF(AND(COUNTBLANK('3B-Prestaties vloeren'!$F$3:$H$24)=0,COUNTBLANK('3B-Prestaties vloeren'!$L$3:$M$24)=0),IF(R367="sproei-extractie",I367/VLOOKUP(E367,'3B-Prestaties vloeren'!$A$3:$H$24,8,FALSE),0)*P367,0)</f>
        <v>0</v>
      </c>
    </row>
    <row r="368" spans="1:23" ht="15" hidden="1">
      <c r="A368" s="378" t="s">
        <v>706</v>
      </c>
      <c r="B368" s="378" t="s">
        <v>678</v>
      </c>
      <c r="C368" s="378">
        <v>0</v>
      </c>
      <c r="D368" s="378" t="s">
        <v>315</v>
      </c>
      <c r="E368" s="378" t="s">
        <v>728</v>
      </c>
      <c r="F368" s="378" t="s">
        <v>695</v>
      </c>
      <c r="G368" s="378" t="str">
        <f>VLOOKUP(F368,'3B-Prestaties vloeren'!$A$28:$B$118,2,0)</f>
        <v>N.v.t.</v>
      </c>
      <c r="H368" s="378" t="s">
        <v>714</v>
      </c>
      <c r="I368" s="387">
        <v>1890</v>
      </c>
      <c r="J368" s="419"/>
      <c r="K368" s="426">
        <v>0</v>
      </c>
      <c r="L368" s="378">
        <f t="shared" si="15"/>
        <v>0</v>
      </c>
      <c r="M368" s="380">
        <f>IF(K368=0,0,IF(COUNTBLANK('3A-Prestatie'!$B$2:$I$22)=0,L368/VLOOKUP(E368,'3A-Prestatie'!$A$1:$M$22,VLOOKUP(K368,'3A-Prestatie'!$A$28:$B$34,2,FALSE),FALSE),"3A prestatie invullen"))</f>
        <v>0</v>
      </c>
      <c r="N368" s="380">
        <f t="shared" si="17"/>
        <v>0</v>
      </c>
      <c r="O368" s="381" t="str">
        <f>VLOOKUP(E368,'3A-Prestatie'!A:M,13,FALSE)</f>
        <v>N.v.t.</v>
      </c>
      <c r="P368" s="382">
        <f>IF(R368="Niet van toepassing",0,VLOOKUP(E368,'3B-Prestaties vloeren'!$A$3:$D$24,IF(G368="Hard onbehandeld",2,IF(G368="Hard behandeld",3,4)),FALSE))</f>
        <v>0</v>
      </c>
      <c r="Q368" s="383">
        <f t="shared" si="16"/>
        <v>0</v>
      </c>
      <c r="R368" s="384" t="str">
        <f>IF(K368=0,"Niet van toepassing",IF(G368='3B-Prestaties vloeren'!$B$2,"Schrobben",IF(G368='3B-Prestaties vloeren'!$C$2,"Sprayen/conserveren",IF(G368='3B-Prestaties vloeren'!$D$2,"Sproei-extractie",0))))</f>
        <v>Niet van toepassing</v>
      </c>
      <c r="S368" s="385">
        <f>IF('2-Tarieven'!$B$28=0,0,IF(M368=0,0,'2-Tarieven'!$B$28*M368))</f>
        <v>0</v>
      </c>
      <c r="T368" s="386">
        <f>IF(AND(COUNTBLANK('3B-Prestaties vloeren'!$F$3:$H$24)=0,COUNTBLANK('3B-Prestaties vloeren'!$L$3:$M$24)=0),IF(R368="Sprayen/conserveren",I368/VLOOKUP(E368,'3B-Prestaties vloeren'!$A$3:$M$24,12,FALSE),0)*(P368-1),0)</f>
        <v>0</v>
      </c>
      <c r="U368" s="386">
        <f>IF(AND(COUNTBLANK('3B-Prestaties vloeren'!$F$3:$H$24)=0,COUNTBLANK('3B-Prestaties vloeren'!$L$3:$M$24)=0),IF(R368="Sprayen/conserveren",I368/VLOOKUP(E368,'3B-Prestaties vloeren'!$A$3:$M$24,13,FALSE),0),0)</f>
        <v>0</v>
      </c>
      <c r="V368" s="386">
        <f>IF(AND(COUNTBLANK('3B-Prestaties vloeren'!$F$3:$H$24)=0,COUNTBLANK('3B-Prestaties vloeren'!$L$3:$M$24)=0),IF(R368="schrobben",I368/VLOOKUP(E368,'3B-Prestaties vloeren'!$A$3:$H$24,6,FALSE),0)*P368,0)</f>
        <v>0</v>
      </c>
      <c r="W368" s="386">
        <f>IF(AND(COUNTBLANK('3B-Prestaties vloeren'!$F$3:$H$24)=0,COUNTBLANK('3B-Prestaties vloeren'!$L$3:$M$24)=0),IF(R368="sproei-extractie",I368/VLOOKUP(E368,'3B-Prestaties vloeren'!$A$3:$H$24,8,FALSE),0)*P368,0)</f>
        <v>0</v>
      </c>
    </row>
    <row r="369" spans="1:23" ht="15" hidden="1">
      <c r="A369" s="378" t="s">
        <v>706</v>
      </c>
      <c r="B369" s="378" t="s">
        <v>678</v>
      </c>
      <c r="C369" s="378">
        <v>0</v>
      </c>
      <c r="D369" s="378" t="s">
        <v>317</v>
      </c>
      <c r="E369" s="378" t="s">
        <v>728</v>
      </c>
      <c r="F369" s="378" t="s">
        <v>695</v>
      </c>
      <c r="G369" s="378" t="str">
        <f>VLOOKUP(F369,'3B-Prestaties vloeren'!$A$28:$B$118,2,0)</f>
        <v>N.v.t.</v>
      </c>
      <c r="H369" s="378" t="s">
        <v>715</v>
      </c>
      <c r="I369" s="387">
        <v>2740</v>
      </c>
      <c r="J369" s="419"/>
      <c r="K369" s="426">
        <v>0</v>
      </c>
      <c r="L369" s="378">
        <f t="shared" si="15"/>
        <v>0</v>
      </c>
      <c r="M369" s="380">
        <f>IF(K369=0,0,IF(COUNTBLANK('3A-Prestatie'!$B$2:$I$22)=0,L369/VLOOKUP(E369,'3A-Prestatie'!$A$1:$M$22,VLOOKUP(K369,'3A-Prestatie'!$A$28:$B$34,2,FALSE),FALSE),"3A prestatie invullen"))</f>
        <v>0</v>
      </c>
      <c r="N369" s="380">
        <f t="shared" si="17"/>
        <v>0</v>
      </c>
      <c r="O369" s="381" t="str">
        <f>VLOOKUP(E369,'3A-Prestatie'!A:M,13,FALSE)</f>
        <v>N.v.t.</v>
      </c>
      <c r="P369" s="382">
        <f>IF(R369="Niet van toepassing",0,VLOOKUP(E369,'3B-Prestaties vloeren'!$A$3:$D$24,IF(G369="Hard onbehandeld",2,IF(G369="Hard behandeld",3,4)),FALSE))</f>
        <v>0</v>
      </c>
      <c r="Q369" s="383">
        <f t="shared" si="16"/>
        <v>0</v>
      </c>
      <c r="R369" s="384" t="str">
        <f>IF(K369=0,"Niet van toepassing",IF(G369='3B-Prestaties vloeren'!$B$2,"Schrobben",IF(G369='3B-Prestaties vloeren'!$C$2,"Sprayen/conserveren",IF(G369='3B-Prestaties vloeren'!$D$2,"Sproei-extractie",0))))</f>
        <v>Niet van toepassing</v>
      </c>
      <c r="S369" s="385">
        <f>IF('2-Tarieven'!$B$28=0,0,IF(M369=0,0,'2-Tarieven'!$B$28*M369))</f>
        <v>0</v>
      </c>
      <c r="T369" s="386">
        <f>IF(AND(COUNTBLANK('3B-Prestaties vloeren'!$F$3:$H$24)=0,COUNTBLANK('3B-Prestaties vloeren'!$L$3:$M$24)=0),IF(R369="Sprayen/conserveren",I369/VLOOKUP(E369,'3B-Prestaties vloeren'!$A$3:$M$24,12,FALSE),0)*(P369-1),0)</f>
        <v>0</v>
      </c>
      <c r="U369" s="386">
        <f>IF(AND(COUNTBLANK('3B-Prestaties vloeren'!$F$3:$H$24)=0,COUNTBLANK('3B-Prestaties vloeren'!$L$3:$M$24)=0),IF(R369="Sprayen/conserveren",I369/VLOOKUP(E369,'3B-Prestaties vloeren'!$A$3:$M$24,13,FALSE),0),0)</f>
        <v>0</v>
      </c>
      <c r="V369" s="386">
        <f>IF(AND(COUNTBLANK('3B-Prestaties vloeren'!$F$3:$H$24)=0,COUNTBLANK('3B-Prestaties vloeren'!$L$3:$M$24)=0),IF(R369="schrobben",I369/VLOOKUP(E369,'3B-Prestaties vloeren'!$A$3:$H$24,6,FALSE),0)*P369,0)</f>
        <v>0</v>
      </c>
      <c r="W369" s="386">
        <f>IF(AND(COUNTBLANK('3B-Prestaties vloeren'!$F$3:$H$24)=0,COUNTBLANK('3B-Prestaties vloeren'!$L$3:$M$24)=0),IF(R369="sproei-extractie",I369/VLOOKUP(E369,'3B-Prestaties vloeren'!$A$3:$H$24,8,FALSE),0)*P369,0)</f>
        <v>0</v>
      </c>
    </row>
    <row r="370" spans="1:23" ht="15" hidden="1">
      <c r="A370" s="378" t="s">
        <v>706</v>
      </c>
      <c r="B370" s="378" t="s">
        <v>678</v>
      </c>
      <c r="C370" s="378">
        <v>0</v>
      </c>
      <c r="D370" s="378" t="s">
        <v>320</v>
      </c>
      <c r="E370" s="378" t="s">
        <v>728</v>
      </c>
      <c r="F370" s="378" t="s">
        <v>695</v>
      </c>
      <c r="G370" s="378" t="str">
        <f>VLOOKUP(F370,'3B-Prestaties vloeren'!$A$28:$B$118,2,0)</f>
        <v>N.v.t.</v>
      </c>
      <c r="H370" s="378" t="s">
        <v>705</v>
      </c>
      <c r="I370" s="378">
        <v>750</v>
      </c>
      <c r="J370" s="419"/>
      <c r="K370" s="426">
        <v>0</v>
      </c>
      <c r="L370" s="378">
        <f t="shared" si="15"/>
        <v>0</v>
      </c>
      <c r="M370" s="380">
        <f>IF(K370=0,0,IF(COUNTBLANK('3A-Prestatie'!$B$2:$I$22)=0,L370/VLOOKUP(E370,'3A-Prestatie'!$A$1:$M$22,VLOOKUP(K370,'3A-Prestatie'!$A$28:$B$34,2,FALSE),FALSE),"3A prestatie invullen"))</f>
        <v>0</v>
      </c>
      <c r="N370" s="380">
        <f t="shared" si="17"/>
        <v>0</v>
      </c>
      <c r="O370" s="381" t="str">
        <f>VLOOKUP(E370,'3A-Prestatie'!A:M,13,FALSE)</f>
        <v>N.v.t.</v>
      </c>
      <c r="P370" s="382">
        <f>IF(R370="Niet van toepassing",0,VLOOKUP(E370,'3B-Prestaties vloeren'!$A$3:$D$24,IF(G370="Hard onbehandeld",2,IF(G370="Hard behandeld",3,4)),FALSE))</f>
        <v>0</v>
      </c>
      <c r="Q370" s="383">
        <f t="shared" si="16"/>
        <v>0</v>
      </c>
      <c r="R370" s="384" t="str">
        <f>IF(K370=0,"Niet van toepassing",IF(G370='3B-Prestaties vloeren'!$B$2,"Schrobben",IF(G370='3B-Prestaties vloeren'!$C$2,"Sprayen/conserveren",IF(G370='3B-Prestaties vloeren'!$D$2,"Sproei-extractie",0))))</f>
        <v>Niet van toepassing</v>
      </c>
      <c r="S370" s="385">
        <f>IF('2-Tarieven'!$B$28=0,0,IF(M370=0,0,'2-Tarieven'!$B$28*M370))</f>
        <v>0</v>
      </c>
      <c r="T370" s="386">
        <f>IF(AND(COUNTBLANK('3B-Prestaties vloeren'!$F$3:$H$24)=0,COUNTBLANK('3B-Prestaties vloeren'!$L$3:$M$24)=0),IF(R370="Sprayen/conserveren",I370/VLOOKUP(E370,'3B-Prestaties vloeren'!$A$3:$M$24,12,FALSE),0)*(P370-1),0)</f>
        <v>0</v>
      </c>
      <c r="U370" s="386">
        <f>IF(AND(COUNTBLANK('3B-Prestaties vloeren'!$F$3:$H$24)=0,COUNTBLANK('3B-Prestaties vloeren'!$L$3:$M$24)=0),IF(R370="Sprayen/conserveren",I370/VLOOKUP(E370,'3B-Prestaties vloeren'!$A$3:$M$24,13,FALSE),0),0)</f>
        <v>0</v>
      </c>
      <c r="V370" s="386">
        <f>IF(AND(COUNTBLANK('3B-Prestaties vloeren'!$F$3:$H$24)=0,COUNTBLANK('3B-Prestaties vloeren'!$L$3:$M$24)=0),IF(R370="schrobben",I370/VLOOKUP(E370,'3B-Prestaties vloeren'!$A$3:$H$24,6,FALSE),0)*P370,0)</f>
        <v>0</v>
      </c>
      <c r="W370" s="386">
        <f>IF(AND(COUNTBLANK('3B-Prestaties vloeren'!$F$3:$H$24)=0,COUNTBLANK('3B-Prestaties vloeren'!$L$3:$M$24)=0),IF(R370="sproei-extractie",I370/VLOOKUP(E370,'3B-Prestaties vloeren'!$A$3:$H$24,8,FALSE),0)*P370,0)</f>
        <v>0</v>
      </c>
    </row>
    <row r="371" spans="1:23" ht="15" hidden="1">
      <c r="A371" s="378" t="s">
        <v>706</v>
      </c>
      <c r="B371" s="378" t="s">
        <v>678</v>
      </c>
      <c r="C371" s="378">
        <v>0</v>
      </c>
      <c r="D371" s="378" t="s">
        <v>321</v>
      </c>
      <c r="E371" s="378" t="s">
        <v>728</v>
      </c>
      <c r="F371" s="378" t="s">
        <v>695</v>
      </c>
      <c r="G371" s="378" t="str">
        <f>VLOOKUP(F371,'3B-Prestaties vloeren'!$A$28:$B$118,2,0)</f>
        <v>N.v.t.</v>
      </c>
      <c r="H371" s="378" t="s">
        <v>715</v>
      </c>
      <c r="I371" s="378">
        <v>1360</v>
      </c>
      <c r="J371" s="419"/>
      <c r="K371" s="426">
        <v>0</v>
      </c>
      <c r="L371" s="378">
        <f t="shared" si="15"/>
        <v>0</v>
      </c>
      <c r="M371" s="380">
        <f>IF(K371=0,0,IF(COUNTBLANK('3A-Prestatie'!$B$2:$I$22)=0,L371/VLOOKUP(E371,'3A-Prestatie'!$A$1:$M$22,VLOOKUP(K371,'3A-Prestatie'!$A$28:$B$34,2,FALSE),FALSE),"3A prestatie invullen"))</f>
        <v>0</v>
      </c>
      <c r="N371" s="380">
        <f t="shared" si="17"/>
        <v>0</v>
      </c>
      <c r="O371" s="381" t="str">
        <f>VLOOKUP(E371,'3A-Prestatie'!A:M,13,FALSE)</f>
        <v>N.v.t.</v>
      </c>
      <c r="P371" s="382">
        <f>IF(R371="Niet van toepassing",0,VLOOKUP(E371,'3B-Prestaties vloeren'!$A$3:$D$24,IF(G371="Hard onbehandeld",2,IF(G371="Hard behandeld",3,4)),FALSE))</f>
        <v>0</v>
      </c>
      <c r="Q371" s="383">
        <f t="shared" si="16"/>
        <v>0</v>
      </c>
      <c r="R371" s="384" t="str">
        <f>IF(K371=0,"Niet van toepassing",IF(G371='3B-Prestaties vloeren'!$B$2,"Schrobben",IF(G371='3B-Prestaties vloeren'!$C$2,"Sprayen/conserveren",IF(G371='3B-Prestaties vloeren'!$D$2,"Sproei-extractie",0))))</f>
        <v>Niet van toepassing</v>
      </c>
      <c r="S371" s="385">
        <f>IF('2-Tarieven'!$B$28=0,0,IF(M371=0,0,'2-Tarieven'!$B$28*M371))</f>
        <v>0</v>
      </c>
      <c r="T371" s="386">
        <f>IF(AND(COUNTBLANK('3B-Prestaties vloeren'!$F$3:$H$24)=0,COUNTBLANK('3B-Prestaties vloeren'!$L$3:$M$24)=0),IF(R371="Sprayen/conserveren",I371/VLOOKUP(E371,'3B-Prestaties vloeren'!$A$3:$M$24,12,FALSE),0)*(P371-1),0)</f>
        <v>0</v>
      </c>
      <c r="U371" s="386">
        <f>IF(AND(COUNTBLANK('3B-Prestaties vloeren'!$F$3:$H$24)=0,COUNTBLANK('3B-Prestaties vloeren'!$L$3:$M$24)=0),IF(R371="Sprayen/conserveren",I371/VLOOKUP(E371,'3B-Prestaties vloeren'!$A$3:$M$24,13,FALSE),0),0)</f>
        <v>0</v>
      </c>
      <c r="V371" s="386">
        <f>IF(AND(COUNTBLANK('3B-Prestaties vloeren'!$F$3:$H$24)=0,COUNTBLANK('3B-Prestaties vloeren'!$L$3:$M$24)=0),IF(R371="schrobben",I371/VLOOKUP(E371,'3B-Prestaties vloeren'!$A$3:$H$24,6,FALSE),0)*P371,0)</f>
        <v>0</v>
      </c>
      <c r="W371" s="386">
        <f>IF(AND(COUNTBLANK('3B-Prestaties vloeren'!$F$3:$H$24)=0,COUNTBLANK('3B-Prestaties vloeren'!$L$3:$M$24)=0),IF(R371="sproei-extractie",I371/VLOOKUP(E371,'3B-Prestaties vloeren'!$A$3:$H$24,8,FALSE),0)*P371,0)</f>
        <v>0</v>
      </c>
    </row>
    <row r="372" spans="1:23" ht="15" hidden="1">
      <c r="A372" s="378" t="s">
        <v>706</v>
      </c>
      <c r="B372" s="378" t="s">
        <v>678</v>
      </c>
      <c r="C372" s="378">
        <v>0</v>
      </c>
      <c r="D372" s="378" t="s">
        <v>322</v>
      </c>
      <c r="E372" s="378" t="s">
        <v>728</v>
      </c>
      <c r="F372" s="378" t="s">
        <v>695</v>
      </c>
      <c r="G372" s="378" t="str">
        <f>VLOOKUP(F372,'3B-Prestaties vloeren'!$A$28:$B$118,2,0)</f>
        <v>N.v.t.</v>
      </c>
      <c r="H372" s="378" t="s">
        <v>716</v>
      </c>
      <c r="I372" s="378">
        <v>290</v>
      </c>
      <c r="J372" s="419"/>
      <c r="K372" s="426">
        <v>0</v>
      </c>
      <c r="L372" s="378">
        <f t="shared" si="15"/>
        <v>0</v>
      </c>
      <c r="M372" s="380">
        <f>IF(K372=0,0,IF(COUNTBLANK('3A-Prestatie'!$B$2:$I$22)=0,L372/VLOOKUP(E372,'3A-Prestatie'!$A$1:$M$22,VLOOKUP(K372,'3A-Prestatie'!$A$28:$B$34,2,FALSE),FALSE),"3A prestatie invullen"))</f>
        <v>0</v>
      </c>
      <c r="N372" s="380">
        <f t="shared" si="17"/>
        <v>0</v>
      </c>
      <c r="O372" s="381" t="str">
        <f>VLOOKUP(E372,'3A-Prestatie'!A:M,13,FALSE)</f>
        <v>N.v.t.</v>
      </c>
      <c r="P372" s="382">
        <f>IF(R372="Niet van toepassing",0,VLOOKUP(E372,'3B-Prestaties vloeren'!$A$3:$D$24,IF(G372="Hard onbehandeld",2,IF(G372="Hard behandeld",3,4)),FALSE))</f>
        <v>0</v>
      </c>
      <c r="Q372" s="383">
        <f t="shared" si="16"/>
        <v>0</v>
      </c>
      <c r="R372" s="384" t="str">
        <f>IF(K372=0,"Niet van toepassing",IF(G372='3B-Prestaties vloeren'!$B$2,"Schrobben",IF(G372='3B-Prestaties vloeren'!$C$2,"Sprayen/conserveren",IF(G372='3B-Prestaties vloeren'!$D$2,"Sproei-extractie",0))))</f>
        <v>Niet van toepassing</v>
      </c>
      <c r="S372" s="385">
        <f>IF('2-Tarieven'!$B$28=0,0,IF(M372=0,0,'2-Tarieven'!$B$28*M372))</f>
        <v>0</v>
      </c>
      <c r="T372" s="386">
        <f>IF(AND(COUNTBLANK('3B-Prestaties vloeren'!$F$3:$H$24)=0,COUNTBLANK('3B-Prestaties vloeren'!$L$3:$M$24)=0),IF(R372="Sprayen/conserveren",I372/VLOOKUP(E372,'3B-Prestaties vloeren'!$A$3:$M$24,12,FALSE),0)*(P372-1),0)</f>
        <v>0</v>
      </c>
      <c r="U372" s="386">
        <f>IF(AND(COUNTBLANK('3B-Prestaties vloeren'!$F$3:$H$24)=0,COUNTBLANK('3B-Prestaties vloeren'!$L$3:$M$24)=0),IF(R372="Sprayen/conserveren",I372/VLOOKUP(E372,'3B-Prestaties vloeren'!$A$3:$M$24,13,FALSE),0),0)</f>
        <v>0</v>
      </c>
      <c r="V372" s="386">
        <f>IF(AND(COUNTBLANK('3B-Prestaties vloeren'!$F$3:$H$24)=0,COUNTBLANK('3B-Prestaties vloeren'!$L$3:$M$24)=0),IF(R372="schrobben",I372/VLOOKUP(E372,'3B-Prestaties vloeren'!$A$3:$H$24,6,FALSE),0)*P372,0)</f>
        <v>0</v>
      </c>
      <c r="W372" s="386">
        <f>IF(AND(COUNTBLANK('3B-Prestaties vloeren'!$F$3:$H$24)=0,COUNTBLANK('3B-Prestaties vloeren'!$L$3:$M$24)=0),IF(R372="sproei-extractie",I372/VLOOKUP(E372,'3B-Prestaties vloeren'!$A$3:$H$24,8,FALSE),0)*P372,0)</f>
        <v>0</v>
      </c>
    </row>
    <row r="373" spans="1:23" ht="15" hidden="1">
      <c r="A373" s="378" t="s">
        <v>706</v>
      </c>
      <c r="B373" s="378" t="s">
        <v>678</v>
      </c>
      <c r="C373" s="378">
        <v>0</v>
      </c>
      <c r="D373" s="378" t="s">
        <v>323</v>
      </c>
      <c r="E373" s="378" t="s">
        <v>728</v>
      </c>
      <c r="F373" s="378" t="s">
        <v>695</v>
      </c>
      <c r="G373" s="378" t="str">
        <f>VLOOKUP(F373,'3B-Prestaties vloeren'!$A$28:$B$118,2,0)</f>
        <v>N.v.t.</v>
      </c>
      <c r="H373" s="378" t="s">
        <v>715</v>
      </c>
      <c r="I373" s="378">
        <v>420</v>
      </c>
      <c r="J373" s="419"/>
      <c r="K373" s="426">
        <v>0</v>
      </c>
      <c r="L373" s="378">
        <f t="shared" si="15"/>
        <v>0</v>
      </c>
      <c r="M373" s="380">
        <f>IF(K373=0,0,IF(COUNTBLANK('3A-Prestatie'!$B$2:$I$22)=0,L373/VLOOKUP(E373,'3A-Prestatie'!$A$1:$M$22,VLOOKUP(K373,'3A-Prestatie'!$A$28:$B$34,2,FALSE),FALSE),"3A prestatie invullen"))</f>
        <v>0</v>
      </c>
      <c r="N373" s="380">
        <f t="shared" si="17"/>
        <v>0</v>
      </c>
      <c r="O373" s="381" t="str">
        <f>VLOOKUP(E373,'3A-Prestatie'!A:M,13,FALSE)</f>
        <v>N.v.t.</v>
      </c>
      <c r="P373" s="382">
        <f>IF(R373="Niet van toepassing",0,VLOOKUP(E373,'3B-Prestaties vloeren'!$A$3:$D$24,IF(G373="Hard onbehandeld",2,IF(G373="Hard behandeld",3,4)),FALSE))</f>
        <v>0</v>
      </c>
      <c r="Q373" s="383">
        <f t="shared" si="16"/>
        <v>0</v>
      </c>
      <c r="R373" s="384" t="str">
        <f>IF(K373=0,"Niet van toepassing",IF(G373='3B-Prestaties vloeren'!$B$2,"Schrobben",IF(G373='3B-Prestaties vloeren'!$C$2,"Sprayen/conserveren",IF(G373='3B-Prestaties vloeren'!$D$2,"Sproei-extractie",0))))</f>
        <v>Niet van toepassing</v>
      </c>
      <c r="S373" s="385">
        <f>IF('2-Tarieven'!$B$28=0,0,IF(M373=0,0,'2-Tarieven'!$B$28*M373))</f>
        <v>0</v>
      </c>
      <c r="T373" s="386">
        <f>IF(AND(COUNTBLANK('3B-Prestaties vloeren'!$F$3:$H$24)=0,COUNTBLANK('3B-Prestaties vloeren'!$L$3:$M$24)=0),IF(R373="Sprayen/conserveren",I373/VLOOKUP(E373,'3B-Prestaties vloeren'!$A$3:$M$24,12,FALSE),0)*(P373-1),0)</f>
        <v>0</v>
      </c>
      <c r="U373" s="386">
        <f>IF(AND(COUNTBLANK('3B-Prestaties vloeren'!$F$3:$H$24)=0,COUNTBLANK('3B-Prestaties vloeren'!$L$3:$M$24)=0),IF(R373="Sprayen/conserveren",I373/VLOOKUP(E373,'3B-Prestaties vloeren'!$A$3:$M$24,13,FALSE),0),0)</f>
        <v>0</v>
      </c>
      <c r="V373" s="386">
        <f>IF(AND(COUNTBLANK('3B-Prestaties vloeren'!$F$3:$H$24)=0,COUNTBLANK('3B-Prestaties vloeren'!$L$3:$M$24)=0),IF(R373="schrobben",I373/VLOOKUP(E373,'3B-Prestaties vloeren'!$A$3:$H$24,6,FALSE),0)*P373,0)</f>
        <v>0</v>
      </c>
      <c r="W373" s="386">
        <f>IF(AND(COUNTBLANK('3B-Prestaties vloeren'!$F$3:$H$24)=0,COUNTBLANK('3B-Prestaties vloeren'!$L$3:$M$24)=0),IF(R373="sproei-extractie",I373/VLOOKUP(E373,'3B-Prestaties vloeren'!$A$3:$H$24,8,FALSE),0)*P373,0)</f>
        <v>0</v>
      </c>
    </row>
    <row r="374" spans="1:23" ht="15" hidden="1">
      <c r="A374" s="378" t="s">
        <v>706</v>
      </c>
      <c r="B374" s="378" t="s">
        <v>678</v>
      </c>
      <c r="C374" s="378">
        <v>0</v>
      </c>
      <c r="D374" s="378" t="s">
        <v>324</v>
      </c>
      <c r="E374" s="378" t="s">
        <v>728</v>
      </c>
      <c r="F374" s="378" t="s">
        <v>695</v>
      </c>
      <c r="G374" s="378" t="str">
        <f>VLOOKUP(F374,'3B-Prestaties vloeren'!$A$28:$B$118,2,0)</f>
        <v>N.v.t.</v>
      </c>
      <c r="H374" s="378" t="s">
        <v>717</v>
      </c>
      <c r="I374" s="378">
        <v>700</v>
      </c>
      <c r="J374" s="419"/>
      <c r="K374" s="426">
        <v>0</v>
      </c>
      <c r="L374" s="378">
        <f t="shared" si="15"/>
        <v>0</v>
      </c>
      <c r="M374" s="380">
        <f>IF(K374=0,0,IF(COUNTBLANK('3A-Prestatie'!$B$2:$I$22)=0,L374/VLOOKUP(E374,'3A-Prestatie'!$A$1:$M$22,VLOOKUP(K374,'3A-Prestatie'!$A$28:$B$34,2,FALSE),FALSE),"3A prestatie invullen"))</f>
        <v>0</v>
      </c>
      <c r="N374" s="380">
        <f t="shared" si="17"/>
        <v>0</v>
      </c>
      <c r="O374" s="381" t="str">
        <f>VLOOKUP(E374,'3A-Prestatie'!A:M,13,FALSE)</f>
        <v>N.v.t.</v>
      </c>
      <c r="P374" s="382">
        <f>IF(R374="Niet van toepassing",0,VLOOKUP(E374,'3B-Prestaties vloeren'!$A$3:$D$24,IF(G374="Hard onbehandeld",2,IF(G374="Hard behandeld",3,4)),FALSE))</f>
        <v>0</v>
      </c>
      <c r="Q374" s="383">
        <f t="shared" si="16"/>
        <v>0</v>
      </c>
      <c r="R374" s="384" t="str">
        <f>IF(K374=0,"Niet van toepassing",IF(G374='3B-Prestaties vloeren'!$B$2,"Schrobben",IF(G374='3B-Prestaties vloeren'!$C$2,"Sprayen/conserveren",IF(G374='3B-Prestaties vloeren'!$D$2,"Sproei-extractie",0))))</f>
        <v>Niet van toepassing</v>
      </c>
      <c r="S374" s="385">
        <f>IF('2-Tarieven'!$B$28=0,0,IF(M374=0,0,'2-Tarieven'!$B$28*M374))</f>
        <v>0</v>
      </c>
      <c r="T374" s="386">
        <f>IF(AND(COUNTBLANK('3B-Prestaties vloeren'!$F$3:$H$24)=0,COUNTBLANK('3B-Prestaties vloeren'!$L$3:$M$24)=0),IF(R374="Sprayen/conserveren",I374/VLOOKUP(E374,'3B-Prestaties vloeren'!$A$3:$M$24,12,FALSE),0)*(P374-1),0)</f>
        <v>0</v>
      </c>
      <c r="U374" s="386">
        <f>IF(AND(COUNTBLANK('3B-Prestaties vloeren'!$F$3:$H$24)=0,COUNTBLANK('3B-Prestaties vloeren'!$L$3:$M$24)=0),IF(R374="Sprayen/conserveren",I374/VLOOKUP(E374,'3B-Prestaties vloeren'!$A$3:$M$24,13,FALSE),0),0)</f>
        <v>0</v>
      </c>
      <c r="V374" s="386">
        <f>IF(AND(COUNTBLANK('3B-Prestaties vloeren'!$F$3:$H$24)=0,COUNTBLANK('3B-Prestaties vloeren'!$L$3:$M$24)=0),IF(R374="schrobben",I374/VLOOKUP(E374,'3B-Prestaties vloeren'!$A$3:$H$24,6,FALSE),0)*P374,0)</f>
        <v>0</v>
      </c>
      <c r="W374" s="386">
        <f>IF(AND(COUNTBLANK('3B-Prestaties vloeren'!$F$3:$H$24)=0,COUNTBLANK('3B-Prestaties vloeren'!$L$3:$M$24)=0),IF(R374="sproei-extractie",I374/VLOOKUP(E374,'3B-Prestaties vloeren'!$A$3:$H$24,8,FALSE),0)*P374,0)</f>
        <v>0</v>
      </c>
    </row>
    <row r="375" spans="1:23" ht="15" hidden="1">
      <c r="A375" s="378" t="s">
        <v>706</v>
      </c>
      <c r="B375" s="378" t="s">
        <v>678</v>
      </c>
      <c r="C375" s="378">
        <v>0</v>
      </c>
      <c r="D375" s="378" t="s">
        <v>325</v>
      </c>
      <c r="E375" s="378" t="s">
        <v>728</v>
      </c>
      <c r="F375" s="378" t="s">
        <v>695</v>
      </c>
      <c r="G375" s="378" t="str">
        <f>VLOOKUP(F375,'3B-Prestaties vloeren'!$A$28:$B$118,2,0)</f>
        <v>N.v.t.</v>
      </c>
      <c r="H375" s="378" t="s">
        <v>62</v>
      </c>
      <c r="I375" s="378">
        <v>1090</v>
      </c>
      <c r="J375" s="419"/>
      <c r="K375" s="426">
        <v>0</v>
      </c>
      <c r="L375" s="378">
        <f t="shared" si="15"/>
        <v>0</v>
      </c>
      <c r="M375" s="380">
        <f>IF(K375=0,0,IF(COUNTBLANK('3A-Prestatie'!$B$2:$I$22)=0,L375/VLOOKUP(E375,'3A-Prestatie'!$A$1:$M$22,VLOOKUP(K375,'3A-Prestatie'!$A$28:$B$34,2,FALSE),FALSE),"3A prestatie invullen"))</f>
        <v>0</v>
      </c>
      <c r="N375" s="380">
        <f t="shared" si="17"/>
        <v>0</v>
      </c>
      <c r="O375" s="381" t="str">
        <f>VLOOKUP(E375,'3A-Prestatie'!A:M,13,FALSE)</f>
        <v>N.v.t.</v>
      </c>
      <c r="P375" s="382">
        <f>IF(R375="Niet van toepassing",0,VLOOKUP(E375,'3B-Prestaties vloeren'!$A$3:$D$24,IF(G375="Hard onbehandeld",2,IF(G375="Hard behandeld",3,4)),FALSE))</f>
        <v>0</v>
      </c>
      <c r="Q375" s="383">
        <f t="shared" si="16"/>
        <v>0</v>
      </c>
      <c r="R375" s="384" t="str">
        <f>IF(K375=0,"Niet van toepassing",IF(G375='3B-Prestaties vloeren'!$B$2,"Schrobben",IF(G375='3B-Prestaties vloeren'!$C$2,"Sprayen/conserveren",IF(G375='3B-Prestaties vloeren'!$D$2,"Sproei-extractie",0))))</f>
        <v>Niet van toepassing</v>
      </c>
      <c r="S375" s="385">
        <f>IF('2-Tarieven'!$B$28=0,0,IF(M375=0,0,'2-Tarieven'!$B$28*M375))</f>
        <v>0</v>
      </c>
      <c r="T375" s="386">
        <f>IF(AND(COUNTBLANK('3B-Prestaties vloeren'!$F$3:$H$24)=0,COUNTBLANK('3B-Prestaties vloeren'!$L$3:$M$24)=0),IF(R375="Sprayen/conserveren",I375/VLOOKUP(E375,'3B-Prestaties vloeren'!$A$3:$M$24,12,FALSE),0)*(P375-1),0)</f>
        <v>0</v>
      </c>
      <c r="U375" s="386">
        <f>IF(AND(COUNTBLANK('3B-Prestaties vloeren'!$F$3:$H$24)=0,COUNTBLANK('3B-Prestaties vloeren'!$L$3:$M$24)=0),IF(R375="Sprayen/conserveren",I375/VLOOKUP(E375,'3B-Prestaties vloeren'!$A$3:$M$24,13,FALSE),0),0)</f>
        <v>0</v>
      </c>
      <c r="V375" s="386">
        <f>IF(AND(COUNTBLANK('3B-Prestaties vloeren'!$F$3:$H$24)=0,COUNTBLANK('3B-Prestaties vloeren'!$L$3:$M$24)=0),IF(R375="schrobben",I375/VLOOKUP(E375,'3B-Prestaties vloeren'!$A$3:$H$24,6,FALSE),0)*P375,0)</f>
        <v>0</v>
      </c>
      <c r="W375" s="386">
        <f>IF(AND(COUNTBLANK('3B-Prestaties vloeren'!$F$3:$H$24)=0,COUNTBLANK('3B-Prestaties vloeren'!$L$3:$M$24)=0),IF(R375="sproei-extractie",I375/VLOOKUP(E375,'3B-Prestaties vloeren'!$A$3:$H$24,8,FALSE),0)*P375,0)</f>
        <v>0</v>
      </c>
    </row>
    <row r="376" spans="1:23" ht="15" hidden="1">
      <c r="A376" s="378" t="s">
        <v>706</v>
      </c>
      <c r="B376" s="378" t="s">
        <v>678</v>
      </c>
      <c r="C376" s="378">
        <v>0</v>
      </c>
      <c r="D376" s="378" t="s">
        <v>326</v>
      </c>
      <c r="E376" s="378" t="s">
        <v>728</v>
      </c>
      <c r="F376" s="378" t="s">
        <v>695</v>
      </c>
      <c r="G376" s="378" t="str">
        <f>VLOOKUP(F376,'3B-Prestaties vloeren'!$A$28:$B$118,2,0)</f>
        <v>N.v.t.</v>
      </c>
      <c r="H376" s="378" t="s">
        <v>718</v>
      </c>
      <c r="I376" s="378">
        <v>170</v>
      </c>
      <c r="J376" s="419"/>
      <c r="K376" s="426">
        <v>0</v>
      </c>
      <c r="L376" s="378">
        <f t="shared" si="15"/>
        <v>0</v>
      </c>
      <c r="M376" s="380">
        <f>IF(K376=0,0,IF(COUNTBLANK('3A-Prestatie'!$B$2:$I$22)=0,L376/VLOOKUP(E376,'3A-Prestatie'!$A$1:$M$22,VLOOKUP(K376,'3A-Prestatie'!$A$28:$B$34,2,FALSE),FALSE),"3A prestatie invullen"))</f>
        <v>0</v>
      </c>
      <c r="N376" s="380">
        <f t="shared" si="17"/>
        <v>0</v>
      </c>
      <c r="O376" s="381" t="str">
        <f>VLOOKUP(E376,'3A-Prestatie'!A:M,13,FALSE)</f>
        <v>N.v.t.</v>
      </c>
      <c r="P376" s="382">
        <f>IF(R376="Niet van toepassing",0,VLOOKUP(E376,'3B-Prestaties vloeren'!$A$3:$D$24,IF(G376="Hard onbehandeld",2,IF(G376="Hard behandeld",3,4)),FALSE))</f>
        <v>0</v>
      </c>
      <c r="Q376" s="383">
        <f t="shared" si="16"/>
        <v>0</v>
      </c>
      <c r="R376" s="384" t="str">
        <f>IF(K376=0,"Niet van toepassing",IF(G376='3B-Prestaties vloeren'!$B$2,"Schrobben",IF(G376='3B-Prestaties vloeren'!$C$2,"Sprayen/conserveren",IF(G376='3B-Prestaties vloeren'!$D$2,"Sproei-extractie",0))))</f>
        <v>Niet van toepassing</v>
      </c>
      <c r="S376" s="385">
        <f>IF('2-Tarieven'!$B$28=0,0,IF(M376=0,0,'2-Tarieven'!$B$28*M376))</f>
        <v>0</v>
      </c>
      <c r="T376" s="386">
        <f>IF(AND(COUNTBLANK('3B-Prestaties vloeren'!$F$3:$H$24)=0,COUNTBLANK('3B-Prestaties vloeren'!$L$3:$M$24)=0),IF(R376="Sprayen/conserveren",I376/VLOOKUP(E376,'3B-Prestaties vloeren'!$A$3:$M$24,12,FALSE),0)*(P376-1),0)</f>
        <v>0</v>
      </c>
      <c r="U376" s="386">
        <f>IF(AND(COUNTBLANK('3B-Prestaties vloeren'!$F$3:$H$24)=0,COUNTBLANK('3B-Prestaties vloeren'!$L$3:$M$24)=0),IF(R376="Sprayen/conserveren",I376/VLOOKUP(E376,'3B-Prestaties vloeren'!$A$3:$M$24,13,FALSE),0),0)</f>
        <v>0</v>
      </c>
      <c r="V376" s="386">
        <f>IF(AND(COUNTBLANK('3B-Prestaties vloeren'!$F$3:$H$24)=0,COUNTBLANK('3B-Prestaties vloeren'!$L$3:$M$24)=0),IF(R376="schrobben",I376/VLOOKUP(E376,'3B-Prestaties vloeren'!$A$3:$H$24,6,FALSE),0)*P376,0)</f>
        <v>0</v>
      </c>
      <c r="W376" s="386">
        <f>IF(AND(COUNTBLANK('3B-Prestaties vloeren'!$F$3:$H$24)=0,COUNTBLANK('3B-Prestaties vloeren'!$L$3:$M$24)=0),IF(R376="sproei-extractie",I376/VLOOKUP(E376,'3B-Prestaties vloeren'!$A$3:$H$24,8,FALSE),0)*P376,0)</f>
        <v>0</v>
      </c>
    </row>
    <row r="377" spans="1:23" ht="15" hidden="1">
      <c r="A377" s="378" t="s">
        <v>706</v>
      </c>
      <c r="B377" s="378" t="s">
        <v>678</v>
      </c>
      <c r="C377" s="378">
        <v>0</v>
      </c>
      <c r="D377" s="378" t="s">
        <v>327</v>
      </c>
      <c r="E377" s="378" t="s">
        <v>728</v>
      </c>
      <c r="F377" s="378" t="s">
        <v>695</v>
      </c>
      <c r="G377" s="378" t="str">
        <f>VLOOKUP(F377,'3B-Prestaties vloeren'!$A$28:$B$118,2,0)</f>
        <v>N.v.t.</v>
      </c>
      <c r="H377" s="378" t="s">
        <v>705</v>
      </c>
      <c r="I377" s="378">
        <v>430</v>
      </c>
      <c r="J377" s="419"/>
      <c r="K377" s="426">
        <v>0</v>
      </c>
      <c r="L377" s="378">
        <f t="shared" si="15"/>
        <v>0</v>
      </c>
      <c r="M377" s="380">
        <f>IF(K377=0,0,IF(COUNTBLANK('3A-Prestatie'!$B$2:$I$22)=0,L377/VLOOKUP(E377,'3A-Prestatie'!$A$1:$M$22,VLOOKUP(K377,'3A-Prestatie'!$A$28:$B$34,2,FALSE),FALSE),"3A prestatie invullen"))</f>
        <v>0</v>
      </c>
      <c r="N377" s="380">
        <f t="shared" si="17"/>
        <v>0</v>
      </c>
      <c r="O377" s="381" t="str">
        <f>VLOOKUP(E377,'3A-Prestatie'!A:M,13,FALSE)</f>
        <v>N.v.t.</v>
      </c>
      <c r="P377" s="382">
        <f>IF(R377="Niet van toepassing",0,VLOOKUP(E377,'3B-Prestaties vloeren'!$A$3:$D$24,IF(G377="Hard onbehandeld",2,IF(G377="Hard behandeld",3,4)),FALSE))</f>
        <v>0</v>
      </c>
      <c r="Q377" s="383">
        <f t="shared" si="16"/>
        <v>0</v>
      </c>
      <c r="R377" s="384" t="str">
        <f>IF(K377=0,"Niet van toepassing",IF(G377='3B-Prestaties vloeren'!$B$2,"Schrobben",IF(G377='3B-Prestaties vloeren'!$C$2,"Sprayen/conserveren",IF(G377='3B-Prestaties vloeren'!$D$2,"Sproei-extractie",0))))</f>
        <v>Niet van toepassing</v>
      </c>
      <c r="S377" s="385">
        <f>IF('2-Tarieven'!$B$28=0,0,IF(M377=0,0,'2-Tarieven'!$B$28*M377))</f>
        <v>0</v>
      </c>
      <c r="T377" s="386">
        <f>IF(AND(COUNTBLANK('3B-Prestaties vloeren'!$F$3:$H$24)=0,COUNTBLANK('3B-Prestaties vloeren'!$L$3:$M$24)=0),IF(R377="Sprayen/conserveren",I377/VLOOKUP(E377,'3B-Prestaties vloeren'!$A$3:$M$24,12,FALSE),0)*(P377-1),0)</f>
        <v>0</v>
      </c>
      <c r="U377" s="386">
        <f>IF(AND(COUNTBLANK('3B-Prestaties vloeren'!$F$3:$H$24)=0,COUNTBLANK('3B-Prestaties vloeren'!$L$3:$M$24)=0),IF(R377="Sprayen/conserveren",I377/VLOOKUP(E377,'3B-Prestaties vloeren'!$A$3:$M$24,13,FALSE),0),0)</f>
        <v>0</v>
      </c>
      <c r="V377" s="386">
        <f>IF(AND(COUNTBLANK('3B-Prestaties vloeren'!$F$3:$H$24)=0,COUNTBLANK('3B-Prestaties vloeren'!$L$3:$M$24)=0),IF(R377="schrobben",I377/VLOOKUP(E377,'3B-Prestaties vloeren'!$A$3:$H$24,6,FALSE),0)*P377,0)</f>
        <v>0</v>
      </c>
      <c r="W377" s="386">
        <f>IF(AND(COUNTBLANK('3B-Prestaties vloeren'!$F$3:$H$24)=0,COUNTBLANK('3B-Prestaties vloeren'!$L$3:$M$24)=0),IF(R377="sproei-extractie",I377/VLOOKUP(E377,'3B-Prestaties vloeren'!$A$3:$H$24,8,FALSE),0)*P377,0)</f>
        <v>0</v>
      </c>
    </row>
    <row r="378" spans="1:23" ht="15" hidden="1">
      <c r="A378" s="378" t="s">
        <v>706</v>
      </c>
      <c r="B378" s="378" t="s">
        <v>678</v>
      </c>
      <c r="C378" s="378">
        <v>0</v>
      </c>
      <c r="D378" s="378" t="s">
        <v>328</v>
      </c>
      <c r="E378" s="378" t="s">
        <v>728</v>
      </c>
      <c r="F378" s="378" t="s">
        <v>695</v>
      </c>
      <c r="G378" s="378" t="str">
        <f>VLOOKUP(F378,'3B-Prestaties vloeren'!$A$28:$B$118,2,0)</f>
        <v>N.v.t.</v>
      </c>
      <c r="H378" s="378" t="s">
        <v>715</v>
      </c>
      <c r="I378" s="378">
        <v>405</v>
      </c>
      <c r="J378" s="419"/>
      <c r="K378" s="426">
        <v>0</v>
      </c>
      <c r="L378" s="378">
        <f t="shared" si="15"/>
        <v>0</v>
      </c>
      <c r="M378" s="380">
        <f>IF(K378=0,0,IF(COUNTBLANK('3A-Prestatie'!$B$2:$I$22)=0,L378/VLOOKUP(E378,'3A-Prestatie'!$A$1:$M$22,VLOOKUP(K378,'3A-Prestatie'!$A$28:$B$34,2,FALSE),FALSE),"3A prestatie invullen"))</f>
        <v>0</v>
      </c>
      <c r="N378" s="380">
        <f t="shared" si="17"/>
        <v>0</v>
      </c>
      <c r="O378" s="381" t="str">
        <f>VLOOKUP(E378,'3A-Prestatie'!A:M,13,FALSE)</f>
        <v>N.v.t.</v>
      </c>
      <c r="P378" s="382">
        <f>IF(R378="Niet van toepassing",0,VLOOKUP(E378,'3B-Prestaties vloeren'!$A$3:$D$24,IF(G378="Hard onbehandeld",2,IF(G378="Hard behandeld",3,4)),FALSE))</f>
        <v>0</v>
      </c>
      <c r="Q378" s="383">
        <f t="shared" si="16"/>
        <v>0</v>
      </c>
      <c r="R378" s="384" t="str">
        <f>IF(K378=0,"Niet van toepassing",IF(G378='3B-Prestaties vloeren'!$B$2,"Schrobben",IF(G378='3B-Prestaties vloeren'!$C$2,"Sprayen/conserveren",IF(G378='3B-Prestaties vloeren'!$D$2,"Sproei-extractie",0))))</f>
        <v>Niet van toepassing</v>
      </c>
      <c r="S378" s="385">
        <f>IF('2-Tarieven'!$B$28=0,0,IF(M378=0,0,'2-Tarieven'!$B$28*M378))</f>
        <v>0</v>
      </c>
      <c r="T378" s="386">
        <f>IF(AND(COUNTBLANK('3B-Prestaties vloeren'!$F$3:$H$24)=0,COUNTBLANK('3B-Prestaties vloeren'!$L$3:$M$24)=0),IF(R378="Sprayen/conserveren",I378/VLOOKUP(E378,'3B-Prestaties vloeren'!$A$3:$M$24,12,FALSE),0)*(P378-1),0)</f>
        <v>0</v>
      </c>
      <c r="U378" s="386">
        <f>IF(AND(COUNTBLANK('3B-Prestaties vloeren'!$F$3:$H$24)=0,COUNTBLANK('3B-Prestaties vloeren'!$L$3:$M$24)=0),IF(R378="Sprayen/conserveren",I378/VLOOKUP(E378,'3B-Prestaties vloeren'!$A$3:$M$24,13,FALSE),0),0)</f>
        <v>0</v>
      </c>
      <c r="V378" s="386">
        <f>IF(AND(COUNTBLANK('3B-Prestaties vloeren'!$F$3:$H$24)=0,COUNTBLANK('3B-Prestaties vloeren'!$L$3:$M$24)=0),IF(R378="schrobben",I378/VLOOKUP(E378,'3B-Prestaties vloeren'!$A$3:$H$24,6,FALSE),0)*P378,0)</f>
        <v>0</v>
      </c>
      <c r="W378" s="386">
        <f>IF(AND(COUNTBLANK('3B-Prestaties vloeren'!$F$3:$H$24)=0,COUNTBLANK('3B-Prestaties vloeren'!$L$3:$M$24)=0),IF(R378="sproei-extractie",I378/VLOOKUP(E378,'3B-Prestaties vloeren'!$A$3:$H$24,8,FALSE),0)*P378,0)</f>
        <v>0</v>
      </c>
    </row>
    <row r="379" spans="1:23" ht="15" hidden="1">
      <c r="A379" s="378" t="s">
        <v>706</v>
      </c>
      <c r="B379" s="378" t="s">
        <v>678</v>
      </c>
      <c r="C379" s="378">
        <v>0</v>
      </c>
      <c r="D379" s="378" t="s">
        <v>489</v>
      </c>
      <c r="E379" s="378" t="s">
        <v>728</v>
      </c>
      <c r="F379" s="378" t="s">
        <v>695</v>
      </c>
      <c r="G379" s="378" t="str">
        <f>VLOOKUP(F379,'3B-Prestaties vloeren'!$A$28:$B$118,2,0)</f>
        <v>N.v.t.</v>
      </c>
      <c r="H379" s="378" t="s">
        <v>705</v>
      </c>
      <c r="I379" s="378">
        <v>150</v>
      </c>
      <c r="J379" s="419"/>
      <c r="K379" s="426">
        <v>0</v>
      </c>
      <c r="L379" s="378">
        <f t="shared" si="15"/>
        <v>0</v>
      </c>
      <c r="M379" s="380">
        <f>IF(K379=0,0,IF(COUNTBLANK('3A-Prestatie'!$B$2:$I$22)=0,L379/VLOOKUP(E379,'3A-Prestatie'!$A$1:$M$22,VLOOKUP(K379,'3A-Prestatie'!$A$28:$B$34,2,FALSE),FALSE),"3A prestatie invullen"))</f>
        <v>0</v>
      </c>
      <c r="N379" s="380">
        <f t="shared" si="17"/>
        <v>0</v>
      </c>
      <c r="O379" s="381" t="str">
        <f>VLOOKUP(E379,'3A-Prestatie'!A:M,13,FALSE)</f>
        <v>N.v.t.</v>
      </c>
      <c r="P379" s="382">
        <f>IF(R379="Niet van toepassing",0,VLOOKUP(E379,'3B-Prestaties vloeren'!$A$3:$D$24,IF(G379="Hard onbehandeld",2,IF(G379="Hard behandeld",3,4)),FALSE))</f>
        <v>0</v>
      </c>
      <c r="Q379" s="383">
        <f t="shared" si="16"/>
        <v>0</v>
      </c>
      <c r="R379" s="384" t="str">
        <f>IF(K379=0,"Niet van toepassing",IF(G379='3B-Prestaties vloeren'!$B$2,"Schrobben",IF(G379='3B-Prestaties vloeren'!$C$2,"Sprayen/conserveren",IF(G379='3B-Prestaties vloeren'!$D$2,"Sproei-extractie",0))))</f>
        <v>Niet van toepassing</v>
      </c>
      <c r="S379" s="385">
        <f>IF('2-Tarieven'!$B$28=0,0,IF(M379=0,0,'2-Tarieven'!$B$28*M379))</f>
        <v>0</v>
      </c>
      <c r="T379" s="386">
        <f>IF(AND(COUNTBLANK('3B-Prestaties vloeren'!$F$3:$H$24)=0,COUNTBLANK('3B-Prestaties vloeren'!$L$3:$M$24)=0),IF(R379="Sprayen/conserveren",I379/VLOOKUP(E379,'3B-Prestaties vloeren'!$A$3:$M$24,12,FALSE),0)*(P379-1),0)</f>
        <v>0</v>
      </c>
      <c r="U379" s="386">
        <f>IF(AND(COUNTBLANK('3B-Prestaties vloeren'!$F$3:$H$24)=0,COUNTBLANK('3B-Prestaties vloeren'!$L$3:$M$24)=0),IF(R379="Sprayen/conserveren",I379/VLOOKUP(E379,'3B-Prestaties vloeren'!$A$3:$M$24,13,FALSE),0),0)</f>
        <v>0</v>
      </c>
      <c r="V379" s="386">
        <f>IF(AND(COUNTBLANK('3B-Prestaties vloeren'!$F$3:$H$24)=0,COUNTBLANK('3B-Prestaties vloeren'!$L$3:$M$24)=0),IF(R379="schrobben",I379/VLOOKUP(E379,'3B-Prestaties vloeren'!$A$3:$H$24,6,FALSE),0)*P379,0)</f>
        <v>0</v>
      </c>
      <c r="W379" s="386">
        <f>IF(AND(COUNTBLANK('3B-Prestaties vloeren'!$F$3:$H$24)=0,COUNTBLANK('3B-Prestaties vloeren'!$L$3:$M$24)=0),IF(R379="sproei-extractie",I379/VLOOKUP(E379,'3B-Prestaties vloeren'!$A$3:$H$24,8,FALSE),0)*P379,0)</f>
        <v>0</v>
      </c>
    </row>
    <row r="380" spans="1:23" ht="15" hidden="1">
      <c r="A380" s="378" t="s">
        <v>706</v>
      </c>
      <c r="B380" s="378" t="s">
        <v>678</v>
      </c>
      <c r="C380" s="378">
        <v>0</v>
      </c>
      <c r="D380" s="378" t="s">
        <v>493</v>
      </c>
      <c r="E380" s="378" t="s">
        <v>728</v>
      </c>
      <c r="F380" s="378" t="s">
        <v>695</v>
      </c>
      <c r="G380" s="378" t="str">
        <f>VLOOKUP(F380,'3B-Prestaties vloeren'!$A$28:$B$118,2,0)</f>
        <v>N.v.t.</v>
      </c>
      <c r="H380" s="378" t="s">
        <v>62</v>
      </c>
      <c r="I380" s="378">
        <v>2995</v>
      </c>
      <c r="J380" s="419"/>
      <c r="K380" s="426">
        <v>0</v>
      </c>
      <c r="L380" s="378">
        <f t="shared" si="15"/>
        <v>0</v>
      </c>
      <c r="M380" s="380">
        <f>IF(K380=0,0,IF(COUNTBLANK('3A-Prestatie'!$B$2:$I$22)=0,L380/VLOOKUP(E380,'3A-Prestatie'!$A$1:$M$22,VLOOKUP(K380,'3A-Prestatie'!$A$28:$B$34,2,FALSE),FALSE),"3A prestatie invullen"))</f>
        <v>0</v>
      </c>
      <c r="N380" s="380">
        <f t="shared" si="17"/>
        <v>0</v>
      </c>
      <c r="O380" s="381" t="str">
        <f>VLOOKUP(E380,'3A-Prestatie'!A:M,13,FALSE)</f>
        <v>N.v.t.</v>
      </c>
      <c r="P380" s="382">
        <f>IF(R380="Niet van toepassing",0,VLOOKUP(E380,'3B-Prestaties vloeren'!$A$3:$D$24,IF(G380="Hard onbehandeld",2,IF(G380="Hard behandeld",3,4)),FALSE))</f>
        <v>0</v>
      </c>
      <c r="Q380" s="383">
        <f t="shared" si="16"/>
        <v>0</v>
      </c>
      <c r="R380" s="384" t="str">
        <f>IF(K380=0,"Niet van toepassing",IF(G380='3B-Prestaties vloeren'!$B$2,"Schrobben",IF(G380='3B-Prestaties vloeren'!$C$2,"Sprayen/conserveren",IF(G380='3B-Prestaties vloeren'!$D$2,"Sproei-extractie",0))))</f>
        <v>Niet van toepassing</v>
      </c>
      <c r="S380" s="385">
        <f>IF('2-Tarieven'!$B$28=0,0,IF(M380=0,0,'2-Tarieven'!$B$28*M380))</f>
        <v>0</v>
      </c>
      <c r="T380" s="386">
        <f>IF(AND(COUNTBLANK('3B-Prestaties vloeren'!$F$3:$H$24)=0,COUNTBLANK('3B-Prestaties vloeren'!$L$3:$M$24)=0),IF(R380="Sprayen/conserveren",I380/VLOOKUP(E380,'3B-Prestaties vloeren'!$A$3:$M$24,12,FALSE),0)*(P380-1),0)</f>
        <v>0</v>
      </c>
      <c r="U380" s="386">
        <f>IF(AND(COUNTBLANK('3B-Prestaties vloeren'!$F$3:$H$24)=0,COUNTBLANK('3B-Prestaties vloeren'!$L$3:$M$24)=0),IF(R380="Sprayen/conserveren",I380/VLOOKUP(E380,'3B-Prestaties vloeren'!$A$3:$M$24,13,FALSE),0),0)</f>
        <v>0</v>
      </c>
      <c r="V380" s="386">
        <f>IF(AND(COUNTBLANK('3B-Prestaties vloeren'!$F$3:$H$24)=0,COUNTBLANK('3B-Prestaties vloeren'!$L$3:$M$24)=0),IF(R380="schrobben",I380/VLOOKUP(E380,'3B-Prestaties vloeren'!$A$3:$H$24,6,FALSE),0)*P380,0)</f>
        <v>0</v>
      </c>
      <c r="W380" s="386">
        <f>IF(AND(COUNTBLANK('3B-Prestaties vloeren'!$F$3:$H$24)=0,COUNTBLANK('3B-Prestaties vloeren'!$L$3:$M$24)=0),IF(R380="sproei-extractie",I380/VLOOKUP(E380,'3B-Prestaties vloeren'!$A$3:$H$24,8,FALSE),0)*P380,0)</f>
        <v>0</v>
      </c>
    </row>
    <row r="381" spans="1:23" ht="15" hidden="1">
      <c r="A381" s="378" t="s">
        <v>702</v>
      </c>
      <c r="B381" s="378" t="s">
        <v>719</v>
      </c>
      <c r="C381" s="378">
        <v>0</v>
      </c>
      <c r="D381" s="378" t="s">
        <v>288</v>
      </c>
      <c r="E381" s="378" t="s">
        <v>334</v>
      </c>
      <c r="F381" s="378" t="s">
        <v>64</v>
      </c>
      <c r="G381" s="378" t="str">
        <f>VLOOKUP(F381,'3B-Prestaties vloeren'!$A$28:$B$118,2,0)</f>
        <v>Hard behandeld</v>
      </c>
      <c r="H381" s="378" t="s">
        <v>637</v>
      </c>
      <c r="I381" s="378">
        <v>9.1999999999999993</v>
      </c>
      <c r="J381" s="419"/>
      <c r="K381" s="426">
        <v>0</v>
      </c>
      <c r="L381" s="378">
        <f t="shared" si="15"/>
        <v>0</v>
      </c>
      <c r="M381" s="380">
        <f>IF(K381=0,0,IF(COUNTBLANK('3A-Prestatie'!$B$2:$I$22)=0,L381/VLOOKUP(E381,'3A-Prestatie'!$A$1:$M$22,VLOOKUP(K381,'3A-Prestatie'!$A$28:$B$34,2,FALSE),FALSE),"3A prestatie invullen"))</f>
        <v>0</v>
      </c>
      <c r="N381" s="380">
        <f t="shared" si="17"/>
        <v>0</v>
      </c>
      <c r="O381" s="381" t="str">
        <f>VLOOKUP(E381,'3A-Prestatie'!A:M,13,FALSE)</f>
        <v>V</v>
      </c>
      <c r="P381" s="382">
        <f>IF(R381="Niet van toepassing",0,VLOOKUP(E381,'3B-Prestaties vloeren'!$A$3:$D$24,IF(G381="Hard onbehandeld",2,IF(G381="Hard behandeld",3,4)),FALSE))</f>
        <v>0</v>
      </c>
      <c r="Q381" s="383">
        <f t="shared" si="16"/>
        <v>0</v>
      </c>
      <c r="R381" s="384" t="str">
        <f>IF(K381=0,"Niet van toepassing",IF(G381='3B-Prestaties vloeren'!$B$2,"Schrobben",IF(G381='3B-Prestaties vloeren'!$C$2,"Sprayen/conserveren",IF(G381='3B-Prestaties vloeren'!$D$2,"Sproei-extractie",0))))</f>
        <v>Niet van toepassing</v>
      </c>
      <c r="S381" s="385">
        <f>IF('2-Tarieven'!$B$28=0,0,IF(M381=0,0,'2-Tarieven'!$B$28*M381))</f>
        <v>0</v>
      </c>
      <c r="T381" s="386">
        <f>IF(AND(COUNTBLANK('3B-Prestaties vloeren'!$F$3:$H$24)=0,COUNTBLANK('3B-Prestaties vloeren'!$L$3:$M$24)=0),IF(R381="Sprayen/conserveren",I381/VLOOKUP(E381,'3B-Prestaties vloeren'!$A$3:$M$24,12,FALSE),0)*(P381-1),0)</f>
        <v>0</v>
      </c>
      <c r="U381" s="386">
        <f>IF(AND(COUNTBLANK('3B-Prestaties vloeren'!$F$3:$H$24)=0,COUNTBLANK('3B-Prestaties vloeren'!$L$3:$M$24)=0),IF(R381="Sprayen/conserveren",I381/VLOOKUP(E381,'3B-Prestaties vloeren'!$A$3:$M$24,13,FALSE),0),0)</f>
        <v>0</v>
      </c>
      <c r="V381" s="386">
        <f>IF(AND(COUNTBLANK('3B-Prestaties vloeren'!$F$3:$H$24)=0,COUNTBLANK('3B-Prestaties vloeren'!$L$3:$M$24)=0),IF(R381="schrobben",I381/VLOOKUP(E381,'3B-Prestaties vloeren'!$A$3:$H$24,6,FALSE),0)*P381,0)</f>
        <v>0</v>
      </c>
      <c r="W381" s="386">
        <f>IF(AND(COUNTBLANK('3B-Prestaties vloeren'!$F$3:$H$24)=0,COUNTBLANK('3B-Prestaties vloeren'!$L$3:$M$24)=0),IF(R381="sproei-extractie",I381/VLOOKUP(E381,'3B-Prestaties vloeren'!$A$3:$H$24,8,FALSE),0)*P381,0)</f>
        <v>0</v>
      </c>
    </row>
    <row r="382" spans="1:23" ht="15" hidden="1">
      <c r="A382" s="378" t="s">
        <v>702</v>
      </c>
      <c r="B382" s="378" t="s">
        <v>719</v>
      </c>
      <c r="C382" s="378">
        <v>0</v>
      </c>
      <c r="D382" s="378" t="s">
        <v>289</v>
      </c>
      <c r="E382" s="378" t="s">
        <v>5</v>
      </c>
      <c r="F382" s="378" t="s">
        <v>64</v>
      </c>
      <c r="G382" s="378" t="str">
        <f>VLOOKUP(F382,'3B-Prestaties vloeren'!$A$28:$B$118,2,0)</f>
        <v>Hard behandeld</v>
      </c>
      <c r="H382" s="378"/>
      <c r="I382" s="378">
        <v>26.3</v>
      </c>
      <c r="J382" s="420" t="s">
        <v>749</v>
      </c>
      <c r="K382" s="426">
        <v>52</v>
      </c>
      <c r="L382" s="378">
        <f t="shared" si="15"/>
        <v>1367.6000000000001</v>
      </c>
      <c r="M382" s="380" t="str">
        <f>IF(K382=0,0,IF(COUNTBLANK('3A-Prestatie'!$B$2:$I$22)=0,L382/VLOOKUP(E382,'3A-Prestatie'!$A$1:$M$22,VLOOKUP(K382,'3A-Prestatie'!$A$28:$B$34,2,FALSE),FALSE),"3A prestatie invullen"))</f>
        <v>3A prestatie invullen</v>
      </c>
      <c r="N382" s="380">
        <f t="shared" si="17"/>
        <v>0</v>
      </c>
      <c r="O382" s="381" t="str">
        <f>VLOOKUP(E382,'3A-Prestatie'!A:M,13,FALSE)</f>
        <v>B</v>
      </c>
      <c r="P382" s="382">
        <f>IF(R382="Niet van toepassing",0,VLOOKUP(E382,'3B-Prestaties vloeren'!$A$3:$D$24,IF(G382="Hard onbehandeld",2,IF(G382="Hard behandeld",3,4)),FALSE))</f>
        <v>4</v>
      </c>
      <c r="Q382" s="383">
        <f t="shared" si="16"/>
        <v>0</v>
      </c>
      <c r="R382" s="384" t="str">
        <f>IF(K382=0,"Niet van toepassing",IF(G382='3B-Prestaties vloeren'!$B$2,"Schrobben",IF(G382='3B-Prestaties vloeren'!$C$2,"Sprayen/conserveren",IF(G382='3B-Prestaties vloeren'!$D$2,"Sproei-extractie",0))))</f>
        <v>Sprayen/conserveren</v>
      </c>
      <c r="S382" s="385">
        <f>IF('2-Tarieven'!$B$28=0,0,IF(M382=0,0,'2-Tarieven'!$B$28*M382))</f>
        <v>0</v>
      </c>
      <c r="T382" s="386">
        <f>IF(AND(COUNTBLANK('3B-Prestaties vloeren'!$F$3:$H$24)=0,COUNTBLANK('3B-Prestaties vloeren'!$L$3:$M$24)=0),IF(R382="Sprayen/conserveren",I382/VLOOKUP(E382,'3B-Prestaties vloeren'!$A$3:$M$24,12,FALSE),0)*(P382-1),0)</f>
        <v>0</v>
      </c>
      <c r="U382" s="386">
        <f>IF(AND(COUNTBLANK('3B-Prestaties vloeren'!$F$3:$H$24)=0,COUNTBLANK('3B-Prestaties vloeren'!$L$3:$M$24)=0),IF(R382="Sprayen/conserveren",I382/VLOOKUP(E382,'3B-Prestaties vloeren'!$A$3:$M$24,13,FALSE),0),0)</f>
        <v>0</v>
      </c>
      <c r="V382" s="386">
        <f>IF(AND(COUNTBLANK('3B-Prestaties vloeren'!$F$3:$H$24)=0,COUNTBLANK('3B-Prestaties vloeren'!$L$3:$M$24)=0),IF(R382="schrobben",I382/VLOOKUP(E382,'3B-Prestaties vloeren'!$A$3:$H$24,6,FALSE),0)*P382,0)</f>
        <v>0</v>
      </c>
      <c r="W382" s="386">
        <f>IF(AND(COUNTBLANK('3B-Prestaties vloeren'!$F$3:$H$24)=0,COUNTBLANK('3B-Prestaties vloeren'!$L$3:$M$24)=0),IF(R382="sproei-extractie",I382/VLOOKUP(E382,'3B-Prestaties vloeren'!$A$3:$H$24,8,FALSE),0)*P382,0)</f>
        <v>0</v>
      </c>
    </row>
    <row r="383" spans="1:23" ht="15" hidden="1">
      <c r="A383" s="378" t="s">
        <v>702</v>
      </c>
      <c r="B383" s="378" t="s">
        <v>719</v>
      </c>
      <c r="C383" s="378">
        <v>0</v>
      </c>
      <c r="D383" s="378" t="s">
        <v>290</v>
      </c>
      <c r="E383" s="378" t="s">
        <v>728</v>
      </c>
      <c r="F383" s="378" t="s">
        <v>64</v>
      </c>
      <c r="G383" s="378" t="str">
        <f>VLOOKUP(F383,'3B-Prestaties vloeren'!$A$28:$B$118,2,0)</f>
        <v>Hard behandeld</v>
      </c>
      <c r="H383" s="378" t="s">
        <v>284</v>
      </c>
      <c r="I383" s="378">
        <v>16.8</v>
      </c>
      <c r="J383" s="419"/>
      <c r="K383" s="426">
        <v>0</v>
      </c>
      <c r="L383" s="378">
        <f t="shared" si="15"/>
        <v>0</v>
      </c>
      <c r="M383" s="380">
        <f>IF(K383=0,0,IF(COUNTBLANK('3A-Prestatie'!$B$2:$I$22)=0,L383/VLOOKUP(E383,'3A-Prestatie'!$A$1:$M$22,VLOOKUP(K383,'3A-Prestatie'!$A$28:$B$34,2,FALSE),FALSE),"3A prestatie invullen"))</f>
        <v>0</v>
      </c>
      <c r="N383" s="380">
        <f t="shared" si="17"/>
        <v>0</v>
      </c>
      <c r="O383" s="381" t="str">
        <f>VLOOKUP(E383,'3A-Prestatie'!A:M,13,FALSE)</f>
        <v>N.v.t.</v>
      </c>
      <c r="P383" s="382">
        <f>IF(R383="Niet van toepassing",0,VLOOKUP(E383,'3B-Prestaties vloeren'!$A$3:$D$24,IF(G383="Hard onbehandeld",2,IF(G383="Hard behandeld",3,4)),FALSE))</f>
        <v>0</v>
      </c>
      <c r="Q383" s="383">
        <f t="shared" si="16"/>
        <v>0</v>
      </c>
      <c r="R383" s="384" t="str">
        <f>IF(K383=0,"Niet van toepassing",IF(G383='3B-Prestaties vloeren'!$B$2,"Schrobben",IF(G383='3B-Prestaties vloeren'!$C$2,"Sprayen/conserveren",IF(G383='3B-Prestaties vloeren'!$D$2,"Sproei-extractie",0))))</f>
        <v>Niet van toepassing</v>
      </c>
      <c r="S383" s="385">
        <f>IF('2-Tarieven'!$B$28=0,0,IF(M383=0,0,'2-Tarieven'!$B$28*M383))</f>
        <v>0</v>
      </c>
      <c r="T383" s="386">
        <f>IF(AND(COUNTBLANK('3B-Prestaties vloeren'!$F$3:$H$24)=0,COUNTBLANK('3B-Prestaties vloeren'!$L$3:$M$24)=0),IF(R383="Sprayen/conserveren",I383/VLOOKUP(E383,'3B-Prestaties vloeren'!$A$3:$M$24,12,FALSE),0)*(P383-1),0)</f>
        <v>0</v>
      </c>
      <c r="U383" s="386">
        <f>IF(AND(COUNTBLANK('3B-Prestaties vloeren'!$F$3:$H$24)=0,COUNTBLANK('3B-Prestaties vloeren'!$L$3:$M$24)=0),IF(R383="Sprayen/conserveren",I383/VLOOKUP(E383,'3B-Prestaties vloeren'!$A$3:$M$24,13,FALSE),0),0)</f>
        <v>0</v>
      </c>
      <c r="V383" s="386">
        <f>IF(AND(COUNTBLANK('3B-Prestaties vloeren'!$F$3:$H$24)=0,COUNTBLANK('3B-Prestaties vloeren'!$L$3:$M$24)=0),IF(R383="schrobben",I383/VLOOKUP(E383,'3B-Prestaties vloeren'!$A$3:$H$24,6,FALSE),0)*P383,0)</f>
        <v>0</v>
      </c>
      <c r="W383" s="386">
        <f>IF(AND(COUNTBLANK('3B-Prestaties vloeren'!$F$3:$H$24)=0,COUNTBLANK('3B-Prestaties vloeren'!$L$3:$M$24)=0),IF(R383="sproei-extractie",I383/VLOOKUP(E383,'3B-Prestaties vloeren'!$A$3:$H$24,8,FALSE),0)*P383,0)</f>
        <v>0</v>
      </c>
    </row>
    <row r="384" spans="1:23" ht="15" hidden="1">
      <c r="A384" s="378" t="s">
        <v>702</v>
      </c>
      <c r="B384" s="378" t="s">
        <v>719</v>
      </c>
      <c r="C384" s="378">
        <v>0</v>
      </c>
      <c r="D384" s="378" t="s">
        <v>499</v>
      </c>
      <c r="E384" s="378" t="s">
        <v>728</v>
      </c>
      <c r="F384" s="378" t="s">
        <v>64</v>
      </c>
      <c r="G384" s="378" t="str">
        <f>VLOOKUP(F384,'3B-Prestaties vloeren'!$A$28:$B$118,2,0)</f>
        <v>Hard behandeld</v>
      </c>
      <c r="H384" s="378" t="s">
        <v>284</v>
      </c>
      <c r="I384" s="378">
        <v>9.73</v>
      </c>
      <c r="J384" s="419"/>
      <c r="K384" s="426">
        <v>0</v>
      </c>
      <c r="L384" s="378">
        <f t="shared" si="15"/>
        <v>0</v>
      </c>
      <c r="M384" s="380">
        <f>IF(K384=0,0,IF(COUNTBLANK('3A-Prestatie'!$B$2:$I$22)=0,L384/VLOOKUP(E384,'3A-Prestatie'!$A$1:$M$22,VLOOKUP(K384,'3A-Prestatie'!$A$28:$B$34,2,FALSE),FALSE),"3A prestatie invullen"))</f>
        <v>0</v>
      </c>
      <c r="N384" s="380">
        <f t="shared" si="17"/>
        <v>0</v>
      </c>
      <c r="O384" s="381" t="str">
        <f>VLOOKUP(E384,'3A-Prestatie'!A:M,13,FALSE)</f>
        <v>N.v.t.</v>
      </c>
      <c r="P384" s="382">
        <f>IF(R384="Niet van toepassing",0,VLOOKUP(E384,'3B-Prestaties vloeren'!$A$3:$D$24,IF(G384="Hard onbehandeld",2,IF(G384="Hard behandeld",3,4)),FALSE))</f>
        <v>0</v>
      </c>
      <c r="Q384" s="383">
        <f t="shared" si="16"/>
        <v>0</v>
      </c>
      <c r="R384" s="384" t="str">
        <f>IF(K384=0,"Niet van toepassing",IF(G384='3B-Prestaties vloeren'!$B$2,"Schrobben",IF(G384='3B-Prestaties vloeren'!$C$2,"Sprayen/conserveren",IF(G384='3B-Prestaties vloeren'!$D$2,"Sproei-extractie",0))))</f>
        <v>Niet van toepassing</v>
      </c>
      <c r="S384" s="385">
        <f>IF('2-Tarieven'!$B$28=0,0,IF(M384=0,0,'2-Tarieven'!$B$28*M384))</f>
        <v>0</v>
      </c>
      <c r="T384" s="386">
        <f>IF(AND(COUNTBLANK('3B-Prestaties vloeren'!$F$3:$H$24)=0,COUNTBLANK('3B-Prestaties vloeren'!$L$3:$M$24)=0),IF(R384="Sprayen/conserveren",I384/VLOOKUP(E384,'3B-Prestaties vloeren'!$A$3:$M$24,12,FALSE),0)*(P384-1),0)</f>
        <v>0</v>
      </c>
      <c r="U384" s="386">
        <f>IF(AND(COUNTBLANK('3B-Prestaties vloeren'!$F$3:$H$24)=0,COUNTBLANK('3B-Prestaties vloeren'!$L$3:$M$24)=0),IF(R384="Sprayen/conserveren",I384/VLOOKUP(E384,'3B-Prestaties vloeren'!$A$3:$M$24,13,FALSE),0),0)</f>
        <v>0</v>
      </c>
      <c r="V384" s="386">
        <f>IF(AND(COUNTBLANK('3B-Prestaties vloeren'!$F$3:$H$24)=0,COUNTBLANK('3B-Prestaties vloeren'!$L$3:$M$24)=0),IF(R384="schrobben",I384/VLOOKUP(E384,'3B-Prestaties vloeren'!$A$3:$H$24,6,FALSE),0)*P384,0)</f>
        <v>0</v>
      </c>
      <c r="W384" s="386">
        <f>IF(AND(COUNTBLANK('3B-Prestaties vloeren'!$F$3:$H$24)=0,COUNTBLANK('3B-Prestaties vloeren'!$L$3:$M$24)=0),IF(R384="sproei-extractie",I384/VLOOKUP(E384,'3B-Prestaties vloeren'!$A$3:$H$24,8,FALSE),0)*P384,0)</f>
        <v>0</v>
      </c>
    </row>
    <row r="385" spans="1:23" ht="15" hidden="1">
      <c r="A385" s="378" t="s">
        <v>702</v>
      </c>
      <c r="B385" s="378" t="s">
        <v>719</v>
      </c>
      <c r="C385" s="378">
        <v>0</v>
      </c>
      <c r="D385" s="378" t="s">
        <v>291</v>
      </c>
      <c r="E385" s="378" t="s">
        <v>728</v>
      </c>
      <c r="F385" s="378" t="s">
        <v>502</v>
      </c>
      <c r="G385" s="378" t="str">
        <f>VLOOKUP(F385,'3B-Prestaties vloeren'!$A$28:$B$118,2,0)</f>
        <v>Hard onbehandeld</v>
      </c>
      <c r="H385" s="378" t="s">
        <v>284</v>
      </c>
      <c r="I385" s="378">
        <v>33.799999999999997</v>
      </c>
      <c r="J385" s="419"/>
      <c r="K385" s="426">
        <v>0</v>
      </c>
      <c r="L385" s="378">
        <f t="shared" si="15"/>
        <v>0</v>
      </c>
      <c r="M385" s="380">
        <f>IF(K385=0,0,IF(COUNTBLANK('3A-Prestatie'!$B$2:$I$22)=0,L385/VLOOKUP(E385,'3A-Prestatie'!$A$1:$M$22,VLOOKUP(K385,'3A-Prestatie'!$A$28:$B$34,2,FALSE),FALSE),"3A prestatie invullen"))</f>
        <v>0</v>
      </c>
      <c r="N385" s="380">
        <f t="shared" si="17"/>
        <v>0</v>
      </c>
      <c r="O385" s="381" t="str">
        <f>VLOOKUP(E385,'3A-Prestatie'!A:M,13,FALSE)</f>
        <v>N.v.t.</v>
      </c>
      <c r="P385" s="382">
        <f>IF(R385="Niet van toepassing",0,VLOOKUP(E385,'3B-Prestaties vloeren'!$A$3:$D$24,IF(G385="Hard onbehandeld",2,IF(G385="Hard behandeld",3,4)),FALSE))</f>
        <v>0</v>
      </c>
      <c r="Q385" s="383">
        <f t="shared" si="16"/>
        <v>0</v>
      </c>
      <c r="R385" s="384" t="str">
        <f>IF(K385=0,"Niet van toepassing",IF(G385='3B-Prestaties vloeren'!$B$2,"Schrobben",IF(G385='3B-Prestaties vloeren'!$C$2,"Sprayen/conserveren",IF(G385='3B-Prestaties vloeren'!$D$2,"Sproei-extractie",0))))</f>
        <v>Niet van toepassing</v>
      </c>
      <c r="S385" s="385">
        <f>IF('2-Tarieven'!$B$28=0,0,IF(M385=0,0,'2-Tarieven'!$B$28*M385))</f>
        <v>0</v>
      </c>
      <c r="T385" s="386">
        <f>IF(AND(COUNTBLANK('3B-Prestaties vloeren'!$F$3:$H$24)=0,COUNTBLANK('3B-Prestaties vloeren'!$L$3:$M$24)=0),IF(R385="Sprayen/conserveren",I385/VLOOKUP(E385,'3B-Prestaties vloeren'!$A$3:$M$24,12,FALSE),0)*(P385-1),0)</f>
        <v>0</v>
      </c>
      <c r="U385" s="386">
        <f>IF(AND(COUNTBLANK('3B-Prestaties vloeren'!$F$3:$H$24)=0,COUNTBLANK('3B-Prestaties vloeren'!$L$3:$M$24)=0),IF(R385="Sprayen/conserveren",I385/VLOOKUP(E385,'3B-Prestaties vloeren'!$A$3:$M$24,13,FALSE),0),0)</f>
        <v>0</v>
      </c>
      <c r="V385" s="386">
        <f>IF(AND(COUNTBLANK('3B-Prestaties vloeren'!$F$3:$H$24)=0,COUNTBLANK('3B-Prestaties vloeren'!$L$3:$M$24)=0),IF(R385="schrobben",I385/VLOOKUP(E385,'3B-Prestaties vloeren'!$A$3:$H$24,6,FALSE),0)*P385,0)</f>
        <v>0</v>
      </c>
      <c r="W385" s="386">
        <f>IF(AND(COUNTBLANK('3B-Prestaties vloeren'!$F$3:$H$24)=0,COUNTBLANK('3B-Prestaties vloeren'!$L$3:$M$24)=0),IF(R385="sproei-extractie",I385/VLOOKUP(E385,'3B-Prestaties vloeren'!$A$3:$H$24,8,FALSE),0)*P385,0)</f>
        <v>0</v>
      </c>
    </row>
    <row r="386" spans="1:23" ht="15" hidden="1">
      <c r="A386" s="378" t="s">
        <v>702</v>
      </c>
      <c r="B386" s="378" t="s">
        <v>719</v>
      </c>
      <c r="C386" s="378">
        <v>0</v>
      </c>
      <c r="D386" s="378" t="s">
        <v>292</v>
      </c>
      <c r="E386" s="378" t="s">
        <v>728</v>
      </c>
      <c r="F386" s="378" t="s">
        <v>502</v>
      </c>
      <c r="G386" s="378" t="str">
        <f>VLOOKUP(F386,'3B-Prestaties vloeren'!$A$28:$B$118,2,0)</f>
        <v>Hard onbehandeld</v>
      </c>
      <c r="H386" s="378" t="s">
        <v>284</v>
      </c>
      <c r="I386" s="378">
        <v>44.2</v>
      </c>
      <c r="J386" s="419"/>
      <c r="K386" s="426">
        <v>0</v>
      </c>
      <c r="L386" s="378">
        <f t="shared" ref="L386:L435" si="18">IF(K386=0,0,K386*I386)</f>
        <v>0</v>
      </c>
      <c r="M386" s="380">
        <f>IF(K386=0,0,IF(COUNTBLANK('3A-Prestatie'!$B$2:$I$22)=0,L386/VLOOKUP(E386,'3A-Prestatie'!$A$1:$M$22,VLOOKUP(K386,'3A-Prestatie'!$A$28:$B$34,2,FALSE),FALSE),"3A prestatie invullen"))</f>
        <v>0</v>
      </c>
      <c r="N386" s="380">
        <f t="shared" si="17"/>
        <v>0</v>
      </c>
      <c r="O386" s="381" t="str">
        <f>VLOOKUP(E386,'3A-Prestatie'!A:M,13,FALSE)</f>
        <v>N.v.t.</v>
      </c>
      <c r="P386" s="382">
        <f>IF(R386="Niet van toepassing",0,VLOOKUP(E386,'3B-Prestaties vloeren'!$A$3:$D$24,IF(G386="Hard onbehandeld",2,IF(G386="Hard behandeld",3,4)),FALSE))</f>
        <v>0</v>
      </c>
      <c r="Q386" s="383">
        <f t="shared" ref="Q386:Q435" si="19">SUM(T386:W386)</f>
        <v>0</v>
      </c>
      <c r="R386" s="384" t="str">
        <f>IF(K386=0,"Niet van toepassing",IF(G386='3B-Prestaties vloeren'!$B$2,"Schrobben",IF(G386='3B-Prestaties vloeren'!$C$2,"Sprayen/conserveren",IF(G386='3B-Prestaties vloeren'!$D$2,"Sproei-extractie",0))))</f>
        <v>Niet van toepassing</v>
      </c>
      <c r="S386" s="385">
        <f>IF('2-Tarieven'!$B$28=0,0,IF(M386=0,0,'2-Tarieven'!$B$28*M386))</f>
        <v>0</v>
      </c>
      <c r="T386" s="386">
        <f>IF(AND(COUNTBLANK('3B-Prestaties vloeren'!$F$3:$H$24)=0,COUNTBLANK('3B-Prestaties vloeren'!$L$3:$M$24)=0),IF(R386="Sprayen/conserveren",I386/VLOOKUP(E386,'3B-Prestaties vloeren'!$A$3:$M$24,12,FALSE),0)*(P386-1),0)</f>
        <v>0</v>
      </c>
      <c r="U386" s="386">
        <f>IF(AND(COUNTBLANK('3B-Prestaties vloeren'!$F$3:$H$24)=0,COUNTBLANK('3B-Prestaties vloeren'!$L$3:$M$24)=0),IF(R386="Sprayen/conserveren",I386/VLOOKUP(E386,'3B-Prestaties vloeren'!$A$3:$M$24,13,FALSE),0),0)</f>
        <v>0</v>
      </c>
      <c r="V386" s="386">
        <f>IF(AND(COUNTBLANK('3B-Prestaties vloeren'!$F$3:$H$24)=0,COUNTBLANK('3B-Prestaties vloeren'!$L$3:$M$24)=0),IF(R386="schrobben",I386/VLOOKUP(E386,'3B-Prestaties vloeren'!$A$3:$H$24,6,FALSE),0)*P386,0)</f>
        <v>0</v>
      </c>
      <c r="W386" s="386">
        <f>IF(AND(COUNTBLANK('3B-Prestaties vloeren'!$F$3:$H$24)=0,COUNTBLANK('3B-Prestaties vloeren'!$L$3:$M$24)=0),IF(R386="sproei-extractie",I386/VLOOKUP(E386,'3B-Prestaties vloeren'!$A$3:$H$24,8,FALSE),0)*P386,0)</f>
        <v>0</v>
      </c>
    </row>
    <row r="387" spans="1:23" ht="15" hidden="1">
      <c r="A387" s="378" t="s">
        <v>702</v>
      </c>
      <c r="B387" s="378" t="s">
        <v>719</v>
      </c>
      <c r="C387" s="378">
        <v>0</v>
      </c>
      <c r="D387" s="378" t="s">
        <v>293</v>
      </c>
      <c r="E387" s="378" t="s">
        <v>728</v>
      </c>
      <c r="F387" s="378" t="s">
        <v>502</v>
      </c>
      <c r="G387" s="378" t="str">
        <f>VLOOKUP(F387,'3B-Prestaties vloeren'!$A$28:$B$118,2,0)</f>
        <v>Hard onbehandeld</v>
      </c>
      <c r="H387" s="378" t="s">
        <v>651</v>
      </c>
      <c r="I387" s="378">
        <v>14</v>
      </c>
      <c r="J387" s="419"/>
      <c r="K387" s="426">
        <v>0</v>
      </c>
      <c r="L387" s="378">
        <f t="shared" si="18"/>
        <v>0</v>
      </c>
      <c r="M387" s="380">
        <f>IF(K387=0,0,IF(COUNTBLANK('3A-Prestatie'!$B$2:$I$22)=0,L387/VLOOKUP(E387,'3A-Prestatie'!$A$1:$M$22,VLOOKUP(K387,'3A-Prestatie'!$A$28:$B$34,2,FALSE),FALSE),"3A prestatie invullen"))</f>
        <v>0</v>
      </c>
      <c r="N387" s="380">
        <f t="shared" ref="N387:N435" si="20">IF(M387="3A prestatie invullen",0,IF(K387&lt;&gt;0,L387/M387,0))</f>
        <v>0</v>
      </c>
      <c r="O387" s="381" t="str">
        <f>VLOOKUP(E387,'3A-Prestatie'!A:M,13,FALSE)</f>
        <v>N.v.t.</v>
      </c>
      <c r="P387" s="382">
        <f>IF(R387="Niet van toepassing",0,VLOOKUP(E387,'3B-Prestaties vloeren'!$A$3:$D$24,IF(G387="Hard onbehandeld",2,IF(G387="Hard behandeld",3,4)),FALSE))</f>
        <v>0</v>
      </c>
      <c r="Q387" s="383">
        <f t="shared" si="19"/>
        <v>0</v>
      </c>
      <c r="R387" s="384" t="str">
        <f>IF(K387=0,"Niet van toepassing",IF(G387='3B-Prestaties vloeren'!$B$2,"Schrobben",IF(G387='3B-Prestaties vloeren'!$C$2,"Sprayen/conserveren",IF(G387='3B-Prestaties vloeren'!$D$2,"Sproei-extractie",0))))</f>
        <v>Niet van toepassing</v>
      </c>
      <c r="S387" s="385">
        <f>IF('2-Tarieven'!$B$28=0,0,IF(M387=0,0,'2-Tarieven'!$B$28*M387))</f>
        <v>0</v>
      </c>
      <c r="T387" s="386">
        <f>IF(AND(COUNTBLANK('3B-Prestaties vloeren'!$F$3:$H$24)=0,COUNTBLANK('3B-Prestaties vloeren'!$L$3:$M$24)=0),IF(R387="Sprayen/conserveren",I387/VLOOKUP(E387,'3B-Prestaties vloeren'!$A$3:$M$24,12,FALSE),0)*(P387-1),0)</f>
        <v>0</v>
      </c>
      <c r="U387" s="386">
        <f>IF(AND(COUNTBLANK('3B-Prestaties vloeren'!$F$3:$H$24)=0,COUNTBLANK('3B-Prestaties vloeren'!$L$3:$M$24)=0),IF(R387="Sprayen/conserveren",I387/VLOOKUP(E387,'3B-Prestaties vloeren'!$A$3:$M$24,13,FALSE),0),0)</f>
        <v>0</v>
      </c>
      <c r="V387" s="386">
        <f>IF(AND(COUNTBLANK('3B-Prestaties vloeren'!$F$3:$H$24)=0,COUNTBLANK('3B-Prestaties vloeren'!$L$3:$M$24)=0),IF(R387="schrobben",I387/VLOOKUP(E387,'3B-Prestaties vloeren'!$A$3:$H$24,6,FALSE),0)*P387,0)</f>
        <v>0</v>
      </c>
      <c r="W387" s="386">
        <f>IF(AND(COUNTBLANK('3B-Prestaties vloeren'!$F$3:$H$24)=0,COUNTBLANK('3B-Prestaties vloeren'!$L$3:$M$24)=0),IF(R387="sproei-extractie",I387/VLOOKUP(E387,'3B-Prestaties vloeren'!$A$3:$H$24,8,FALSE),0)*P387,0)</f>
        <v>0</v>
      </c>
    </row>
    <row r="388" spans="1:23" ht="15" hidden="1">
      <c r="A388" s="378" t="s">
        <v>702</v>
      </c>
      <c r="B388" s="378" t="s">
        <v>719</v>
      </c>
      <c r="C388" s="378">
        <v>0</v>
      </c>
      <c r="D388" s="378" t="s">
        <v>294</v>
      </c>
      <c r="E388" s="378" t="s">
        <v>728</v>
      </c>
      <c r="F388" s="378" t="s">
        <v>502</v>
      </c>
      <c r="G388" s="378" t="str">
        <f>VLOOKUP(F388,'3B-Prestaties vloeren'!$A$28:$B$118,2,0)</f>
        <v>Hard onbehandeld</v>
      </c>
      <c r="H388" s="378" t="s">
        <v>651</v>
      </c>
      <c r="I388" s="378">
        <v>81.7</v>
      </c>
      <c r="J388" s="419"/>
      <c r="K388" s="426">
        <v>0</v>
      </c>
      <c r="L388" s="378">
        <f t="shared" si="18"/>
        <v>0</v>
      </c>
      <c r="M388" s="380">
        <f>IF(K388=0,0,IF(COUNTBLANK('3A-Prestatie'!$B$2:$I$22)=0,L388/VLOOKUP(E388,'3A-Prestatie'!$A$1:$M$22,VLOOKUP(K388,'3A-Prestatie'!$A$28:$B$34,2,FALSE),FALSE),"3A prestatie invullen"))</f>
        <v>0</v>
      </c>
      <c r="N388" s="380">
        <f t="shared" si="20"/>
        <v>0</v>
      </c>
      <c r="O388" s="381" t="str">
        <f>VLOOKUP(E388,'3A-Prestatie'!A:M,13,FALSE)</f>
        <v>N.v.t.</v>
      </c>
      <c r="P388" s="382">
        <f>IF(R388="Niet van toepassing",0,VLOOKUP(E388,'3B-Prestaties vloeren'!$A$3:$D$24,IF(G388="Hard onbehandeld",2,IF(G388="Hard behandeld",3,4)),FALSE))</f>
        <v>0</v>
      </c>
      <c r="Q388" s="383">
        <f t="shared" si="19"/>
        <v>0</v>
      </c>
      <c r="R388" s="384" t="str">
        <f>IF(K388=0,"Niet van toepassing",IF(G388='3B-Prestaties vloeren'!$B$2,"Schrobben",IF(G388='3B-Prestaties vloeren'!$C$2,"Sprayen/conserveren",IF(G388='3B-Prestaties vloeren'!$D$2,"Sproei-extractie",0))))</f>
        <v>Niet van toepassing</v>
      </c>
      <c r="S388" s="385">
        <f>IF('2-Tarieven'!$B$28=0,0,IF(M388=0,0,'2-Tarieven'!$B$28*M388))</f>
        <v>0</v>
      </c>
      <c r="T388" s="386">
        <f>IF(AND(COUNTBLANK('3B-Prestaties vloeren'!$F$3:$H$24)=0,COUNTBLANK('3B-Prestaties vloeren'!$L$3:$M$24)=0),IF(R388="Sprayen/conserveren",I388/VLOOKUP(E388,'3B-Prestaties vloeren'!$A$3:$M$24,12,FALSE),0)*(P388-1),0)</f>
        <v>0</v>
      </c>
      <c r="U388" s="386">
        <f>IF(AND(COUNTBLANK('3B-Prestaties vloeren'!$F$3:$H$24)=0,COUNTBLANK('3B-Prestaties vloeren'!$L$3:$M$24)=0),IF(R388="Sprayen/conserveren",I388/VLOOKUP(E388,'3B-Prestaties vloeren'!$A$3:$M$24,13,FALSE),0),0)</f>
        <v>0</v>
      </c>
      <c r="V388" s="386">
        <f>IF(AND(COUNTBLANK('3B-Prestaties vloeren'!$F$3:$H$24)=0,COUNTBLANK('3B-Prestaties vloeren'!$L$3:$M$24)=0),IF(R388="schrobben",I388/VLOOKUP(E388,'3B-Prestaties vloeren'!$A$3:$H$24,6,FALSE),0)*P388,0)</f>
        <v>0</v>
      </c>
      <c r="W388" s="386">
        <f>IF(AND(COUNTBLANK('3B-Prestaties vloeren'!$F$3:$H$24)=0,COUNTBLANK('3B-Prestaties vloeren'!$L$3:$M$24)=0),IF(R388="sproei-extractie",I388/VLOOKUP(E388,'3B-Prestaties vloeren'!$A$3:$H$24,8,FALSE),0)*P388,0)</f>
        <v>0</v>
      </c>
    </row>
    <row r="389" spans="1:23" ht="15" hidden="1">
      <c r="A389" s="378" t="s">
        <v>702</v>
      </c>
      <c r="B389" s="378" t="s">
        <v>719</v>
      </c>
      <c r="C389" s="378">
        <v>0</v>
      </c>
      <c r="D389" s="378" t="s">
        <v>295</v>
      </c>
      <c r="E389" s="378" t="s">
        <v>728</v>
      </c>
      <c r="F389" s="378" t="s">
        <v>648</v>
      </c>
      <c r="G389" s="378" t="str">
        <f>VLOOKUP(F389,'3B-Prestaties vloeren'!$A$28:$B$118,2,0)</f>
        <v>Hard onbehandeld</v>
      </c>
      <c r="H389" s="378" t="s">
        <v>283</v>
      </c>
      <c r="I389" s="378">
        <v>13.5</v>
      </c>
      <c r="J389" s="419"/>
      <c r="K389" s="426">
        <v>0</v>
      </c>
      <c r="L389" s="378">
        <f t="shared" si="18"/>
        <v>0</v>
      </c>
      <c r="M389" s="380">
        <f>IF(K389=0,0,IF(COUNTBLANK('3A-Prestatie'!$B$2:$I$22)=0,L389/VLOOKUP(E389,'3A-Prestatie'!$A$1:$M$22,VLOOKUP(K389,'3A-Prestatie'!$A$28:$B$34,2,FALSE),FALSE),"3A prestatie invullen"))</f>
        <v>0</v>
      </c>
      <c r="N389" s="380">
        <f t="shared" si="20"/>
        <v>0</v>
      </c>
      <c r="O389" s="381" t="str">
        <f>VLOOKUP(E389,'3A-Prestatie'!A:M,13,FALSE)</f>
        <v>N.v.t.</v>
      </c>
      <c r="P389" s="382">
        <f>IF(R389="Niet van toepassing",0,VLOOKUP(E389,'3B-Prestaties vloeren'!$A$3:$D$24,IF(G389="Hard onbehandeld",2,IF(G389="Hard behandeld",3,4)),FALSE))</f>
        <v>0</v>
      </c>
      <c r="Q389" s="383">
        <f t="shared" si="19"/>
        <v>0</v>
      </c>
      <c r="R389" s="384" t="str">
        <f>IF(K389=0,"Niet van toepassing",IF(G389='3B-Prestaties vloeren'!$B$2,"Schrobben",IF(G389='3B-Prestaties vloeren'!$C$2,"Sprayen/conserveren",IF(G389='3B-Prestaties vloeren'!$D$2,"Sproei-extractie",0))))</f>
        <v>Niet van toepassing</v>
      </c>
      <c r="S389" s="385">
        <f>IF('2-Tarieven'!$B$28=0,0,IF(M389=0,0,'2-Tarieven'!$B$28*M389))</f>
        <v>0</v>
      </c>
      <c r="T389" s="386">
        <f>IF(AND(COUNTBLANK('3B-Prestaties vloeren'!$F$3:$H$24)=0,COUNTBLANK('3B-Prestaties vloeren'!$L$3:$M$24)=0),IF(R389="Sprayen/conserveren",I389/VLOOKUP(E389,'3B-Prestaties vloeren'!$A$3:$M$24,12,FALSE),0)*(P389-1),0)</f>
        <v>0</v>
      </c>
      <c r="U389" s="386">
        <f>IF(AND(COUNTBLANK('3B-Prestaties vloeren'!$F$3:$H$24)=0,COUNTBLANK('3B-Prestaties vloeren'!$L$3:$M$24)=0),IF(R389="Sprayen/conserveren",I389/VLOOKUP(E389,'3B-Prestaties vloeren'!$A$3:$M$24,13,FALSE),0),0)</f>
        <v>0</v>
      </c>
      <c r="V389" s="386">
        <f>IF(AND(COUNTBLANK('3B-Prestaties vloeren'!$F$3:$H$24)=0,COUNTBLANK('3B-Prestaties vloeren'!$L$3:$M$24)=0),IF(R389="schrobben",I389/VLOOKUP(E389,'3B-Prestaties vloeren'!$A$3:$H$24,6,FALSE),0)*P389,0)</f>
        <v>0</v>
      </c>
      <c r="W389" s="386">
        <f>IF(AND(COUNTBLANK('3B-Prestaties vloeren'!$F$3:$H$24)=0,COUNTBLANK('3B-Prestaties vloeren'!$L$3:$M$24)=0),IF(R389="sproei-extractie",I389/VLOOKUP(E389,'3B-Prestaties vloeren'!$A$3:$H$24,8,FALSE),0)*P389,0)</f>
        <v>0</v>
      </c>
    </row>
    <row r="390" spans="1:23" ht="15" hidden="1">
      <c r="A390" s="378" t="s">
        <v>702</v>
      </c>
      <c r="B390" s="378" t="s">
        <v>719</v>
      </c>
      <c r="C390" s="378">
        <v>0</v>
      </c>
      <c r="D390" s="378" t="s">
        <v>296</v>
      </c>
      <c r="E390" s="378" t="s">
        <v>728</v>
      </c>
      <c r="F390" s="378" t="s">
        <v>502</v>
      </c>
      <c r="G390" s="378" t="str">
        <f>VLOOKUP(F390,'3B-Prestaties vloeren'!$A$28:$B$118,2,0)</f>
        <v>Hard onbehandeld</v>
      </c>
      <c r="H390" s="378" t="s">
        <v>283</v>
      </c>
      <c r="I390" s="378">
        <v>35</v>
      </c>
      <c r="J390" s="419"/>
      <c r="K390" s="426">
        <v>0</v>
      </c>
      <c r="L390" s="378">
        <f t="shared" si="18"/>
        <v>0</v>
      </c>
      <c r="M390" s="380">
        <f>IF(K390=0,0,IF(COUNTBLANK('3A-Prestatie'!$B$2:$I$22)=0,L390/VLOOKUP(E390,'3A-Prestatie'!$A$1:$M$22,VLOOKUP(K390,'3A-Prestatie'!$A$28:$B$34,2,FALSE),FALSE),"3A prestatie invullen"))</f>
        <v>0</v>
      </c>
      <c r="N390" s="380">
        <f t="shared" si="20"/>
        <v>0</v>
      </c>
      <c r="O390" s="381" t="str">
        <f>VLOOKUP(E390,'3A-Prestatie'!A:M,13,FALSE)</f>
        <v>N.v.t.</v>
      </c>
      <c r="P390" s="382">
        <f>IF(R390="Niet van toepassing",0,VLOOKUP(E390,'3B-Prestaties vloeren'!$A$3:$D$24,IF(G390="Hard onbehandeld",2,IF(G390="Hard behandeld",3,4)),FALSE))</f>
        <v>0</v>
      </c>
      <c r="Q390" s="383">
        <f t="shared" si="19"/>
        <v>0</v>
      </c>
      <c r="R390" s="384" t="str">
        <f>IF(K390=0,"Niet van toepassing",IF(G390='3B-Prestaties vloeren'!$B$2,"Schrobben",IF(G390='3B-Prestaties vloeren'!$C$2,"Sprayen/conserveren",IF(G390='3B-Prestaties vloeren'!$D$2,"Sproei-extractie",0))))</f>
        <v>Niet van toepassing</v>
      </c>
      <c r="S390" s="385">
        <f>IF('2-Tarieven'!$B$28=0,0,IF(M390=0,0,'2-Tarieven'!$B$28*M390))</f>
        <v>0</v>
      </c>
      <c r="T390" s="386">
        <f>IF(AND(COUNTBLANK('3B-Prestaties vloeren'!$F$3:$H$24)=0,COUNTBLANK('3B-Prestaties vloeren'!$L$3:$M$24)=0),IF(R390="Sprayen/conserveren",I390/VLOOKUP(E390,'3B-Prestaties vloeren'!$A$3:$M$24,12,FALSE),0)*(P390-1),0)</f>
        <v>0</v>
      </c>
      <c r="U390" s="386">
        <f>IF(AND(COUNTBLANK('3B-Prestaties vloeren'!$F$3:$H$24)=0,COUNTBLANK('3B-Prestaties vloeren'!$L$3:$M$24)=0),IF(R390="Sprayen/conserveren",I390/VLOOKUP(E390,'3B-Prestaties vloeren'!$A$3:$M$24,13,FALSE),0),0)</f>
        <v>0</v>
      </c>
      <c r="V390" s="386">
        <f>IF(AND(COUNTBLANK('3B-Prestaties vloeren'!$F$3:$H$24)=0,COUNTBLANK('3B-Prestaties vloeren'!$L$3:$M$24)=0),IF(R390="schrobben",I390/VLOOKUP(E390,'3B-Prestaties vloeren'!$A$3:$H$24,6,FALSE),0)*P390,0)</f>
        <v>0</v>
      </c>
      <c r="W390" s="386">
        <f>IF(AND(COUNTBLANK('3B-Prestaties vloeren'!$F$3:$H$24)=0,COUNTBLANK('3B-Prestaties vloeren'!$L$3:$M$24)=0),IF(R390="sproei-extractie",I390/VLOOKUP(E390,'3B-Prestaties vloeren'!$A$3:$H$24,8,FALSE),0)*P390,0)</f>
        <v>0</v>
      </c>
    </row>
    <row r="391" spans="1:23" ht="15" hidden="1">
      <c r="A391" s="378" t="s">
        <v>702</v>
      </c>
      <c r="B391" s="378" t="s">
        <v>719</v>
      </c>
      <c r="C391" s="378">
        <v>0</v>
      </c>
      <c r="D391" s="378" t="s">
        <v>297</v>
      </c>
      <c r="E391" s="378" t="s">
        <v>728</v>
      </c>
      <c r="F391" s="378" t="s">
        <v>502</v>
      </c>
      <c r="G391" s="378" t="str">
        <f>VLOOKUP(F391,'3B-Prestaties vloeren'!$A$28:$B$118,2,0)</f>
        <v>Hard onbehandeld</v>
      </c>
      <c r="H391" s="378" t="s">
        <v>651</v>
      </c>
      <c r="I391" s="378">
        <v>22.9</v>
      </c>
      <c r="J391" s="419"/>
      <c r="K391" s="426">
        <v>0</v>
      </c>
      <c r="L391" s="378">
        <f t="shared" si="18"/>
        <v>0</v>
      </c>
      <c r="M391" s="380">
        <f>IF(K391=0,0,IF(COUNTBLANK('3A-Prestatie'!$B$2:$I$22)=0,L391/VLOOKUP(E391,'3A-Prestatie'!$A$1:$M$22,VLOOKUP(K391,'3A-Prestatie'!$A$28:$B$34,2,FALSE),FALSE),"3A prestatie invullen"))</f>
        <v>0</v>
      </c>
      <c r="N391" s="380">
        <f t="shared" si="20"/>
        <v>0</v>
      </c>
      <c r="O391" s="381" t="str">
        <f>VLOOKUP(E391,'3A-Prestatie'!A:M,13,FALSE)</f>
        <v>N.v.t.</v>
      </c>
      <c r="P391" s="382">
        <f>IF(R391="Niet van toepassing",0,VLOOKUP(E391,'3B-Prestaties vloeren'!$A$3:$D$24,IF(G391="Hard onbehandeld",2,IF(G391="Hard behandeld",3,4)),FALSE))</f>
        <v>0</v>
      </c>
      <c r="Q391" s="383">
        <f t="shared" si="19"/>
        <v>0</v>
      </c>
      <c r="R391" s="384" t="str">
        <f>IF(K391=0,"Niet van toepassing",IF(G391='3B-Prestaties vloeren'!$B$2,"Schrobben",IF(G391='3B-Prestaties vloeren'!$C$2,"Sprayen/conserveren",IF(G391='3B-Prestaties vloeren'!$D$2,"Sproei-extractie",0))))</f>
        <v>Niet van toepassing</v>
      </c>
      <c r="S391" s="385">
        <f>IF('2-Tarieven'!$B$28=0,0,IF(M391=0,0,'2-Tarieven'!$B$28*M391))</f>
        <v>0</v>
      </c>
      <c r="T391" s="386">
        <f>IF(AND(COUNTBLANK('3B-Prestaties vloeren'!$F$3:$H$24)=0,COUNTBLANK('3B-Prestaties vloeren'!$L$3:$M$24)=0),IF(R391="Sprayen/conserveren",I391/VLOOKUP(E391,'3B-Prestaties vloeren'!$A$3:$M$24,12,FALSE),0)*(P391-1),0)</f>
        <v>0</v>
      </c>
      <c r="U391" s="386">
        <f>IF(AND(COUNTBLANK('3B-Prestaties vloeren'!$F$3:$H$24)=0,COUNTBLANK('3B-Prestaties vloeren'!$L$3:$M$24)=0),IF(R391="Sprayen/conserveren",I391/VLOOKUP(E391,'3B-Prestaties vloeren'!$A$3:$M$24,13,FALSE),0),0)</f>
        <v>0</v>
      </c>
      <c r="V391" s="386">
        <f>IF(AND(COUNTBLANK('3B-Prestaties vloeren'!$F$3:$H$24)=0,COUNTBLANK('3B-Prestaties vloeren'!$L$3:$M$24)=0),IF(R391="schrobben",I391/VLOOKUP(E391,'3B-Prestaties vloeren'!$A$3:$H$24,6,FALSE),0)*P391,0)</f>
        <v>0</v>
      </c>
      <c r="W391" s="386">
        <f>IF(AND(COUNTBLANK('3B-Prestaties vloeren'!$F$3:$H$24)=0,COUNTBLANK('3B-Prestaties vloeren'!$L$3:$M$24)=0),IF(R391="sproei-extractie",I391/VLOOKUP(E391,'3B-Prestaties vloeren'!$A$3:$H$24,8,FALSE),0)*P391,0)</f>
        <v>0</v>
      </c>
    </row>
    <row r="392" spans="1:23" ht="15" hidden="1">
      <c r="A392" s="378" t="s">
        <v>702</v>
      </c>
      <c r="B392" s="378" t="s">
        <v>719</v>
      </c>
      <c r="C392" s="378">
        <v>0</v>
      </c>
      <c r="D392" s="378" t="s">
        <v>0</v>
      </c>
      <c r="E392" s="378" t="s">
        <v>285</v>
      </c>
      <c r="F392" s="378" t="s">
        <v>502</v>
      </c>
      <c r="G392" s="378" t="str">
        <f>VLOOKUP(F392,'3B-Prestaties vloeren'!$A$28:$B$118,2,0)</f>
        <v>Hard onbehandeld</v>
      </c>
      <c r="H392" s="378" t="s">
        <v>720</v>
      </c>
      <c r="I392" s="378">
        <v>9</v>
      </c>
      <c r="J392" s="419"/>
      <c r="K392" s="426">
        <v>0</v>
      </c>
      <c r="L392" s="378">
        <f t="shared" si="18"/>
        <v>0</v>
      </c>
      <c r="M392" s="380">
        <f>IF(K392=0,0,IF(COUNTBLANK('3A-Prestatie'!$B$2:$I$22)=0,L392/VLOOKUP(E392,'3A-Prestatie'!$A$1:$M$22,VLOOKUP(K392,'3A-Prestatie'!$A$28:$B$34,2,FALSE),FALSE),"3A prestatie invullen"))</f>
        <v>0</v>
      </c>
      <c r="N392" s="380">
        <f t="shared" si="20"/>
        <v>0</v>
      </c>
      <c r="O392" s="381" t="str">
        <f>VLOOKUP(E392,'3A-Prestatie'!A:M,13,FALSE)</f>
        <v>V</v>
      </c>
      <c r="P392" s="382">
        <f>IF(R392="Niet van toepassing",0,VLOOKUP(E392,'3B-Prestaties vloeren'!$A$3:$D$24,IF(G392="Hard onbehandeld",2,IF(G392="Hard behandeld",3,4)),FALSE))</f>
        <v>0</v>
      </c>
      <c r="Q392" s="383">
        <f t="shared" si="19"/>
        <v>0</v>
      </c>
      <c r="R392" s="384" t="str">
        <f>IF(K392=0,"Niet van toepassing",IF(G392='3B-Prestaties vloeren'!$B$2,"Schrobben",IF(G392='3B-Prestaties vloeren'!$C$2,"Sprayen/conserveren",IF(G392='3B-Prestaties vloeren'!$D$2,"Sproei-extractie",0))))</f>
        <v>Niet van toepassing</v>
      </c>
      <c r="S392" s="385">
        <f>IF('2-Tarieven'!$B$28=0,0,IF(M392=0,0,'2-Tarieven'!$B$28*M392))</f>
        <v>0</v>
      </c>
      <c r="T392" s="386">
        <f>IF(AND(COUNTBLANK('3B-Prestaties vloeren'!$F$3:$H$24)=0,COUNTBLANK('3B-Prestaties vloeren'!$L$3:$M$24)=0),IF(R392="Sprayen/conserveren",I392/VLOOKUP(E392,'3B-Prestaties vloeren'!$A$3:$M$24,12,FALSE),0)*(P392-1),0)</f>
        <v>0</v>
      </c>
      <c r="U392" s="386">
        <f>IF(AND(COUNTBLANK('3B-Prestaties vloeren'!$F$3:$H$24)=0,COUNTBLANK('3B-Prestaties vloeren'!$L$3:$M$24)=0),IF(R392="Sprayen/conserveren",I392/VLOOKUP(E392,'3B-Prestaties vloeren'!$A$3:$M$24,13,FALSE),0),0)</f>
        <v>0</v>
      </c>
      <c r="V392" s="386">
        <f>IF(AND(COUNTBLANK('3B-Prestaties vloeren'!$F$3:$H$24)=0,COUNTBLANK('3B-Prestaties vloeren'!$L$3:$M$24)=0),IF(R392="schrobben",I392/VLOOKUP(E392,'3B-Prestaties vloeren'!$A$3:$H$24,6,FALSE),0)*P392,0)</f>
        <v>0</v>
      </c>
      <c r="W392" s="386">
        <f>IF(AND(COUNTBLANK('3B-Prestaties vloeren'!$F$3:$H$24)=0,COUNTBLANK('3B-Prestaties vloeren'!$L$3:$M$24)=0),IF(R392="sproei-extractie",I392/VLOOKUP(E392,'3B-Prestaties vloeren'!$A$3:$H$24,8,FALSE),0)*P392,0)</f>
        <v>0</v>
      </c>
    </row>
    <row r="393" spans="1:23" ht="15" hidden="1">
      <c r="A393" s="378" t="s">
        <v>702</v>
      </c>
      <c r="B393" s="378" t="s">
        <v>719</v>
      </c>
      <c r="C393" s="378">
        <v>0</v>
      </c>
      <c r="D393" s="378" t="s">
        <v>498</v>
      </c>
      <c r="E393" s="378" t="s">
        <v>285</v>
      </c>
      <c r="F393" s="378" t="s">
        <v>502</v>
      </c>
      <c r="G393" s="378" t="str">
        <f>VLOOKUP(F393,'3B-Prestaties vloeren'!$A$28:$B$118,2,0)</f>
        <v>Hard onbehandeld</v>
      </c>
      <c r="H393" s="378"/>
      <c r="I393" s="378">
        <v>2.2999999999999998</v>
      </c>
      <c r="J393" s="419"/>
      <c r="K393" s="426">
        <v>0</v>
      </c>
      <c r="L393" s="378">
        <f t="shared" si="18"/>
        <v>0</v>
      </c>
      <c r="M393" s="380">
        <f>IF(K393=0,0,IF(COUNTBLANK('3A-Prestatie'!$B$2:$I$22)=0,L393/VLOOKUP(E393,'3A-Prestatie'!$A$1:$M$22,VLOOKUP(K393,'3A-Prestatie'!$A$28:$B$34,2,FALSE),FALSE),"3A prestatie invullen"))</f>
        <v>0</v>
      </c>
      <c r="N393" s="380">
        <f t="shared" si="20"/>
        <v>0</v>
      </c>
      <c r="O393" s="381" t="str">
        <f>VLOOKUP(E393,'3A-Prestatie'!A:M,13,FALSE)</f>
        <v>V</v>
      </c>
      <c r="P393" s="382">
        <f>IF(R393="Niet van toepassing",0,VLOOKUP(E393,'3B-Prestaties vloeren'!$A$3:$D$24,IF(G393="Hard onbehandeld",2,IF(G393="Hard behandeld",3,4)),FALSE))</f>
        <v>0</v>
      </c>
      <c r="Q393" s="383">
        <f t="shared" si="19"/>
        <v>0</v>
      </c>
      <c r="R393" s="384" t="str">
        <f>IF(K393=0,"Niet van toepassing",IF(G393='3B-Prestaties vloeren'!$B$2,"Schrobben",IF(G393='3B-Prestaties vloeren'!$C$2,"Sprayen/conserveren",IF(G393='3B-Prestaties vloeren'!$D$2,"Sproei-extractie",0))))</f>
        <v>Niet van toepassing</v>
      </c>
      <c r="S393" s="385">
        <f>IF('2-Tarieven'!$B$28=0,0,IF(M393=0,0,'2-Tarieven'!$B$28*M393))</f>
        <v>0</v>
      </c>
      <c r="T393" s="386">
        <f>IF(AND(COUNTBLANK('3B-Prestaties vloeren'!$F$3:$H$24)=0,COUNTBLANK('3B-Prestaties vloeren'!$L$3:$M$24)=0),IF(R393="Sprayen/conserveren",I393/VLOOKUP(E393,'3B-Prestaties vloeren'!$A$3:$M$24,12,FALSE),0)*(P393-1),0)</f>
        <v>0</v>
      </c>
      <c r="U393" s="386">
        <f>IF(AND(COUNTBLANK('3B-Prestaties vloeren'!$F$3:$H$24)=0,COUNTBLANK('3B-Prestaties vloeren'!$L$3:$M$24)=0),IF(R393="Sprayen/conserveren",I393/VLOOKUP(E393,'3B-Prestaties vloeren'!$A$3:$M$24,13,FALSE),0),0)</f>
        <v>0</v>
      </c>
      <c r="V393" s="386">
        <f>IF(AND(COUNTBLANK('3B-Prestaties vloeren'!$F$3:$H$24)=0,COUNTBLANK('3B-Prestaties vloeren'!$L$3:$M$24)=0),IF(R393="schrobben",I393/VLOOKUP(E393,'3B-Prestaties vloeren'!$A$3:$H$24,6,FALSE),0)*P393,0)</f>
        <v>0</v>
      </c>
      <c r="W393" s="386">
        <f>IF(AND(COUNTBLANK('3B-Prestaties vloeren'!$F$3:$H$24)=0,COUNTBLANK('3B-Prestaties vloeren'!$L$3:$M$24)=0),IF(R393="sproei-extractie",I393/VLOOKUP(E393,'3B-Prestaties vloeren'!$A$3:$H$24,8,FALSE),0)*P393,0)</f>
        <v>0</v>
      </c>
    </row>
    <row r="394" spans="1:23" ht="15" hidden="1">
      <c r="A394" s="378" t="s">
        <v>702</v>
      </c>
      <c r="B394" s="378" t="s">
        <v>719</v>
      </c>
      <c r="C394" s="378">
        <v>0</v>
      </c>
      <c r="D394" s="378" t="s">
        <v>298</v>
      </c>
      <c r="E394" s="378" t="s">
        <v>728</v>
      </c>
      <c r="F394" s="378" t="s">
        <v>648</v>
      </c>
      <c r="G394" s="378" t="str">
        <f>VLOOKUP(F394,'3B-Prestaties vloeren'!$A$28:$B$118,2,0)</f>
        <v>Hard onbehandeld</v>
      </c>
      <c r="H394" s="378" t="s">
        <v>467</v>
      </c>
      <c r="I394" s="378">
        <v>98</v>
      </c>
      <c r="J394" s="419"/>
      <c r="K394" s="426">
        <v>0</v>
      </c>
      <c r="L394" s="378">
        <f t="shared" si="18"/>
        <v>0</v>
      </c>
      <c r="M394" s="380">
        <f>IF(K394=0,0,IF(COUNTBLANK('3A-Prestatie'!$B$2:$I$22)=0,L394/VLOOKUP(E394,'3A-Prestatie'!$A$1:$M$22,VLOOKUP(K394,'3A-Prestatie'!$A$28:$B$34,2,FALSE),FALSE),"3A prestatie invullen"))</f>
        <v>0</v>
      </c>
      <c r="N394" s="380">
        <f t="shared" si="20"/>
        <v>0</v>
      </c>
      <c r="O394" s="381" t="str">
        <f>VLOOKUP(E394,'3A-Prestatie'!A:M,13,FALSE)</f>
        <v>N.v.t.</v>
      </c>
      <c r="P394" s="382">
        <f>IF(R394="Niet van toepassing",0,VLOOKUP(E394,'3B-Prestaties vloeren'!$A$3:$D$24,IF(G394="Hard onbehandeld",2,IF(G394="Hard behandeld",3,4)),FALSE))</f>
        <v>0</v>
      </c>
      <c r="Q394" s="383">
        <f t="shared" si="19"/>
        <v>0</v>
      </c>
      <c r="R394" s="384" t="str">
        <f>IF(K394=0,"Niet van toepassing",IF(G394='3B-Prestaties vloeren'!$B$2,"Schrobben",IF(G394='3B-Prestaties vloeren'!$C$2,"Sprayen/conserveren",IF(G394='3B-Prestaties vloeren'!$D$2,"Sproei-extractie",0))))</f>
        <v>Niet van toepassing</v>
      </c>
      <c r="S394" s="385">
        <f>IF('2-Tarieven'!$B$28=0,0,IF(M394=0,0,'2-Tarieven'!$B$28*M394))</f>
        <v>0</v>
      </c>
      <c r="T394" s="386">
        <f>IF(AND(COUNTBLANK('3B-Prestaties vloeren'!$F$3:$H$24)=0,COUNTBLANK('3B-Prestaties vloeren'!$L$3:$M$24)=0),IF(R394="Sprayen/conserveren",I394/VLOOKUP(E394,'3B-Prestaties vloeren'!$A$3:$M$24,12,FALSE),0)*(P394-1),0)</f>
        <v>0</v>
      </c>
      <c r="U394" s="386">
        <f>IF(AND(COUNTBLANK('3B-Prestaties vloeren'!$F$3:$H$24)=0,COUNTBLANK('3B-Prestaties vloeren'!$L$3:$M$24)=0),IF(R394="Sprayen/conserveren",I394/VLOOKUP(E394,'3B-Prestaties vloeren'!$A$3:$M$24,13,FALSE),0),0)</f>
        <v>0</v>
      </c>
      <c r="V394" s="386">
        <f>IF(AND(COUNTBLANK('3B-Prestaties vloeren'!$F$3:$H$24)=0,COUNTBLANK('3B-Prestaties vloeren'!$L$3:$M$24)=0),IF(R394="schrobben",I394/VLOOKUP(E394,'3B-Prestaties vloeren'!$A$3:$H$24,6,FALSE),0)*P394,0)</f>
        <v>0</v>
      </c>
      <c r="W394" s="386">
        <f>IF(AND(COUNTBLANK('3B-Prestaties vloeren'!$F$3:$H$24)=0,COUNTBLANK('3B-Prestaties vloeren'!$L$3:$M$24)=0),IF(R394="sproei-extractie",I394/VLOOKUP(E394,'3B-Prestaties vloeren'!$A$3:$H$24,8,FALSE),0)*P394,0)</f>
        <v>0</v>
      </c>
    </row>
    <row r="395" spans="1:23" ht="15" hidden="1">
      <c r="A395" s="378" t="s">
        <v>702</v>
      </c>
      <c r="B395" s="378" t="s">
        <v>719</v>
      </c>
      <c r="C395" s="378">
        <v>0</v>
      </c>
      <c r="D395" s="378" t="s">
        <v>299</v>
      </c>
      <c r="E395" s="378" t="s">
        <v>728</v>
      </c>
      <c r="F395" s="378" t="s">
        <v>647</v>
      </c>
      <c r="G395" s="378" t="str">
        <f>VLOOKUP(F395,'3B-Prestaties vloeren'!$A$28:$B$118,2,0)</f>
        <v>Hard onbehandeld</v>
      </c>
      <c r="H395" s="378" t="s">
        <v>330</v>
      </c>
      <c r="I395" s="378">
        <v>2</v>
      </c>
      <c r="J395" s="419"/>
      <c r="K395" s="426">
        <v>0</v>
      </c>
      <c r="L395" s="378">
        <f t="shared" si="18"/>
        <v>0</v>
      </c>
      <c r="M395" s="380">
        <f>IF(K395=0,0,IF(COUNTBLANK('3A-Prestatie'!$B$2:$I$22)=0,L395/VLOOKUP(E395,'3A-Prestatie'!$A$1:$M$22,VLOOKUP(K395,'3A-Prestatie'!$A$28:$B$34,2,FALSE),FALSE),"3A prestatie invullen"))</f>
        <v>0</v>
      </c>
      <c r="N395" s="380">
        <f t="shared" si="20"/>
        <v>0</v>
      </c>
      <c r="O395" s="381" t="str">
        <f>VLOOKUP(E395,'3A-Prestatie'!A:M,13,FALSE)</f>
        <v>N.v.t.</v>
      </c>
      <c r="P395" s="382">
        <f>IF(R395="Niet van toepassing",0,VLOOKUP(E395,'3B-Prestaties vloeren'!$A$3:$D$24,IF(G395="Hard onbehandeld",2,IF(G395="Hard behandeld",3,4)),FALSE))</f>
        <v>0</v>
      </c>
      <c r="Q395" s="383">
        <f t="shared" si="19"/>
        <v>0</v>
      </c>
      <c r="R395" s="384" t="str">
        <f>IF(K395=0,"Niet van toepassing",IF(G395='3B-Prestaties vloeren'!$B$2,"Schrobben",IF(G395='3B-Prestaties vloeren'!$C$2,"Sprayen/conserveren",IF(G395='3B-Prestaties vloeren'!$D$2,"Sproei-extractie",0))))</f>
        <v>Niet van toepassing</v>
      </c>
      <c r="S395" s="385">
        <f>IF('2-Tarieven'!$B$28=0,0,IF(M395=0,0,'2-Tarieven'!$B$28*M395))</f>
        <v>0</v>
      </c>
      <c r="T395" s="386">
        <f>IF(AND(COUNTBLANK('3B-Prestaties vloeren'!$F$3:$H$24)=0,COUNTBLANK('3B-Prestaties vloeren'!$L$3:$M$24)=0),IF(R395="Sprayen/conserveren",I395/VLOOKUP(E395,'3B-Prestaties vloeren'!$A$3:$M$24,12,FALSE),0)*(P395-1),0)</f>
        <v>0</v>
      </c>
      <c r="U395" s="386">
        <f>IF(AND(COUNTBLANK('3B-Prestaties vloeren'!$F$3:$H$24)=0,COUNTBLANK('3B-Prestaties vloeren'!$L$3:$M$24)=0),IF(R395="Sprayen/conserveren",I395/VLOOKUP(E395,'3B-Prestaties vloeren'!$A$3:$M$24,13,FALSE),0),0)</f>
        <v>0</v>
      </c>
      <c r="V395" s="386">
        <f>IF(AND(COUNTBLANK('3B-Prestaties vloeren'!$F$3:$H$24)=0,COUNTBLANK('3B-Prestaties vloeren'!$L$3:$M$24)=0),IF(R395="schrobben",I395/VLOOKUP(E395,'3B-Prestaties vloeren'!$A$3:$H$24,6,FALSE),0)*P395,0)</f>
        <v>0</v>
      </c>
      <c r="W395" s="386">
        <f>IF(AND(COUNTBLANK('3B-Prestaties vloeren'!$F$3:$H$24)=0,COUNTBLANK('3B-Prestaties vloeren'!$L$3:$M$24)=0),IF(R395="sproei-extractie",I395/VLOOKUP(E395,'3B-Prestaties vloeren'!$A$3:$H$24,8,FALSE),0)*P395,0)</f>
        <v>0</v>
      </c>
    </row>
    <row r="396" spans="1:23" ht="15" hidden="1">
      <c r="A396" s="378" t="s">
        <v>702</v>
      </c>
      <c r="B396" s="378" t="s">
        <v>719</v>
      </c>
      <c r="C396" s="378">
        <v>0</v>
      </c>
      <c r="D396" s="378" t="s">
        <v>300</v>
      </c>
      <c r="E396" s="378" t="s">
        <v>728</v>
      </c>
      <c r="F396" s="378" t="s">
        <v>695</v>
      </c>
      <c r="G396" s="378" t="str">
        <f>VLOOKUP(F396,'3B-Prestaties vloeren'!$A$28:$B$118,2,0)</f>
        <v>N.v.t.</v>
      </c>
      <c r="H396" s="378" t="s">
        <v>731</v>
      </c>
      <c r="I396" s="378">
        <v>71.599999999999994</v>
      </c>
      <c r="J396" s="419"/>
      <c r="K396" s="426">
        <v>0</v>
      </c>
      <c r="L396" s="378">
        <f t="shared" si="18"/>
        <v>0</v>
      </c>
      <c r="M396" s="380">
        <f>IF(K396=0,0,IF(COUNTBLANK('3A-Prestatie'!$B$2:$I$22)=0,L396/VLOOKUP(E396,'3A-Prestatie'!$A$1:$M$22,VLOOKUP(K396,'3A-Prestatie'!$A$28:$B$34,2,FALSE),FALSE),"3A prestatie invullen"))</f>
        <v>0</v>
      </c>
      <c r="N396" s="380">
        <f t="shared" si="20"/>
        <v>0</v>
      </c>
      <c r="O396" s="381" t="str">
        <f>VLOOKUP(E396,'3A-Prestatie'!A:M,13,FALSE)</f>
        <v>N.v.t.</v>
      </c>
      <c r="P396" s="382">
        <f>IF(R396="Niet van toepassing",0,VLOOKUP(E396,'3B-Prestaties vloeren'!$A$3:$D$24,IF(G396="Hard onbehandeld",2,IF(G396="Hard behandeld",3,4)),FALSE))</f>
        <v>0</v>
      </c>
      <c r="Q396" s="383">
        <f t="shared" si="19"/>
        <v>0</v>
      </c>
      <c r="R396" s="384" t="str">
        <f>IF(K396=0,"Niet van toepassing",IF(G396='3B-Prestaties vloeren'!$B$2,"Schrobben",IF(G396='3B-Prestaties vloeren'!$C$2,"Sprayen/conserveren",IF(G396='3B-Prestaties vloeren'!$D$2,"Sproei-extractie",0))))</f>
        <v>Niet van toepassing</v>
      </c>
      <c r="S396" s="385">
        <f>IF('2-Tarieven'!$B$28=0,0,IF(M396=0,0,'2-Tarieven'!$B$28*M396))</f>
        <v>0</v>
      </c>
      <c r="T396" s="386">
        <f>IF(AND(COUNTBLANK('3B-Prestaties vloeren'!$F$3:$H$24)=0,COUNTBLANK('3B-Prestaties vloeren'!$L$3:$M$24)=0),IF(R396="Sprayen/conserveren",I396/VLOOKUP(E396,'3B-Prestaties vloeren'!$A$3:$M$24,12,FALSE),0)*(P396-1),0)</f>
        <v>0</v>
      </c>
      <c r="U396" s="386">
        <f>IF(AND(COUNTBLANK('3B-Prestaties vloeren'!$F$3:$H$24)=0,COUNTBLANK('3B-Prestaties vloeren'!$L$3:$M$24)=0),IF(R396="Sprayen/conserveren",I396/VLOOKUP(E396,'3B-Prestaties vloeren'!$A$3:$M$24,13,FALSE),0),0)</f>
        <v>0</v>
      </c>
      <c r="V396" s="386">
        <f>IF(AND(COUNTBLANK('3B-Prestaties vloeren'!$F$3:$H$24)=0,COUNTBLANK('3B-Prestaties vloeren'!$L$3:$M$24)=0),IF(R396="schrobben",I396/VLOOKUP(E396,'3B-Prestaties vloeren'!$A$3:$H$24,6,FALSE),0)*P396,0)</f>
        <v>0</v>
      </c>
      <c r="W396" s="386">
        <f>IF(AND(COUNTBLANK('3B-Prestaties vloeren'!$F$3:$H$24)=0,COUNTBLANK('3B-Prestaties vloeren'!$L$3:$M$24)=0),IF(R396="sproei-extractie",I396/VLOOKUP(E396,'3B-Prestaties vloeren'!$A$3:$H$24,8,FALSE),0)*P396,0)</f>
        <v>0</v>
      </c>
    </row>
    <row r="397" spans="1:23" ht="15" hidden="1">
      <c r="A397" s="378" t="s">
        <v>702</v>
      </c>
      <c r="B397" s="378" t="s">
        <v>719</v>
      </c>
      <c r="C397" s="378">
        <v>0</v>
      </c>
      <c r="D397" s="378" t="s">
        <v>301</v>
      </c>
      <c r="E397" s="378" t="s">
        <v>728</v>
      </c>
      <c r="F397" s="378" t="s">
        <v>502</v>
      </c>
      <c r="G397" s="378" t="str">
        <f>VLOOKUP(F397,'3B-Prestaties vloeren'!$A$28:$B$118,2,0)</f>
        <v>Hard onbehandeld</v>
      </c>
      <c r="H397" s="378" t="s">
        <v>732</v>
      </c>
      <c r="I397" s="378">
        <v>42.7</v>
      </c>
      <c r="J397" s="419"/>
      <c r="K397" s="426">
        <v>0</v>
      </c>
      <c r="L397" s="378">
        <f t="shared" si="18"/>
        <v>0</v>
      </c>
      <c r="M397" s="380">
        <f>IF(K397=0,0,IF(COUNTBLANK('3A-Prestatie'!$B$2:$I$22)=0,L397/VLOOKUP(E397,'3A-Prestatie'!$A$1:$M$22,VLOOKUP(K397,'3A-Prestatie'!$A$28:$B$34,2,FALSE),FALSE),"3A prestatie invullen"))</f>
        <v>0</v>
      </c>
      <c r="N397" s="380">
        <f t="shared" si="20"/>
        <v>0</v>
      </c>
      <c r="O397" s="381" t="str">
        <f>VLOOKUP(E397,'3A-Prestatie'!A:M,13,FALSE)</f>
        <v>N.v.t.</v>
      </c>
      <c r="P397" s="382">
        <f>IF(R397="Niet van toepassing",0,VLOOKUP(E397,'3B-Prestaties vloeren'!$A$3:$D$24,IF(G397="Hard onbehandeld",2,IF(G397="Hard behandeld",3,4)),FALSE))</f>
        <v>0</v>
      </c>
      <c r="Q397" s="383">
        <f t="shared" si="19"/>
        <v>0</v>
      </c>
      <c r="R397" s="384" t="str">
        <f>IF(K397=0,"Niet van toepassing",IF(G397='3B-Prestaties vloeren'!$B$2,"Schrobben",IF(G397='3B-Prestaties vloeren'!$C$2,"Sprayen/conserveren",IF(G397='3B-Prestaties vloeren'!$D$2,"Sproei-extractie",0))))</f>
        <v>Niet van toepassing</v>
      </c>
      <c r="S397" s="385">
        <f>IF('2-Tarieven'!$B$28=0,0,IF(M397=0,0,'2-Tarieven'!$B$28*M397))</f>
        <v>0</v>
      </c>
      <c r="T397" s="386">
        <f>IF(AND(COUNTBLANK('3B-Prestaties vloeren'!$F$3:$H$24)=0,COUNTBLANK('3B-Prestaties vloeren'!$L$3:$M$24)=0),IF(R397="Sprayen/conserveren",I397/VLOOKUP(E397,'3B-Prestaties vloeren'!$A$3:$M$24,12,FALSE),0)*(P397-1),0)</f>
        <v>0</v>
      </c>
      <c r="U397" s="386">
        <f>IF(AND(COUNTBLANK('3B-Prestaties vloeren'!$F$3:$H$24)=0,COUNTBLANK('3B-Prestaties vloeren'!$L$3:$M$24)=0),IF(R397="Sprayen/conserveren",I397/VLOOKUP(E397,'3B-Prestaties vloeren'!$A$3:$M$24,13,FALSE),0),0)</f>
        <v>0</v>
      </c>
      <c r="V397" s="386">
        <f>IF(AND(COUNTBLANK('3B-Prestaties vloeren'!$F$3:$H$24)=0,COUNTBLANK('3B-Prestaties vloeren'!$L$3:$M$24)=0),IF(R397="schrobben",I397/VLOOKUP(E397,'3B-Prestaties vloeren'!$A$3:$H$24,6,FALSE),0)*P397,0)</f>
        <v>0</v>
      </c>
      <c r="W397" s="386">
        <f>IF(AND(COUNTBLANK('3B-Prestaties vloeren'!$F$3:$H$24)=0,COUNTBLANK('3B-Prestaties vloeren'!$L$3:$M$24)=0),IF(R397="sproei-extractie",I397/VLOOKUP(E397,'3B-Prestaties vloeren'!$A$3:$H$24,8,FALSE),0)*P397,0)</f>
        <v>0</v>
      </c>
    </row>
    <row r="398" spans="1:23" ht="15" hidden="1">
      <c r="A398" s="378" t="s">
        <v>702</v>
      </c>
      <c r="B398" s="378" t="s">
        <v>719</v>
      </c>
      <c r="C398" s="378">
        <v>0</v>
      </c>
      <c r="D398" s="378" t="s">
        <v>303</v>
      </c>
      <c r="E398" s="378" t="s">
        <v>728</v>
      </c>
      <c r="F398" s="378" t="s">
        <v>695</v>
      </c>
      <c r="G398" s="378" t="str">
        <f>VLOOKUP(F398,'3B-Prestaties vloeren'!$A$28:$B$118,2,0)</f>
        <v>N.v.t.</v>
      </c>
      <c r="H398" s="378" t="s">
        <v>731</v>
      </c>
      <c r="I398" s="378">
        <v>71.8</v>
      </c>
      <c r="J398" s="419"/>
      <c r="K398" s="426">
        <v>0</v>
      </c>
      <c r="L398" s="378">
        <f t="shared" si="18"/>
        <v>0</v>
      </c>
      <c r="M398" s="380">
        <f>IF(K398=0,0,IF(COUNTBLANK('3A-Prestatie'!$B$2:$I$22)=0,L398/VLOOKUP(E398,'3A-Prestatie'!$A$1:$M$22,VLOOKUP(K398,'3A-Prestatie'!$A$28:$B$34,2,FALSE),FALSE),"3A prestatie invullen"))</f>
        <v>0</v>
      </c>
      <c r="N398" s="380">
        <f t="shared" si="20"/>
        <v>0</v>
      </c>
      <c r="O398" s="381" t="str">
        <f>VLOOKUP(E398,'3A-Prestatie'!A:M,13,FALSE)</f>
        <v>N.v.t.</v>
      </c>
      <c r="P398" s="382">
        <f>IF(R398="Niet van toepassing",0,VLOOKUP(E398,'3B-Prestaties vloeren'!$A$3:$D$24,IF(G398="Hard onbehandeld",2,IF(G398="Hard behandeld",3,4)),FALSE))</f>
        <v>0</v>
      </c>
      <c r="Q398" s="383">
        <f t="shared" si="19"/>
        <v>0</v>
      </c>
      <c r="R398" s="384" t="str">
        <f>IF(K398=0,"Niet van toepassing",IF(G398='3B-Prestaties vloeren'!$B$2,"Schrobben",IF(G398='3B-Prestaties vloeren'!$C$2,"Sprayen/conserveren",IF(G398='3B-Prestaties vloeren'!$D$2,"Sproei-extractie",0))))</f>
        <v>Niet van toepassing</v>
      </c>
      <c r="S398" s="385">
        <f>IF('2-Tarieven'!$B$28=0,0,IF(M398=0,0,'2-Tarieven'!$B$28*M398))</f>
        <v>0</v>
      </c>
      <c r="T398" s="386">
        <f>IF(AND(COUNTBLANK('3B-Prestaties vloeren'!$F$3:$H$24)=0,COUNTBLANK('3B-Prestaties vloeren'!$L$3:$M$24)=0),IF(R398="Sprayen/conserveren",I398/VLOOKUP(E398,'3B-Prestaties vloeren'!$A$3:$M$24,12,FALSE),0)*(P398-1),0)</f>
        <v>0</v>
      </c>
      <c r="U398" s="386">
        <f>IF(AND(COUNTBLANK('3B-Prestaties vloeren'!$F$3:$H$24)=0,COUNTBLANK('3B-Prestaties vloeren'!$L$3:$M$24)=0),IF(R398="Sprayen/conserveren",I398/VLOOKUP(E398,'3B-Prestaties vloeren'!$A$3:$M$24,13,FALSE),0),0)</f>
        <v>0</v>
      </c>
      <c r="V398" s="386">
        <f>IF(AND(COUNTBLANK('3B-Prestaties vloeren'!$F$3:$H$24)=0,COUNTBLANK('3B-Prestaties vloeren'!$L$3:$M$24)=0),IF(R398="schrobben",I398/VLOOKUP(E398,'3B-Prestaties vloeren'!$A$3:$H$24,6,FALSE),0)*P398,0)</f>
        <v>0</v>
      </c>
      <c r="W398" s="386">
        <f>IF(AND(COUNTBLANK('3B-Prestaties vloeren'!$F$3:$H$24)=0,COUNTBLANK('3B-Prestaties vloeren'!$L$3:$M$24)=0),IF(R398="sproei-extractie",I398/VLOOKUP(E398,'3B-Prestaties vloeren'!$A$3:$H$24,8,FALSE),0)*P398,0)</f>
        <v>0</v>
      </c>
    </row>
    <row r="399" spans="1:23" ht="15" hidden="1">
      <c r="A399" s="378" t="s">
        <v>702</v>
      </c>
      <c r="B399" s="378" t="s">
        <v>719</v>
      </c>
      <c r="C399" s="378">
        <v>0</v>
      </c>
      <c r="D399" s="378" t="s">
        <v>304</v>
      </c>
      <c r="E399" s="378" t="s">
        <v>728</v>
      </c>
      <c r="F399" s="378" t="s">
        <v>502</v>
      </c>
      <c r="G399" s="378" t="str">
        <f>VLOOKUP(F399,'3B-Prestaties vloeren'!$A$28:$B$118,2,0)</f>
        <v>Hard onbehandeld</v>
      </c>
      <c r="H399" s="378" t="s">
        <v>733</v>
      </c>
      <c r="I399" s="378">
        <v>39.5</v>
      </c>
      <c r="J399" s="419"/>
      <c r="K399" s="426">
        <v>0</v>
      </c>
      <c r="L399" s="378">
        <f t="shared" si="18"/>
        <v>0</v>
      </c>
      <c r="M399" s="380">
        <f>IF(K399=0,0,IF(COUNTBLANK('3A-Prestatie'!$B$2:$I$22)=0,L399/VLOOKUP(E399,'3A-Prestatie'!$A$1:$M$22,VLOOKUP(K399,'3A-Prestatie'!$A$28:$B$34,2,FALSE),FALSE),"3A prestatie invullen"))</f>
        <v>0</v>
      </c>
      <c r="N399" s="380">
        <f t="shared" si="20"/>
        <v>0</v>
      </c>
      <c r="O399" s="381" t="str">
        <f>VLOOKUP(E399,'3A-Prestatie'!A:M,13,FALSE)</f>
        <v>N.v.t.</v>
      </c>
      <c r="P399" s="382">
        <f>IF(R399="Niet van toepassing",0,VLOOKUP(E399,'3B-Prestaties vloeren'!$A$3:$D$24,IF(G399="Hard onbehandeld",2,IF(G399="Hard behandeld",3,4)),FALSE))</f>
        <v>0</v>
      </c>
      <c r="Q399" s="383">
        <f t="shared" si="19"/>
        <v>0</v>
      </c>
      <c r="R399" s="384" t="str">
        <f>IF(K399=0,"Niet van toepassing",IF(G399='3B-Prestaties vloeren'!$B$2,"Schrobben",IF(G399='3B-Prestaties vloeren'!$C$2,"Sprayen/conserveren",IF(G399='3B-Prestaties vloeren'!$D$2,"Sproei-extractie",0))))</f>
        <v>Niet van toepassing</v>
      </c>
      <c r="S399" s="385">
        <f>IF('2-Tarieven'!$B$28=0,0,IF(M399=0,0,'2-Tarieven'!$B$28*M399))</f>
        <v>0</v>
      </c>
      <c r="T399" s="386">
        <f>IF(AND(COUNTBLANK('3B-Prestaties vloeren'!$F$3:$H$24)=0,COUNTBLANK('3B-Prestaties vloeren'!$L$3:$M$24)=0),IF(R399="Sprayen/conserveren",I399/VLOOKUP(E399,'3B-Prestaties vloeren'!$A$3:$M$24,12,FALSE),0)*(P399-1),0)</f>
        <v>0</v>
      </c>
      <c r="U399" s="386">
        <f>IF(AND(COUNTBLANK('3B-Prestaties vloeren'!$F$3:$H$24)=0,COUNTBLANK('3B-Prestaties vloeren'!$L$3:$M$24)=0),IF(R399="Sprayen/conserveren",I399/VLOOKUP(E399,'3B-Prestaties vloeren'!$A$3:$M$24,13,FALSE),0),0)</f>
        <v>0</v>
      </c>
      <c r="V399" s="386">
        <f>IF(AND(COUNTBLANK('3B-Prestaties vloeren'!$F$3:$H$24)=0,COUNTBLANK('3B-Prestaties vloeren'!$L$3:$M$24)=0),IF(R399="schrobben",I399/VLOOKUP(E399,'3B-Prestaties vloeren'!$A$3:$H$24,6,FALSE),0)*P399,0)</f>
        <v>0</v>
      </c>
      <c r="W399" s="386">
        <f>IF(AND(COUNTBLANK('3B-Prestaties vloeren'!$F$3:$H$24)=0,COUNTBLANK('3B-Prestaties vloeren'!$L$3:$M$24)=0),IF(R399="sproei-extractie",I399/VLOOKUP(E399,'3B-Prestaties vloeren'!$A$3:$H$24,8,FALSE),0)*P399,0)</f>
        <v>0</v>
      </c>
    </row>
    <row r="400" spans="1:23" ht="15" hidden="1">
      <c r="A400" s="378" t="s">
        <v>702</v>
      </c>
      <c r="B400" s="378" t="s">
        <v>719</v>
      </c>
      <c r="C400" s="378">
        <v>0</v>
      </c>
      <c r="D400" s="378" t="s">
        <v>305</v>
      </c>
      <c r="E400" s="378" t="s">
        <v>728</v>
      </c>
      <c r="F400" s="378" t="s">
        <v>695</v>
      </c>
      <c r="G400" s="378" t="str">
        <f>VLOOKUP(F400,'3B-Prestaties vloeren'!$A$28:$B$118,2,0)</f>
        <v>N.v.t.</v>
      </c>
      <c r="H400" s="378" t="s">
        <v>733</v>
      </c>
      <c r="I400" s="378">
        <v>10.199999999999999</v>
      </c>
      <c r="J400" s="419"/>
      <c r="K400" s="426">
        <v>0</v>
      </c>
      <c r="L400" s="378">
        <f t="shared" si="18"/>
        <v>0</v>
      </c>
      <c r="M400" s="380">
        <f>IF(K400=0,0,IF(COUNTBLANK('3A-Prestatie'!$B$2:$I$22)=0,L400/VLOOKUP(E400,'3A-Prestatie'!$A$1:$M$22,VLOOKUP(K400,'3A-Prestatie'!$A$28:$B$34,2,FALSE),FALSE),"3A prestatie invullen"))</f>
        <v>0</v>
      </c>
      <c r="N400" s="380">
        <f t="shared" si="20"/>
        <v>0</v>
      </c>
      <c r="O400" s="381" t="str">
        <f>VLOOKUP(E400,'3A-Prestatie'!A:M,13,FALSE)</f>
        <v>N.v.t.</v>
      </c>
      <c r="P400" s="382">
        <f>IF(R400="Niet van toepassing",0,VLOOKUP(E400,'3B-Prestaties vloeren'!$A$3:$D$24,IF(G400="Hard onbehandeld",2,IF(G400="Hard behandeld",3,4)),FALSE))</f>
        <v>0</v>
      </c>
      <c r="Q400" s="383">
        <f t="shared" si="19"/>
        <v>0</v>
      </c>
      <c r="R400" s="384" t="str">
        <f>IF(K400=0,"Niet van toepassing",IF(G400='3B-Prestaties vloeren'!$B$2,"Schrobben",IF(G400='3B-Prestaties vloeren'!$C$2,"Sprayen/conserveren",IF(G400='3B-Prestaties vloeren'!$D$2,"Sproei-extractie",0))))</f>
        <v>Niet van toepassing</v>
      </c>
      <c r="S400" s="385">
        <f>IF('2-Tarieven'!$B$28=0,0,IF(M400=0,0,'2-Tarieven'!$B$28*M400))</f>
        <v>0</v>
      </c>
      <c r="T400" s="386">
        <f>IF(AND(COUNTBLANK('3B-Prestaties vloeren'!$F$3:$H$24)=0,COUNTBLANK('3B-Prestaties vloeren'!$L$3:$M$24)=0),IF(R400="Sprayen/conserveren",I400/VLOOKUP(E400,'3B-Prestaties vloeren'!$A$3:$M$24,12,FALSE),0)*(P400-1),0)</f>
        <v>0</v>
      </c>
      <c r="U400" s="386">
        <f>IF(AND(COUNTBLANK('3B-Prestaties vloeren'!$F$3:$H$24)=0,COUNTBLANK('3B-Prestaties vloeren'!$L$3:$M$24)=0),IF(R400="Sprayen/conserveren",I400/VLOOKUP(E400,'3B-Prestaties vloeren'!$A$3:$M$24,13,FALSE),0),0)</f>
        <v>0</v>
      </c>
      <c r="V400" s="386">
        <f>IF(AND(COUNTBLANK('3B-Prestaties vloeren'!$F$3:$H$24)=0,COUNTBLANK('3B-Prestaties vloeren'!$L$3:$M$24)=0),IF(R400="schrobben",I400/VLOOKUP(E400,'3B-Prestaties vloeren'!$A$3:$H$24,6,FALSE),0)*P400,0)</f>
        <v>0</v>
      </c>
      <c r="W400" s="386">
        <f>IF(AND(COUNTBLANK('3B-Prestaties vloeren'!$F$3:$H$24)=0,COUNTBLANK('3B-Prestaties vloeren'!$L$3:$M$24)=0),IF(R400="sproei-extractie",I400/VLOOKUP(E400,'3B-Prestaties vloeren'!$A$3:$H$24,8,FALSE),0)*P400,0)</f>
        <v>0</v>
      </c>
    </row>
    <row r="401" spans="1:23" ht="15" hidden="1">
      <c r="A401" s="378" t="s">
        <v>702</v>
      </c>
      <c r="B401" s="378" t="s">
        <v>719</v>
      </c>
      <c r="C401" s="378">
        <v>0</v>
      </c>
      <c r="D401" s="378" t="s">
        <v>2</v>
      </c>
      <c r="E401" s="378" t="s">
        <v>728</v>
      </c>
      <c r="F401" s="378" t="s">
        <v>502</v>
      </c>
      <c r="G401" s="378" t="str">
        <f>VLOOKUP(F401,'3B-Prestaties vloeren'!$A$28:$B$118,2,0)</f>
        <v>Hard onbehandeld</v>
      </c>
      <c r="H401" s="378" t="s">
        <v>733</v>
      </c>
      <c r="I401" s="378">
        <v>38.1</v>
      </c>
      <c r="J401" s="419"/>
      <c r="K401" s="426">
        <v>0</v>
      </c>
      <c r="L401" s="378">
        <f t="shared" si="18"/>
        <v>0</v>
      </c>
      <c r="M401" s="380">
        <f>IF(K401=0,0,IF(COUNTBLANK('3A-Prestatie'!$B$2:$I$22)=0,L401/VLOOKUP(E401,'3A-Prestatie'!$A$1:$M$22,VLOOKUP(K401,'3A-Prestatie'!$A$28:$B$34,2,FALSE),FALSE),"3A prestatie invullen"))</f>
        <v>0</v>
      </c>
      <c r="N401" s="380">
        <f t="shared" si="20"/>
        <v>0</v>
      </c>
      <c r="O401" s="381" t="str">
        <f>VLOOKUP(E401,'3A-Prestatie'!A:M,13,FALSE)</f>
        <v>N.v.t.</v>
      </c>
      <c r="P401" s="382">
        <f>IF(R401="Niet van toepassing",0,VLOOKUP(E401,'3B-Prestaties vloeren'!$A$3:$D$24,IF(G401="Hard onbehandeld",2,IF(G401="Hard behandeld",3,4)),FALSE))</f>
        <v>0</v>
      </c>
      <c r="Q401" s="383">
        <f t="shared" si="19"/>
        <v>0</v>
      </c>
      <c r="R401" s="384" t="str">
        <f>IF(K401=0,"Niet van toepassing",IF(G401='3B-Prestaties vloeren'!$B$2,"Schrobben",IF(G401='3B-Prestaties vloeren'!$C$2,"Sprayen/conserveren",IF(G401='3B-Prestaties vloeren'!$D$2,"Sproei-extractie",0))))</f>
        <v>Niet van toepassing</v>
      </c>
      <c r="S401" s="385">
        <f>IF('2-Tarieven'!$B$28=0,0,IF(M401=0,0,'2-Tarieven'!$B$28*M401))</f>
        <v>0</v>
      </c>
      <c r="T401" s="386">
        <f>IF(AND(COUNTBLANK('3B-Prestaties vloeren'!$F$3:$H$24)=0,COUNTBLANK('3B-Prestaties vloeren'!$L$3:$M$24)=0),IF(R401="Sprayen/conserveren",I401/VLOOKUP(E401,'3B-Prestaties vloeren'!$A$3:$M$24,12,FALSE),0)*(P401-1),0)</f>
        <v>0</v>
      </c>
      <c r="U401" s="386">
        <f>IF(AND(COUNTBLANK('3B-Prestaties vloeren'!$F$3:$H$24)=0,COUNTBLANK('3B-Prestaties vloeren'!$L$3:$M$24)=0),IF(R401="Sprayen/conserveren",I401/VLOOKUP(E401,'3B-Prestaties vloeren'!$A$3:$M$24,13,FALSE),0),0)</f>
        <v>0</v>
      </c>
      <c r="V401" s="386">
        <f>IF(AND(COUNTBLANK('3B-Prestaties vloeren'!$F$3:$H$24)=0,COUNTBLANK('3B-Prestaties vloeren'!$L$3:$M$24)=0),IF(R401="schrobben",I401/VLOOKUP(E401,'3B-Prestaties vloeren'!$A$3:$H$24,6,FALSE),0)*P401,0)</f>
        <v>0</v>
      </c>
      <c r="W401" s="386">
        <f>IF(AND(COUNTBLANK('3B-Prestaties vloeren'!$F$3:$H$24)=0,COUNTBLANK('3B-Prestaties vloeren'!$L$3:$M$24)=0),IF(R401="sproei-extractie",I401/VLOOKUP(E401,'3B-Prestaties vloeren'!$A$3:$H$24,8,FALSE),0)*P401,0)</f>
        <v>0</v>
      </c>
    </row>
    <row r="402" spans="1:23" ht="15" hidden="1">
      <c r="A402" s="378" t="s">
        <v>702</v>
      </c>
      <c r="B402" s="378" t="s">
        <v>719</v>
      </c>
      <c r="C402" s="378">
        <v>0</v>
      </c>
      <c r="D402" s="378" t="s">
        <v>3</v>
      </c>
      <c r="E402" s="378" t="s">
        <v>728</v>
      </c>
      <c r="F402" s="378" t="s">
        <v>502</v>
      </c>
      <c r="G402" s="378" t="str">
        <f>VLOOKUP(F402,'3B-Prestaties vloeren'!$A$28:$B$118,2,0)</f>
        <v>Hard onbehandeld</v>
      </c>
      <c r="H402" s="378" t="s">
        <v>733</v>
      </c>
      <c r="I402" s="378">
        <v>12.9</v>
      </c>
      <c r="J402" s="419"/>
      <c r="K402" s="426">
        <v>0</v>
      </c>
      <c r="L402" s="378">
        <f t="shared" si="18"/>
        <v>0</v>
      </c>
      <c r="M402" s="380">
        <f>IF(K402=0,0,IF(COUNTBLANK('3A-Prestatie'!$B$2:$I$22)=0,L402/VLOOKUP(E402,'3A-Prestatie'!$A$1:$M$22,VLOOKUP(K402,'3A-Prestatie'!$A$28:$B$34,2,FALSE),FALSE),"3A prestatie invullen"))</f>
        <v>0</v>
      </c>
      <c r="N402" s="380">
        <f t="shared" si="20"/>
        <v>0</v>
      </c>
      <c r="O402" s="381" t="str">
        <f>VLOOKUP(E402,'3A-Prestatie'!A:M,13,FALSE)</f>
        <v>N.v.t.</v>
      </c>
      <c r="P402" s="382">
        <f>IF(R402="Niet van toepassing",0,VLOOKUP(E402,'3B-Prestaties vloeren'!$A$3:$D$24,IF(G402="Hard onbehandeld",2,IF(G402="Hard behandeld",3,4)),FALSE))</f>
        <v>0</v>
      </c>
      <c r="Q402" s="383">
        <f t="shared" si="19"/>
        <v>0</v>
      </c>
      <c r="R402" s="384" t="str">
        <f>IF(K402=0,"Niet van toepassing",IF(G402='3B-Prestaties vloeren'!$B$2,"Schrobben",IF(G402='3B-Prestaties vloeren'!$C$2,"Sprayen/conserveren",IF(G402='3B-Prestaties vloeren'!$D$2,"Sproei-extractie",0))))</f>
        <v>Niet van toepassing</v>
      </c>
      <c r="S402" s="385">
        <f>IF('2-Tarieven'!$B$28=0,0,IF(M402=0,0,'2-Tarieven'!$B$28*M402))</f>
        <v>0</v>
      </c>
      <c r="T402" s="386">
        <f>IF(AND(COUNTBLANK('3B-Prestaties vloeren'!$F$3:$H$24)=0,COUNTBLANK('3B-Prestaties vloeren'!$L$3:$M$24)=0),IF(R402="Sprayen/conserveren",I402/VLOOKUP(E402,'3B-Prestaties vloeren'!$A$3:$M$24,12,FALSE),0)*(P402-1),0)</f>
        <v>0</v>
      </c>
      <c r="U402" s="386">
        <f>IF(AND(COUNTBLANK('3B-Prestaties vloeren'!$F$3:$H$24)=0,COUNTBLANK('3B-Prestaties vloeren'!$L$3:$M$24)=0),IF(R402="Sprayen/conserveren",I402/VLOOKUP(E402,'3B-Prestaties vloeren'!$A$3:$M$24,13,FALSE),0),0)</f>
        <v>0</v>
      </c>
      <c r="V402" s="386">
        <f>IF(AND(COUNTBLANK('3B-Prestaties vloeren'!$F$3:$H$24)=0,COUNTBLANK('3B-Prestaties vloeren'!$L$3:$M$24)=0),IF(R402="schrobben",I402/VLOOKUP(E402,'3B-Prestaties vloeren'!$A$3:$H$24,6,FALSE),0)*P402,0)</f>
        <v>0</v>
      </c>
      <c r="W402" s="386">
        <f>IF(AND(COUNTBLANK('3B-Prestaties vloeren'!$F$3:$H$24)=0,COUNTBLANK('3B-Prestaties vloeren'!$L$3:$M$24)=0),IF(R402="sproei-extractie",I402/VLOOKUP(E402,'3B-Prestaties vloeren'!$A$3:$H$24,8,FALSE),0)*P402,0)</f>
        <v>0</v>
      </c>
    </row>
    <row r="403" spans="1:23" ht="15" hidden="1">
      <c r="A403" s="378" t="s">
        <v>702</v>
      </c>
      <c r="B403" s="378" t="s">
        <v>719</v>
      </c>
      <c r="C403" s="378">
        <v>0</v>
      </c>
      <c r="D403" s="378" t="s">
        <v>308</v>
      </c>
      <c r="E403" s="378" t="s">
        <v>728</v>
      </c>
      <c r="F403" s="378" t="s">
        <v>502</v>
      </c>
      <c r="G403" s="378" t="str">
        <f>VLOOKUP(F403,'3B-Prestaties vloeren'!$A$28:$B$118,2,0)</f>
        <v>Hard onbehandeld</v>
      </c>
      <c r="H403" s="378" t="s">
        <v>734</v>
      </c>
      <c r="I403" s="378">
        <v>55.8</v>
      </c>
      <c r="J403" s="419"/>
      <c r="K403" s="426">
        <v>0</v>
      </c>
      <c r="L403" s="378">
        <f t="shared" si="18"/>
        <v>0</v>
      </c>
      <c r="M403" s="380">
        <f>IF(K403=0,0,IF(COUNTBLANK('3A-Prestatie'!$B$2:$I$22)=0,L403/VLOOKUP(E403,'3A-Prestatie'!$A$1:$M$22,VLOOKUP(K403,'3A-Prestatie'!$A$28:$B$34,2,FALSE),FALSE),"3A prestatie invullen"))</f>
        <v>0</v>
      </c>
      <c r="N403" s="380">
        <f t="shared" si="20"/>
        <v>0</v>
      </c>
      <c r="O403" s="381" t="str">
        <f>VLOOKUP(E403,'3A-Prestatie'!A:M,13,FALSE)</f>
        <v>N.v.t.</v>
      </c>
      <c r="P403" s="382">
        <f>IF(R403="Niet van toepassing",0,VLOOKUP(E403,'3B-Prestaties vloeren'!$A$3:$D$24,IF(G403="Hard onbehandeld",2,IF(G403="Hard behandeld",3,4)),FALSE))</f>
        <v>0</v>
      </c>
      <c r="Q403" s="383">
        <f t="shared" si="19"/>
        <v>0</v>
      </c>
      <c r="R403" s="384" t="str">
        <f>IF(K403=0,"Niet van toepassing",IF(G403='3B-Prestaties vloeren'!$B$2,"Schrobben",IF(G403='3B-Prestaties vloeren'!$C$2,"Sprayen/conserveren",IF(G403='3B-Prestaties vloeren'!$D$2,"Sproei-extractie",0))))</f>
        <v>Niet van toepassing</v>
      </c>
      <c r="S403" s="385">
        <f>IF('2-Tarieven'!$B$28=0,0,IF(M403=0,0,'2-Tarieven'!$B$28*M403))</f>
        <v>0</v>
      </c>
      <c r="T403" s="386">
        <f>IF(AND(COUNTBLANK('3B-Prestaties vloeren'!$F$3:$H$24)=0,COUNTBLANK('3B-Prestaties vloeren'!$L$3:$M$24)=0),IF(R403="Sprayen/conserveren",I403/VLOOKUP(E403,'3B-Prestaties vloeren'!$A$3:$M$24,12,FALSE),0)*(P403-1),0)</f>
        <v>0</v>
      </c>
      <c r="U403" s="386">
        <f>IF(AND(COUNTBLANK('3B-Prestaties vloeren'!$F$3:$H$24)=0,COUNTBLANK('3B-Prestaties vloeren'!$L$3:$M$24)=0),IF(R403="Sprayen/conserveren",I403/VLOOKUP(E403,'3B-Prestaties vloeren'!$A$3:$M$24,13,FALSE),0),0)</f>
        <v>0</v>
      </c>
      <c r="V403" s="386">
        <f>IF(AND(COUNTBLANK('3B-Prestaties vloeren'!$F$3:$H$24)=0,COUNTBLANK('3B-Prestaties vloeren'!$L$3:$M$24)=0),IF(R403="schrobben",I403/VLOOKUP(E403,'3B-Prestaties vloeren'!$A$3:$H$24,6,FALSE),0)*P403,0)</f>
        <v>0</v>
      </c>
      <c r="W403" s="386">
        <f>IF(AND(COUNTBLANK('3B-Prestaties vloeren'!$F$3:$H$24)=0,COUNTBLANK('3B-Prestaties vloeren'!$L$3:$M$24)=0),IF(R403="sproei-extractie",I403/VLOOKUP(E403,'3B-Prestaties vloeren'!$A$3:$H$24,8,FALSE),0)*P403,0)</f>
        <v>0</v>
      </c>
    </row>
    <row r="404" spans="1:23" ht="15" hidden="1">
      <c r="A404" s="378" t="s">
        <v>702</v>
      </c>
      <c r="B404" s="378" t="s">
        <v>719</v>
      </c>
      <c r="C404" s="378">
        <v>0</v>
      </c>
      <c r="D404" s="378" t="s">
        <v>309</v>
      </c>
      <c r="E404" s="378" t="s">
        <v>728</v>
      </c>
      <c r="F404" s="378" t="s">
        <v>695</v>
      </c>
      <c r="G404" s="378" t="str">
        <f>VLOOKUP(F404,'3B-Prestaties vloeren'!$A$28:$B$118,2,0)</f>
        <v>N.v.t.</v>
      </c>
      <c r="H404" s="378" t="s">
        <v>731</v>
      </c>
      <c r="I404" s="378">
        <v>33.700000000000003</v>
      </c>
      <c r="J404" s="419"/>
      <c r="K404" s="426">
        <v>0</v>
      </c>
      <c r="L404" s="378">
        <f t="shared" si="18"/>
        <v>0</v>
      </c>
      <c r="M404" s="380">
        <f>IF(K404=0,0,IF(COUNTBLANK('3A-Prestatie'!$B$2:$I$22)=0,L404/VLOOKUP(E404,'3A-Prestatie'!$A$1:$M$22,VLOOKUP(K404,'3A-Prestatie'!$A$28:$B$34,2,FALSE),FALSE),"3A prestatie invullen"))</f>
        <v>0</v>
      </c>
      <c r="N404" s="380">
        <f t="shared" si="20"/>
        <v>0</v>
      </c>
      <c r="O404" s="381" t="str">
        <f>VLOOKUP(E404,'3A-Prestatie'!A:M,13,FALSE)</f>
        <v>N.v.t.</v>
      </c>
      <c r="P404" s="382">
        <f>IF(R404="Niet van toepassing",0,VLOOKUP(E404,'3B-Prestaties vloeren'!$A$3:$D$24,IF(G404="Hard onbehandeld",2,IF(G404="Hard behandeld",3,4)),FALSE))</f>
        <v>0</v>
      </c>
      <c r="Q404" s="383">
        <f t="shared" si="19"/>
        <v>0</v>
      </c>
      <c r="R404" s="384" t="str">
        <f>IF(K404=0,"Niet van toepassing",IF(G404='3B-Prestaties vloeren'!$B$2,"Schrobben",IF(G404='3B-Prestaties vloeren'!$C$2,"Sprayen/conserveren",IF(G404='3B-Prestaties vloeren'!$D$2,"Sproei-extractie",0))))</f>
        <v>Niet van toepassing</v>
      </c>
      <c r="S404" s="385">
        <f>IF('2-Tarieven'!$B$28=0,0,IF(M404=0,0,'2-Tarieven'!$B$28*M404))</f>
        <v>0</v>
      </c>
      <c r="T404" s="386">
        <f>IF(AND(COUNTBLANK('3B-Prestaties vloeren'!$F$3:$H$24)=0,COUNTBLANK('3B-Prestaties vloeren'!$L$3:$M$24)=0),IF(R404="Sprayen/conserveren",I404/VLOOKUP(E404,'3B-Prestaties vloeren'!$A$3:$M$24,12,FALSE),0)*(P404-1),0)</f>
        <v>0</v>
      </c>
      <c r="U404" s="386">
        <f>IF(AND(COUNTBLANK('3B-Prestaties vloeren'!$F$3:$H$24)=0,COUNTBLANK('3B-Prestaties vloeren'!$L$3:$M$24)=0),IF(R404="Sprayen/conserveren",I404/VLOOKUP(E404,'3B-Prestaties vloeren'!$A$3:$M$24,13,FALSE),0),0)</f>
        <v>0</v>
      </c>
      <c r="V404" s="386">
        <f>IF(AND(COUNTBLANK('3B-Prestaties vloeren'!$F$3:$H$24)=0,COUNTBLANK('3B-Prestaties vloeren'!$L$3:$M$24)=0),IF(R404="schrobben",I404/VLOOKUP(E404,'3B-Prestaties vloeren'!$A$3:$H$24,6,FALSE),0)*P404,0)</f>
        <v>0</v>
      </c>
      <c r="W404" s="386">
        <f>IF(AND(COUNTBLANK('3B-Prestaties vloeren'!$F$3:$H$24)=0,COUNTBLANK('3B-Prestaties vloeren'!$L$3:$M$24)=0),IF(R404="sproei-extractie",I404/VLOOKUP(E404,'3B-Prestaties vloeren'!$A$3:$H$24,8,FALSE),0)*P404,0)</f>
        <v>0</v>
      </c>
    </row>
    <row r="405" spans="1:23" ht="15">
      <c r="A405" s="378" t="s">
        <v>702</v>
      </c>
      <c r="B405" s="378" t="s">
        <v>719</v>
      </c>
      <c r="C405" s="378">
        <v>0</v>
      </c>
      <c r="D405" s="378" t="s">
        <v>310</v>
      </c>
      <c r="E405" s="378" t="s">
        <v>1</v>
      </c>
      <c r="F405" s="378" t="s">
        <v>64</v>
      </c>
      <c r="G405" s="378" t="str">
        <f>VLOOKUP(F405,'3B-Prestaties vloeren'!$A$28:$B$118,2,0)</f>
        <v>Hard behandeld</v>
      </c>
      <c r="H405" s="378" t="s">
        <v>638</v>
      </c>
      <c r="I405" s="378">
        <v>16.5</v>
      </c>
      <c r="J405" s="421" t="s">
        <v>511</v>
      </c>
      <c r="K405" s="426">
        <v>255</v>
      </c>
      <c r="L405" s="378">
        <f t="shared" si="18"/>
        <v>4207.5</v>
      </c>
      <c r="M405" s="380" t="str">
        <f>IF(K405=0,0,IF(COUNTBLANK('3A-Prestatie'!$B$2:$I$22)=0,L405/VLOOKUP(E405,'3A-Prestatie'!$A$1:$M$22,VLOOKUP(K405,'3A-Prestatie'!$A$28:$B$34,2,FALSE),FALSE),"3A prestatie invullen"))</f>
        <v>3A prestatie invullen</v>
      </c>
      <c r="N405" s="380">
        <f t="shared" si="20"/>
        <v>0</v>
      </c>
      <c r="O405" s="381" t="str">
        <f>VLOOKUP(E405,'3A-Prestatie'!A:M,13,FALSE)</f>
        <v>S</v>
      </c>
      <c r="P405" s="382">
        <f>IF(R405="Niet van toepassing",0,VLOOKUP(E405,'3B-Prestaties vloeren'!$A$3:$D$24,IF(G405="Hard onbehandeld",2,IF(G405="Hard behandeld",3,4)),FALSE))</f>
        <v>12</v>
      </c>
      <c r="Q405" s="383">
        <f t="shared" si="19"/>
        <v>0</v>
      </c>
      <c r="R405" s="384" t="str">
        <f>IF(K405=0,"Niet van toepassing",IF(G405='3B-Prestaties vloeren'!$B$2,"Schrobben",IF(G405='3B-Prestaties vloeren'!$C$2,"Sprayen/conserveren",IF(G405='3B-Prestaties vloeren'!$D$2,"Sproei-extractie",0))))</f>
        <v>Sprayen/conserveren</v>
      </c>
      <c r="S405" s="385">
        <f>IF('2-Tarieven'!$B$28=0,0,IF(M405=0,0,'2-Tarieven'!$B$28*M405))</f>
        <v>0</v>
      </c>
      <c r="T405" s="386">
        <f>IF(AND(COUNTBLANK('3B-Prestaties vloeren'!$F$3:$H$24)=0,COUNTBLANK('3B-Prestaties vloeren'!$L$3:$M$24)=0),IF(R405="Sprayen/conserveren",I405/VLOOKUP(E405,'3B-Prestaties vloeren'!$A$3:$M$24,12,FALSE),0)*(P405-1),0)</f>
        <v>0</v>
      </c>
      <c r="U405" s="386">
        <f>IF(AND(COUNTBLANK('3B-Prestaties vloeren'!$F$3:$H$24)=0,COUNTBLANK('3B-Prestaties vloeren'!$L$3:$M$24)=0),IF(R405="Sprayen/conserveren",I405/VLOOKUP(E405,'3B-Prestaties vloeren'!$A$3:$M$24,13,FALSE),0),0)</f>
        <v>0</v>
      </c>
      <c r="V405" s="386">
        <f>IF(AND(COUNTBLANK('3B-Prestaties vloeren'!$F$3:$H$24)=0,COUNTBLANK('3B-Prestaties vloeren'!$L$3:$M$24)=0),IF(R405="schrobben",I405/VLOOKUP(E405,'3B-Prestaties vloeren'!$A$3:$H$24,6,FALSE),0)*P405,0)</f>
        <v>0</v>
      </c>
      <c r="W405" s="386">
        <f>IF(AND(COUNTBLANK('3B-Prestaties vloeren'!$F$3:$H$24)=0,COUNTBLANK('3B-Prestaties vloeren'!$L$3:$M$24)=0),IF(R405="sproei-extractie",I405/VLOOKUP(E405,'3B-Prestaties vloeren'!$A$3:$H$24,8,FALSE),0)*P405,0)</f>
        <v>0</v>
      </c>
    </row>
    <row r="406" spans="1:23" ht="15" hidden="1">
      <c r="A406" s="378" t="s">
        <v>702</v>
      </c>
      <c r="B406" s="378" t="s">
        <v>719</v>
      </c>
      <c r="C406" s="378">
        <v>0</v>
      </c>
      <c r="D406" s="378" t="s">
        <v>311</v>
      </c>
      <c r="E406" s="378" t="s">
        <v>728</v>
      </c>
      <c r="F406" s="378" t="s">
        <v>502</v>
      </c>
      <c r="G406" s="378" t="str">
        <f>VLOOKUP(F406,'3B-Prestaties vloeren'!$A$28:$B$118,2,0)</f>
        <v>Hard onbehandeld</v>
      </c>
      <c r="H406" s="378" t="s">
        <v>735</v>
      </c>
      <c r="I406" s="378">
        <v>26.3</v>
      </c>
      <c r="J406" s="419"/>
      <c r="K406" s="426">
        <v>0</v>
      </c>
      <c r="L406" s="378">
        <f t="shared" si="18"/>
        <v>0</v>
      </c>
      <c r="M406" s="380">
        <f>IF(K406=0,0,IF(COUNTBLANK('3A-Prestatie'!$B$2:$I$22)=0,L406/VLOOKUP(E406,'3A-Prestatie'!$A$1:$M$22,VLOOKUP(K406,'3A-Prestatie'!$A$28:$B$34,2,FALSE),FALSE),"3A prestatie invullen"))</f>
        <v>0</v>
      </c>
      <c r="N406" s="380">
        <f t="shared" si="20"/>
        <v>0</v>
      </c>
      <c r="O406" s="381" t="str">
        <f>VLOOKUP(E406,'3A-Prestatie'!A:M,13,FALSE)</f>
        <v>N.v.t.</v>
      </c>
      <c r="P406" s="382">
        <f>IF(R406="Niet van toepassing",0,VLOOKUP(E406,'3B-Prestaties vloeren'!$A$3:$D$24,IF(G406="Hard onbehandeld",2,IF(G406="Hard behandeld",3,4)),FALSE))</f>
        <v>0</v>
      </c>
      <c r="Q406" s="383">
        <f t="shared" si="19"/>
        <v>0</v>
      </c>
      <c r="R406" s="384" t="str">
        <f>IF(K406=0,"Niet van toepassing",IF(G406='3B-Prestaties vloeren'!$B$2,"Schrobben",IF(G406='3B-Prestaties vloeren'!$C$2,"Sprayen/conserveren",IF(G406='3B-Prestaties vloeren'!$D$2,"Sproei-extractie",0))))</f>
        <v>Niet van toepassing</v>
      </c>
      <c r="S406" s="385">
        <f>IF('2-Tarieven'!$B$28=0,0,IF(M406=0,0,'2-Tarieven'!$B$28*M406))</f>
        <v>0</v>
      </c>
      <c r="T406" s="386">
        <f>IF(AND(COUNTBLANK('3B-Prestaties vloeren'!$F$3:$H$24)=0,COUNTBLANK('3B-Prestaties vloeren'!$L$3:$M$24)=0),IF(R406="Sprayen/conserveren",I406/VLOOKUP(E406,'3B-Prestaties vloeren'!$A$3:$M$24,12,FALSE),0)*(P406-1),0)</f>
        <v>0</v>
      </c>
      <c r="U406" s="386">
        <f>IF(AND(COUNTBLANK('3B-Prestaties vloeren'!$F$3:$H$24)=0,COUNTBLANK('3B-Prestaties vloeren'!$L$3:$M$24)=0),IF(R406="Sprayen/conserveren",I406/VLOOKUP(E406,'3B-Prestaties vloeren'!$A$3:$M$24,13,FALSE),0),0)</f>
        <v>0</v>
      </c>
      <c r="V406" s="386">
        <f>IF(AND(COUNTBLANK('3B-Prestaties vloeren'!$F$3:$H$24)=0,COUNTBLANK('3B-Prestaties vloeren'!$L$3:$M$24)=0),IF(R406="schrobben",I406/VLOOKUP(E406,'3B-Prestaties vloeren'!$A$3:$H$24,6,FALSE),0)*P406,0)</f>
        <v>0</v>
      </c>
      <c r="W406" s="386">
        <f>IF(AND(COUNTBLANK('3B-Prestaties vloeren'!$F$3:$H$24)=0,COUNTBLANK('3B-Prestaties vloeren'!$L$3:$M$24)=0),IF(R406="sproei-extractie",I406/VLOOKUP(E406,'3B-Prestaties vloeren'!$A$3:$H$24,8,FALSE),0)*P406,0)</f>
        <v>0</v>
      </c>
    </row>
    <row r="407" spans="1:23" ht="15" hidden="1">
      <c r="A407" s="378" t="s">
        <v>702</v>
      </c>
      <c r="B407" s="378" t="s">
        <v>719</v>
      </c>
      <c r="C407" s="378">
        <v>0</v>
      </c>
      <c r="D407" s="378" t="s">
        <v>312</v>
      </c>
      <c r="E407" s="378" t="s">
        <v>6</v>
      </c>
      <c r="F407" s="378" t="s">
        <v>502</v>
      </c>
      <c r="G407" s="378" t="str">
        <f>VLOOKUP(F407,'3B-Prestaties vloeren'!$A$28:$B$118,2,0)</f>
        <v>Hard onbehandeld</v>
      </c>
      <c r="H407" s="378" t="s">
        <v>533</v>
      </c>
      <c r="I407" s="378">
        <v>7.5</v>
      </c>
      <c r="J407" s="420" t="s">
        <v>749</v>
      </c>
      <c r="K407" s="426">
        <v>52</v>
      </c>
      <c r="L407" s="378">
        <f t="shared" si="18"/>
        <v>390</v>
      </c>
      <c r="M407" s="380" t="str">
        <f>IF(K407=0,0,IF(COUNTBLANK('3A-Prestatie'!$B$2:$I$22)=0,L407/VLOOKUP(E407,'3A-Prestatie'!$A$1:$M$22,VLOOKUP(K407,'3A-Prestatie'!$A$28:$B$34,2,FALSE),FALSE),"3A prestatie invullen"))</f>
        <v>3A prestatie invullen</v>
      </c>
      <c r="N407" s="380">
        <f t="shared" si="20"/>
        <v>0</v>
      </c>
      <c r="O407" s="381" t="str">
        <f>VLOOKUP(E407,'3A-Prestatie'!A:M,13,FALSE)</f>
        <v>V</v>
      </c>
      <c r="P407" s="382">
        <f>IF(R407="Niet van toepassing",0,VLOOKUP(E407,'3B-Prestaties vloeren'!$A$3:$D$24,IF(G407="Hard onbehandeld",2,IF(G407="Hard behandeld",3,4)),FALSE))</f>
        <v>4</v>
      </c>
      <c r="Q407" s="383">
        <f t="shared" si="19"/>
        <v>0</v>
      </c>
      <c r="R407" s="384" t="str">
        <f>IF(K407=0,"Niet van toepassing",IF(G407='3B-Prestaties vloeren'!$B$2,"Schrobben",IF(G407='3B-Prestaties vloeren'!$C$2,"Sprayen/conserveren",IF(G407='3B-Prestaties vloeren'!$D$2,"Sproei-extractie",0))))</f>
        <v>Schrobben</v>
      </c>
      <c r="S407" s="385">
        <f>IF('2-Tarieven'!$B$28=0,0,IF(M407=0,0,'2-Tarieven'!$B$28*M407))</f>
        <v>0</v>
      </c>
      <c r="T407" s="386">
        <f>IF(AND(COUNTBLANK('3B-Prestaties vloeren'!$F$3:$H$24)=0,COUNTBLANK('3B-Prestaties vloeren'!$L$3:$M$24)=0),IF(R407="Sprayen/conserveren",I407/VLOOKUP(E407,'3B-Prestaties vloeren'!$A$3:$M$24,12,FALSE),0)*(P407-1),0)</f>
        <v>0</v>
      </c>
      <c r="U407" s="386">
        <f>IF(AND(COUNTBLANK('3B-Prestaties vloeren'!$F$3:$H$24)=0,COUNTBLANK('3B-Prestaties vloeren'!$L$3:$M$24)=0),IF(R407="Sprayen/conserveren",I407/VLOOKUP(E407,'3B-Prestaties vloeren'!$A$3:$M$24,13,FALSE),0),0)</f>
        <v>0</v>
      </c>
      <c r="V407" s="386">
        <f>IF(AND(COUNTBLANK('3B-Prestaties vloeren'!$F$3:$H$24)=0,COUNTBLANK('3B-Prestaties vloeren'!$L$3:$M$24)=0),IF(R407="schrobben",I407/VLOOKUP(E407,'3B-Prestaties vloeren'!$A$3:$H$24,6,FALSE),0)*P407,0)</f>
        <v>0</v>
      </c>
      <c r="W407" s="386">
        <f>IF(AND(COUNTBLANK('3B-Prestaties vloeren'!$F$3:$H$24)=0,COUNTBLANK('3B-Prestaties vloeren'!$L$3:$M$24)=0),IF(R407="sproei-extractie",I407/VLOOKUP(E407,'3B-Prestaties vloeren'!$A$3:$H$24,8,FALSE),0)*P407,0)</f>
        <v>0</v>
      </c>
    </row>
    <row r="408" spans="1:23" ht="15" hidden="1">
      <c r="A408" s="378" t="s">
        <v>702</v>
      </c>
      <c r="B408" s="378" t="s">
        <v>719</v>
      </c>
      <c r="C408" s="378">
        <v>0</v>
      </c>
      <c r="D408" s="378" t="s">
        <v>313</v>
      </c>
      <c r="E408" s="378" t="s">
        <v>728</v>
      </c>
      <c r="F408" s="378" t="s">
        <v>502</v>
      </c>
      <c r="G408" s="378" t="str">
        <f>VLOOKUP(F408,'3B-Prestaties vloeren'!$A$28:$B$118,2,0)</f>
        <v>Hard onbehandeld</v>
      </c>
      <c r="H408" s="378" t="s">
        <v>735</v>
      </c>
      <c r="I408" s="378">
        <v>19.3</v>
      </c>
      <c r="J408" s="419"/>
      <c r="K408" s="426">
        <v>0</v>
      </c>
      <c r="L408" s="378">
        <f t="shared" si="18"/>
        <v>0</v>
      </c>
      <c r="M408" s="380">
        <f>IF(K408=0,0,IF(COUNTBLANK('3A-Prestatie'!$B$2:$I$22)=0,L408/VLOOKUP(E408,'3A-Prestatie'!$A$1:$M$22,VLOOKUP(K408,'3A-Prestatie'!$A$28:$B$34,2,FALSE),FALSE),"3A prestatie invullen"))</f>
        <v>0</v>
      </c>
      <c r="N408" s="380">
        <f t="shared" si="20"/>
        <v>0</v>
      </c>
      <c r="O408" s="381" t="str">
        <f>VLOOKUP(E408,'3A-Prestatie'!A:M,13,FALSE)</f>
        <v>N.v.t.</v>
      </c>
      <c r="P408" s="382">
        <f>IF(R408="Niet van toepassing",0,VLOOKUP(E408,'3B-Prestaties vloeren'!$A$3:$D$24,IF(G408="Hard onbehandeld",2,IF(G408="Hard behandeld",3,4)),FALSE))</f>
        <v>0</v>
      </c>
      <c r="Q408" s="383">
        <f t="shared" si="19"/>
        <v>0</v>
      </c>
      <c r="R408" s="384" t="str">
        <f>IF(K408=0,"Niet van toepassing",IF(G408='3B-Prestaties vloeren'!$B$2,"Schrobben",IF(G408='3B-Prestaties vloeren'!$C$2,"Sprayen/conserveren",IF(G408='3B-Prestaties vloeren'!$D$2,"Sproei-extractie",0))))</f>
        <v>Niet van toepassing</v>
      </c>
      <c r="S408" s="385">
        <f>IF('2-Tarieven'!$B$28=0,0,IF(M408=0,0,'2-Tarieven'!$B$28*M408))</f>
        <v>0</v>
      </c>
      <c r="T408" s="386">
        <f>IF(AND(COUNTBLANK('3B-Prestaties vloeren'!$F$3:$H$24)=0,COUNTBLANK('3B-Prestaties vloeren'!$L$3:$M$24)=0),IF(R408="Sprayen/conserveren",I408/VLOOKUP(E408,'3B-Prestaties vloeren'!$A$3:$M$24,12,FALSE),0)*(P408-1),0)</f>
        <v>0</v>
      </c>
      <c r="U408" s="386">
        <f>IF(AND(COUNTBLANK('3B-Prestaties vloeren'!$F$3:$H$24)=0,COUNTBLANK('3B-Prestaties vloeren'!$L$3:$M$24)=0),IF(R408="Sprayen/conserveren",I408/VLOOKUP(E408,'3B-Prestaties vloeren'!$A$3:$M$24,13,FALSE),0),0)</f>
        <v>0</v>
      </c>
      <c r="V408" s="386">
        <f>IF(AND(COUNTBLANK('3B-Prestaties vloeren'!$F$3:$H$24)=0,COUNTBLANK('3B-Prestaties vloeren'!$L$3:$M$24)=0),IF(R408="schrobben",I408/VLOOKUP(E408,'3B-Prestaties vloeren'!$A$3:$H$24,6,FALSE),0)*P408,0)</f>
        <v>0</v>
      </c>
      <c r="W408" s="386">
        <f>IF(AND(COUNTBLANK('3B-Prestaties vloeren'!$F$3:$H$24)=0,COUNTBLANK('3B-Prestaties vloeren'!$L$3:$M$24)=0),IF(R408="sproei-extractie",I408/VLOOKUP(E408,'3B-Prestaties vloeren'!$A$3:$H$24,8,FALSE),0)*P408,0)</f>
        <v>0</v>
      </c>
    </row>
    <row r="409" spans="1:23" ht="15" hidden="1">
      <c r="A409" s="378" t="s">
        <v>702</v>
      </c>
      <c r="B409" s="378" t="s">
        <v>719</v>
      </c>
      <c r="C409" s="378">
        <v>0</v>
      </c>
      <c r="D409" s="378" t="s">
        <v>314</v>
      </c>
      <c r="E409" s="378" t="s">
        <v>728</v>
      </c>
      <c r="F409" s="378" t="s">
        <v>648</v>
      </c>
      <c r="G409" s="378" t="str">
        <f>VLOOKUP(F409,'3B-Prestaties vloeren'!$A$28:$B$118,2,0)</f>
        <v>Hard onbehandeld</v>
      </c>
      <c r="H409" s="378" t="s">
        <v>733</v>
      </c>
      <c r="I409" s="378">
        <v>82.4</v>
      </c>
      <c r="J409" s="419"/>
      <c r="K409" s="426">
        <v>0</v>
      </c>
      <c r="L409" s="378">
        <f t="shared" si="18"/>
        <v>0</v>
      </c>
      <c r="M409" s="380">
        <f>IF(K409=0,0,IF(COUNTBLANK('3A-Prestatie'!$B$2:$I$22)=0,L409/VLOOKUP(E409,'3A-Prestatie'!$A$1:$M$22,VLOOKUP(K409,'3A-Prestatie'!$A$28:$B$34,2,FALSE),FALSE),"3A prestatie invullen"))</f>
        <v>0</v>
      </c>
      <c r="N409" s="380">
        <f t="shared" si="20"/>
        <v>0</v>
      </c>
      <c r="O409" s="381" t="str">
        <f>VLOOKUP(E409,'3A-Prestatie'!A:M,13,FALSE)</f>
        <v>N.v.t.</v>
      </c>
      <c r="P409" s="382">
        <f>IF(R409="Niet van toepassing",0,VLOOKUP(E409,'3B-Prestaties vloeren'!$A$3:$D$24,IF(G409="Hard onbehandeld",2,IF(G409="Hard behandeld",3,4)),FALSE))</f>
        <v>0</v>
      </c>
      <c r="Q409" s="383">
        <f t="shared" si="19"/>
        <v>0</v>
      </c>
      <c r="R409" s="384" t="str">
        <f>IF(K409=0,"Niet van toepassing",IF(G409='3B-Prestaties vloeren'!$B$2,"Schrobben",IF(G409='3B-Prestaties vloeren'!$C$2,"Sprayen/conserveren",IF(G409='3B-Prestaties vloeren'!$D$2,"Sproei-extractie",0))))</f>
        <v>Niet van toepassing</v>
      </c>
      <c r="S409" s="385">
        <f>IF('2-Tarieven'!$B$28=0,0,IF(M409=0,0,'2-Tarieven'!$B$28*M409))</f>
        <v>0</v>
      </c>
      <c r="T409" s="386">
        <f>IF(AND(COUNTBLANK('3B-Prestaties vloeren'!$F$3:$H$24)=0,COUNTBLANK('3B-Prestaties vloeren'!$L$3:$M$24)=0),IF(R409="Sprayen/conserveren",I409/VLOOKUP(E409,'3B-Prestaties vloeren'!$A$3:$M$24,12,FALSE),0)*(P409-1),0)</f>
        <v>0</v>
      </c>
      <c r="U409" s="386">
        <f>IF(AND(COUNTBLANK('3B-Prestaties vloeren'!$F$3:$H$24)=0,COUNTBLANK('3B-Prestaties vloeren'!$L$3:$M$24)=0),IF(R409="Sprayen/conserveren",I409/VLOOKUP(E409,'3B-Prestaties vloeren'!$A$3:$M$24,13,FALSE),0),0)</f>
        <v>0</v>
      </c>
      <c r="V409" s="386">
        <f>IF(AND(COUNTBLANK('3B-Prestaties vloeren'!$F$3:$H$24)=0,COUNTBLANK('3B-Prestaties vloeren'!$L$3:$M$24)=0),IF(R409="schrobben",I409/VLOOKUP(E409,'3B-Prestaties vloeren'!$A$3:$H$24,6,FALSE),0)*P409,0)</f>
        <v>0</v>
      </c>
      <c r="W409" s="386">
        <f>IF(AND(COUNTBLANK('3B-Prestaties vloeren'!$F$3:$H$24)=0,COUNTBLANK('3B-Prestaties vloeren'!$L$3:$M$24)=0),IF(R409="sproei-extractie",I409/VLOOKUP(E409,'3B-Prestaties vloeren'!$A$3:$H$24,8,FALSE),0)*P409,0)</f>
        <v>0</v>
      </c>
    </row>
    <row r="410" spans="1:23" ht="15" hidden="1">
      <c r="A410" s="378" t="s">
        <v>702</v>
      </c>
      <c r="B410" s="378" t="s">
        <v>719</v>
      </c>
      <c r="C410" s="378">
        <v>0</v>
      </c>
      <c r="D410" s="378" t="s">
        <v>315</v>
      </c>
      <c r="E410" s="378" t="s">
        <v>728</v>
      </c>
      <c r="F410" s="378" t="s">
        <v>502</v>
      </c>
      <c r="G410" s="378" t="str">
        <f>VLOOKUP(F410,'3B-Prestaties vloeren'!$A$28:$B$118,2,0)</f>
        <v>Hard onbehandeld</v>
      </c>
      <c r="H410" s="378" t="s">
        <v>736</v>
      </c>
      <c r="I410" s="378">
        <v>1206.5</v>
      </c>
      <c r="J410" s="419"/>
      <c r="K410" s="426">
        <v>0</v>
      </c>
      <c r="L410" s="378">
        <f t="shared" si="18"/>
        <v>0</v>
      </c>
      <c r="M410" s="380">
        <f>IF(K410=0,0,IF(COUNTBLANK('3A-Prestatie'!$B$2:$I$22)=0,L410/VLOOKUP(E410,'3A-Prestatie'!$A$1:$M$22,VLOOKUP(K410,'3A-Prestatie'!$A$28:$B$34,2,FALSE),FALSE),"3A prestatie invullen"))</f>
        <v>0</v>
      </c>
      <c r="N410" s="380">
        <f t="shared" si="20"/>
        <v>0</v>
      </c>
      <c r="O410" s="381" t="str">
        <f>VLOOKUP(E410,'3A-Prestatie'!A:M,13,FALSE)</f>
        <v>N.v.t.</v>
      </c>
      <c r="P410" s="382">
        <f>IF(R410="Niet van toepassing",0,VLOOKUP(E410,'3B-Prestaties vloeren'!$A$3:$D$24,IF(G410="Hard onbehandeld",2,IF(G410="Hard behandeld",3,4)),FALSE))</f>
        <v>0</v>
      </c>
      <c r="Q410" s="383">
        <f t="shared" si="19"/>
        <v>0</v>
      </c>
      <c r="R410" s="384" t="str">
        <f>IF(K410=0,"Niet van toepassing",IF(G410='3B-Prestaties vloeren'!$B$2,"Schrobben",IF(G410='3B-Prestaties vloeren'!$C$2,"Sprayen/conserveren",IF(G410='3B-Prestaties vloeren'!$D$2,"Sproei-extractie",0))))</f>
        <v>Niet van toepassing</v>
      </c>
      <c r="S410" s="385">
        <f>IF('2-Tarieven'!$B$28=0,0,IF(M410=0,0,'2-Tarieven'!$B$28*M410))</f>
        <v>0</v>
      </c>
      <c r="T410" s="386">
        <f>IF(AND(COUNTBLANK('3B-Prestaties vloeren'!$F$3:$H$24)=0,COUNTBLANK('3B-Prestaties vloeren'!$L$3:$M$24)=0),IF(R410="Sprayen/conserveren",I410/VLOOKUP(E410,'3B-Prestaties vloeren'!$A$3:$M$24,12,FALSE),0)*(P410-1),0)</f>
        <v>0</v>
      </c>
      <c r="U410" s="386">
        <f>IF(AND(COUNTBLANK('3B-Prestaties vloeren'!$F$3:$H$24)=0,COUNTBLANK('3B-Prestaties vloeren'!$L$3:$M$24)=0),IF(R410="Sprayen/conserveren",I410/VLOOKUP(E410,'3B-Prestaties vloeren'!$A$3:$M$24,13,FALSE),0),0)</f>
        <v>0</v>
      </c>
      <c r="V410" s="386">
        <f>IF(AND(COUNTBLANK('3B-Prestaties vloeren'!$F$3:$H$24)=0,COUNTBLANK('3B-Prestaties vloeren'!$L$3:$M$24)=0),IF(R410="schrobben",I410/VLOOKUP(E410,'3B-Prestaties vloeren'!$A$3:$H$24,6,FALSE),0)*P410,0)</f>
        <v>0</v>
      </c>
      <c r="W410" s="386">
        <f>IF(AND(COUNTBLANK('3B-Prestaties vloeren'!$F$3:$H$24)=0,COUNTBLANK('3B-Prestaties vloeren'!$L$3:$M$24)=0),IF(R410="sproei-extractie",I410/VLOOKUP(E410,'3B-Prestaties vloeren'!$A$3:$H$24,8,FALSE),0)*P410,0)</f>
        <v>0</v>
      </c>
    </row>
    <row r="411" spans="1:23" ht="15" hidden="1">
      <c r="A411" s="378" t="s">
        <v>702</v>
      </c>
      <c r="B411" s="378" t="s">
        <v>719</v>
      </c>
      <c r="C411" s="378">
        <v>0</v>
      </c>
      <c r="D411" s="378" t="s">
        <v>316</v>
      </c>
      <c r="E411" s="378" t="s">
        <v>6</v>
      </c>
      <c r="F411" s="378" t="s">
        <v>64</v>
      </c>
      <c r="G411" s="378" t="str">
        <f>VLOOKUP(F411,'3B-Prestaties vloeren'!$A$28:$B$118,2,0)</f>
        <v>Hard behandeld</v>
      </c>
      <c r="H411" s="378" t="s">
        <v>737</v>
      </c>
      <c r="I411" s="378">
        <v>2.4</v>
      </c>
      <c r="J411" s="420" t="s">
        <v>749</v>
      </c>
      <c r="K411" s="426">
        <v>52</v>
      </c>
      <c r="L411" s="378">
        <f t="shared" si="18"/>
        <v>124.8</v>
      </c>
      <c r="M411" s="380" t="str">
        <f>IF(K411=0,0,IF(COUNTBLANK('3A-Prestatie'!$B$2:$I$22)=0,L411/VLOOKUP(E411,'3A-Prestatie'!$A$1:$M$22,VLOOKUP(K411,'3A-Prestatie'!$A$28:$B$34,2,FALSE),FALSE),"3A prestatie invullen"))</f>
        <v>3A prestatie invullen</v>
      </c>
      <c r="N411" s="380">
        <f t="shared" si="20"/>
        <v>0</v>
      </c>
      <c r="O411" s="381" t="str">
        <f>VLOOKUP(E411,'3A-Prestatie'!A:M,13,FALSE)</f>
        <v>V</v>
      </c>
      <c r="P411" s="382">
        <f>IF(R411="Niet van toepassing",0,VLOOKUP(E411,'3B-Prestaties vloeren'!$A$3:$D$24,IF(G411="Hard onbehandeld",2,IF(G411="Hard behandeld",3,4)),FALSE))</f>
        <v>4</v>
      </c>
      <c r="Q411" s="383">
        <f t="shared" si="19"/>
        <v>0</v>
      </c>
      <c r="R411" s="384" t="str">
        <f>IF(K411=0,"Niet van toepassing",IF(G411='3B-Prestaties vloeren'!$B$2,"Schrobben",IF(G411='3B-Prestaties vloeren'!$C$2,"Sprayen/conserveren",IF(G411='3B-Prestaties vloeren'!$D$2,"Sproei-extractie",0))))</f>
        <v>Sprayen/conserveren</v>
      </c>
      <c r="S411" s="385">
        <f>IF('2-Tarieven'!$B$28=0,0,IF(M411=0,0,'2-Tarieven'!$B$28*M411))</f>
        <v>0</v>
      </c>
      <c r="T411" s="386">
        <f>IF(AND(COUNTBLANK('3B-Prestaties vloeren'!$F$3:$H$24)=0,COUNTBLANK('3B-Prestaties vloeren'!$L$3:$M$24)=0),IF(R411="Sprayen/conserveren",I411/VLOOKUP(E411,'3B-Prestaties vloeren'!$A$3:$M$24,12,FALSE),0)*(P411-1),0)</f>
        <v>0</v>
      </c>
      <c r="U411" s="386">
        <f>IF(AND(COUNTBLANK('3B-Prestaties vloeren'!$F$3:$H$24)=0,COUNTBLANK('3B-Prestaties vloeren'!$L$3:$M$24)=0),IF(R411="Sprayen/conserveren",I411/VLOOKUP(E411,'3B-Prestaties vloeren'!$A$3:$M$24,13,FALSE),0),0)</f>
        <v>0</v>
      </c>
      <c r="V411" s="386">
        <f>IF(AND(COUNTBLANK('3B-Prestaties vloeren'!$F$3:$H$24)=0,COUNTBLANK('3B-Prestaties vloeren'!$L$3:$M$24)=0),IF(R411="schrobben",I411/VLOOKUP(E411,'3B-Prestaties vloeren'!$A$3:$H$24,6,FALSE),0)*P411,0)</f>
        <v>0</v>
      </c>
      <c r="W411" s="386">
        <f>IF(AND(COUNTBLANK('3B-Prestaties vloeren'!$F$3:$H$24)=0,COUNTBLANK('3B-Prestaties vloeren'!$L$3:$M$24)=0),IF(R411="sproei-extractie",I411/VLOOKUP(E411,'3B-Prestaties vloeren'!$A$3:$H$24,8,FALSE),0)*P411,0)</f>
        <v>0</v>
      </c>
    </row>
    <row r="412" spans="1:23" ht="15" hidden="1">
      <c r="A412" s="378" t="s">
        <v>702</v>
      </c>
      <c r="B412" s="378" t="s">
        <v>719</v>
      </c>
      <c r="C412" s="378">
        <v>0</v>
      </c>
      <c r="D412" s="378" t="s">
        <v>317</v>
      </c>
      <c r="E412" s="378" t="s">
        <v>728</v>
      </c>
      <c r="F412" s="378" t="s">
        <v>65</v>
      </c>
      <c r="G412" s="378" t="str">
        <f>VLOOKUP(F412,'3B-Prestaties vloeren'!$A$28:$B$118,2,0)</f>
        <v>Zacht onbehandeld</v>
      </c>
      <c r="H412" s="378" t="s">
        <v>651</v>
      </c>
      <c r="I412" s="378">
        <v>4.4000000000000004</v>
      </c>
      <c r="J412" s="419"/>
      <c r="K412" s="426">
        <v>0</v>
      </c>
      <c r="L412" s="378">
        <f t="shared" si="18"/>
        <v>0</v>
      </c>
      <c r="M412" s="380">
        <f>IF(K412=0,0,IF(COUNTBLANK('3A-Prestatie'!$B$2:$I$22)=0,L412/VLOOKUP(E412,'3A-Prestatie'!$A$1:$M$22,VLOOKUP(K412,'3A-Prestatie'!$A$28:$B$34,2,FALSE),FALSE),"3A prestatie invullen"))</f>
        <v>0</v>
      </c>
      <c r="N412" s="380">
        <f t="shared" si="20"/>
        <v>0</v>
      </c>
      <c r="O412" s="381" t="str">
        <f>VLOOKUP(E412,'3A-Prestatie'!A:M,13,FALSE)</f>
        <v>N.v.t.</v>
      </c>
      <c r="P412" s="382">
        <f>IF(R412="Niet van toepassing",0,VLOOKUP(E412,'3B-Prestaties vloeren'!$A$3:$D$24,IF(G412="Hard onbehandeld",2,IF(G412="Hard behandeld",3,4)),FALSE))</f>
        <v>0</v>
      </c>
      <c r="Q412" s="383">
        <f t="shared" si="19"/>
        <v>0</v>
      </c>
      <c r="R412" s="384" t="str">
        <f>IF(K412=0,"Niet van toepassing",IF(G412='3B-Prestaties vloeren'!$B$2,"Schrobben",IF(G412='3B-Prestaties vloeren'!$C$2,"Sprayen/conserveren",IF(G412='3B-Prestaties vloeren'!$D$2,"Sproei-extractie",0))))</f>
        <v>Niet van toepassing</v>
      </c>
      <c r="S412" s="385">
        <f>IF('2-Tarieven'!$B$28=0,0,IF(M412=0,0,'2-Tarieven'!$B$28*M412))</f>
        <v>0</v>
      </c>
      <c r="T412" s="386">
        <f>IF(AND(COUNTBLANK('3B-Prestaties vloeren'!$F$3:$H$24)=0,COUNTBLANK('3B-Prestaties vloeren'!$L$3:$M$24)=0),IF(R412="Sprayen/conserveren",I412/VLOOKUP(E412,'3B-Prestaties vloeren'!$A$3:$M$24,12,FALSE),0)*(P412-1),0)</f>
        <v>0</v>
      </c>
      <c r="U412" s="386">
        <f>IF(AND(COUNTBLANK('3B-Prestaties vloeren'!$F$3:$H$24)=0,COUNTBLANK('3B-Prestaties vloeren'!$L$3:$M$24)=0),IF(R412="Sprayen/conserveren",I412/VLOOKUP(E412,'3B-Prestaties vloeren'!$A$3:$M$24,13,FALSE),0),0)</f>
        <v>0</v>
      </c>
      <c r="V412" s="386">
        <f>IF(AND(COUNTBLANK('3B-Prestaties vloeren'!$F$3:$H$24)=0,COUNTBLANK('3B-Prestaties vloeren'!$L$3:$M$24)=0),IF(R412="schrobben",I412/VLOOKUP(E412,'3B-Prestaties vloeren'!$A$3:$H$24,6,FALSE),0)*P412,0)</f>
        <v>0</v>
      </c>
      <c r="W412" s="386">
        <f>IF(AND(COUNTBLANK('3B-Prestaties vloeren'!$F$3:$H$24)=0,COUNTBLANK('3B-Prestaties vloeren'!$L$3:$M$24)=0),IF(R412="sproei-extractie",I412/VLOOKUP(E412,'3B-Prestaties vloeren'!$A$3:$H$24,8,FALSE),0)*P412,0)</f>
        <v>0</v>
      </c>
    </row>
    <row r="413" spans="1:23" ht="15" hidden="1">
      <c r="A413" s="378" t="s">
        <v>702</v>
      </c>
      <c r="B413" s="378" t="s">
        <v>719</v>
      </c>
      <c r="C413" s="378">
        <v>0</v>
      </c>
      <c r="D413" s="378" t="s">
        <v>318</v>
      </c>
      <c r="E413" s="378" t="s">
        <v>728</v>
      </c>
      <c r="F413" s="378" t="s">
        <v>64</v>
      </c>
      <c r="G413" s="378" t="str">
        <f>VLOOKUP(F413,'3B-Prestaties vloeren'!$A$28:$B$118,2,0)</f>
        <v>Hard behandeld</v>
      </c>
      <c r="H413" s="378" t="s">
        <v>651</v>
      </c>
      <c r="I413" s="378">
        <v>12.7</v>
      </c>
      <c r="J413" s="419"/>
      <c r="K413" s="426">
        <v>0</v>
      </c>
      <c r="L413" s="378">
        <f t="shared" si="18"/>
        <v>0</v>
      </c>
      <c r="M413" s="380">
        <f>IF(K413=0,0,IF(COUNTBLANK('3A-Prestatie'!$B$2:$I$22)=0,L413/VLOOKUP(E413,'3A-Prestatie'!$A$1:$M$22,VLOOKUP(K413,'3A-Prestatie'!$A$28:$B$34,2,FALSE),FALSE),"3A prestatie invullen"))</f>
        <v>0</v>
      </c>
      <c r="N413" s="380">
        <f t="shared" si="20"/>
        <v>0</v>
      </c>
      <c r="O413" s="381" t="str">
        <f>VLOOKUP(E413,'3A-Prestatie'!A:M,13,FALSE)</f>
        <v>N.v.t.</v>
      </c>
      <c r="P413" s="382">
        <f>IF(R413="Niet van toepassing",0,VLOOKUP(E413,'3B-Prestaties vloeren'!$A$3:$D$24,IF(G413="Hard onbehandeld",2,IF(G413="Hard behandeld",3,4)),FALSE))</f>
        <v>0</v>
      </c>
      <c r="Q413" s="383">
        <f t="shared" si="19"/>
        <v>0</v>
      </c>
      <c r="R413" s="384" t="str">
        <f>IF(K413=0,"Niet van toepassing",IF(G413='3B-Prestaties vloeren'!$B$2,"Schrobben",IF(G413='3B-Prestaties vloeren'!$C$2,"Sprayen/conserveren",IF(G413='3B-Prestaties vloeren'!$D$2,"Sproei-extractie",0))))</f>
        <v>Niet van toepassing</v>
      </c>
      <c r="S413" s="385">
        <f>IF('2-Tarieven'!$B$28=0,0,IF(M413=0,0,'2-Tarieven'!$B$28*M413))</f>
        <v>0</v>
      </c>
      <c r="T413" s="386">
        <f>IF(AND(COUNTBLANK('3B-Prestaties vloeren'!$F$3:$H$24)=0,COUNTBLANK('3B-Prestaties vloeren'!$L$3:$M$24)=0),IF(R413="Sprayen/conserveren",I413/VLOOKUP(E413,'3B-Prestaties vloeren'!$A$3:$M$24,12,FALSE),0)*(P413-1),0)</f>
        <v>0</v>
      </c>
      <c r="U413" s="386">
        <f>IF(AND(COUNTBLANK('3B-Prestaties vloeren'!$F$3:$H$24)=0,COUNTBLANK('3B-Prestaties vloeren'!$L$3:$M$24)=0),IF(R413="Sprayen/conserveren",I413/VLOOKUP(E413,'3B-Prestaties vloeren'!$A$3:$M$24,13,FALSE),0),0)</f>
        <v>0</v>
      </c>
      <c r="V413" s="386">
        <f>IF(AND(COUNTBLANK('3B-Prestaties vloeren'!$F$3:$H$24)=0,COUNTBLANK('3B-Prestaties vloeren'!$L$3:$M$24)=0),IF(R413="schrobben",I413/VLOOKUP(E413,'3B-Prestaties vloeren'!$A$3:$H$24,6,FALSE),0)*P413,0)</f>
        <v>0</v>
      </c>
      <c r="W413" s="386">
        <f>IF(AND(COUNTBLANK('3B-Prestaties vloeren'!$F$3:$H$24)=0,COUNTBLANK('3B-Prestaties vloeren'!$L$3:$M$24)=0),IF(R413="sproei-extractie",I413/VLOOKUP(E413,'3B-Prestaties vloeren'!$A$3:$H$24,8,FALSE),0)*P413,0)</f>
        <v>0</v>
      </c>
    </row>
    <row r="414" spans="1:23" ht="15" hidden="1">
      <c r="A414" s="378" t="s">
        <v>702</v>
      </c>
      <c r="B414" s="378" t="s">
        <v>719</v>
      </c>
      <c r="C414" s="378">
        <v>0</v>
      </c>
      <c r="D414" s="378" t="s">
        <v>319</v>
      </c>
      <c r="E414" s="378" t="s">
        <v>5</v>
      </c>
      <c r="F414" s="378" t="s">
        <v>64</v>
      </c>
      <c r="G414" s="378" t="str">
        <f>VLOOKUP(F414,'3B-Prestaties vloeren'!$A$28:$B$118,2,0)</f>
        <v>Hard behandeld</v>
      </c>
      <c r="H414" s="378"/>
      <c r="I414" s="378">
        <v>18.5</v>
      </c>
      <c r="J414" s="420" t="s">
        <v>749</v>
      </c>
      <c r="K414" s="426">
        <v>52</v>
      </c>
      <c r="L414" s="378">
        <f t="shared" si="18"/>
        <v>962</v>
      </c>
      <c r="M414" s="380" t="str">
        <f>IF(K414=0,0,IF(COUNTBLANK('3A-Prestatie'!$B$2:$I$22)=0,L414/VLOOKUP(E414,'3A-Prestatie'!$A$1:$M$22,VLOOKUP(K414,'3A-Prestatie'!$A$28:$B$34,2,FALSE),FALSE),"3A prestatie invullen"))</f>
        <v>3A prestatie invullen</v>
      </c>
      <c r="N414" s="380">
        <f t="shared" si="20"/>
        <v>0</v>
      </c>
      <c r="O414" s="381" t="str">
        <f>VLOOKUP(E414,'3A-Prestatie'!A:M,13,FALSE)</f>
        <v>B</v>
      </c>
      <c r="P414" s="382">
        <f>IF(R414="Niet van toepassing",0,VLOOKUP(E414,'3B-Prestaties vloeren'!$A$3:$D$24,IF(G414="Hard onbehandeld",2,IF(G414="Hard behandeld",3,4)),FALSE))</f>
        <v>4</v>
      </c>
      <c r="Q414" s="383">
        <f t="shared" si="19"/>
        <v>0</v>
      </c>
      <c r="R414" s="384" t="str">
        <f>IF(K414=0,"Niet van toepassing",IF(G414='3B-Prestaties vloeren'!$B$2,"Schrobben",IF(G414='3B-Prestaties vloeren'!$C$2,"Sprayen/conserveren",IF(G414='3B-Prestaties vloeren'!$D$2,"Sproei-extractie",0))))</f>
        <v>Sprayen/conserveren</v>
      </c>
      <c r="S414" s="385">
        <f>IF('2-Tarieven'!$B$28=0,0,IF(M414=0,0,'2-Tarieven'!$B$28*M414))</f>
        <v>0</v>
      </c>
      <c r="T414" s="386">
        <f>IF(AND(COUNTBLANK('3B-Prestaties vloeren'!$F$3:$H$24)=0,COUNTBLANK('3B-Prestaties vloeren'!$L$3:$M$24)=0),IF(R414="Sprayen/conserveren",I414/VLOOKUP(E414,'3B-Prestaties vloeren'!$A$3:$M$24,12,FALSE),0)*(P414-1),0)</f>
        <v>0</v>
      </c>
      <c r="U414" s="386">
        <f>IF(AND(COUNTBLANK('3B-Prestaties vloeren'!$F$3:$H$24)=0,COUNTBLANK('3B-Prestaties vloeren'!$L$3:$M$24)=0),IF(R414="Sprayen/conserveren",I414/VLOOKUP(E414,'3B-Prestaties vloeren'!$A$3:$M$24,13,FALSE),0),0)</f>
        <v>0</v>
      </c>
      <c r="V414" s="386">
        <f>IF(AND(COUNTBLANK('3B-Prestaties vloeren'!$F$3:$H$24)=0,COUNTBLANK('3B-Prestaties vloeren'!$L$3:$M$24)=0),IF(R414="schrobben",I414/VLOOKUP(E414,'3B-Prestaties vloeren'!$A$3:$H$24,6,FALSE),0)*P414,0)</f>
        <v>0</v>
      </c>
      <c r="W414" s="386">
        <f>IF(AND(COUNTBLANK('3B-Prestaties vloeren'!$F$3:$H$24)=0,COUNTBLANK('3B-Prestaties vloeren'!$L$3:$M$24)=0),IF(R414="sproei-extractie",I414/VLOOKUP(E414,'3B-Prestaties vloeren'!$A$3:$H$24,8,FALSE),0)*P414,0)</f>
        <v>0</v>
      </c>
    </row>
    <row r="415" spans="1:23" ht="15" hidden="1">
      <c r="A415" s="378" t="s">
        <v>702</v>
      </c>
      <c r="B415" s="378" t="s">
        <v>719</v>
      </c>
      <c r="C415" s="378">
        <v>0</v>
      </c>
      <c r="D415" s="378" t="s">
        <v>320</v>
      </c>
      <c r="E415" s="378" t="s">
        <v>653</v>
      </c>
      <c r="F415" s="378" t="s">
        <v>647</v>
      </c>
      <c r="G415" s="378" t="str">
        <f>VLOOKUP(F415,'3B-Prestaties vloeren'!$A$28:$B$118,2,0)</f>
        <v>Hard onbehandeld</v>
      </c>
      <c r="H415" s="378"/>
      <c r="I415" s="378">
        <v>3.8</v>
      </c>
      <c r="J415" s="421" t="s">
        <v>511</v>
      </c>
      <c r="K415" s="426">
        <v>255</v>
      </c>
      <c r="L415" s="378">
        <f t="shared" si="18"/>
        <v>969</v>
      </c>
      <c r="M415" s="380" t="str">
        <f>IF(K415=0,0,IF(COUNTBLANK('3A-Prestatie'!$B$2:$I$22)=0,L415/VLOOKUP(E415,'3A-Prestatie'!$A$1:$M$22,VLOOKUP(K415,'3A-Prestatie'!$A$28:$B$34,2,FALSE),FALSE),"3A prestatie invullen"))</f>
        <v>3A prestatie invullen</v>
      </c>
      <c r="N415" s="380">
        <f t="shared" si="20"/>
        <v>0</v>
      </c>
      <c r="O415" s="381" t="str">
        <f>VLOOKUP(E415,'3A-Prestatie'!A:M,13,FALSE)</f>
        <v>S</v>
      </c>
      <c r="P415" s="382">
        <f>IF(R415="Niet van toepassing",0,VLOOKUP(E415,'3B-Prestaties vloeren'!$A$3:$D$24,IF(G415="Hard onbehandeld",2,IF(G415="Hard behandeld",3,4)),FALSE))</f>
        <v>52</v>
      </c>
      <c r="Q415" s="383">
        <f t="shared" si="19"/>
        <v>0</v>
      </c>
      <c r="R415" s="384" t="str">
        <f>IF(K415=0,"Niet van toepassing",IF(G415='3B-Prestaties vloeren'!$B$2,"Schrobben",IF(G415='3B-Prestaties vloeren'!$C$2,"Sprayen/conserveren",IF(G415='3B-Prestaties vloeren'!$D$2,"Sproei-extractie",0))))</f>
        <v>Schrobben</v>
      </c>
      <c r="S415" s="385">
        <f>IF('2-Tarieven'!$B$28=0,0,IF(M415=0,0,'2-Tarieven'!$B$28*M415))</f>
        <v>0</v>
      </c>
      <c r="T415" s="386">
        <f>IF(AND(COUNTBLANK('3B-Prestaties vloeren'!$F$3:$H$24)=0,COUNTBLANK('3B-Prestaties vloeren'!$L$3:$M$24)=0),IF(R415="Sprayen/conserveren",I415/VLOOKUP(E415,'3B-Prestaties vloeren'!$A$3:$M$24,12,FALSE),0)*(P415-1),0)</f>
        <v>0</v>
      </c>
      <c r="U415" s="386">
        <f>IF(AND(COUNTBLANK('3B-Prestaties vloeren'!$F$3:$H$24)=0,COUNTBLANK('3B-Prestaties vloeren'!$L$3:$M$24)=0),IF(R415="Sprayen/conserveren",I415/VLOOKUP(E415,'3B-Prestaties vloeren'!$A$3:$M$24,13,FALSE),0),0)</f>
        <v>0</v>
      </c>
      <c r="V415" s="386">
        <f>IF(AND(COUNTBLANK('3B-Prestaties vloeren'!$F$3:$H$24)=0,COUNTBLANK('3B-Prestaties vloeren'!$L$3:$M$24)=0),IF(R415="schrobben",I415/VLOOKUP(E415,'3B-Prestaties vloeren'!$A$3:$H$24,6,FALSE),0)*P415,0)</f>
        <v>0</v>
      </c>
      <c r="W415" s="386">
        <f>IF(AND(COUNTBLANK('3B-Prestaties vloeren'!$F$3:$H$24)=0,COUNTBLANK('3B-Prestaties vloeren'!$L$3:$M$24)=0),IF(R415="sproei-extractie",I415/VLOOKUP(E415,'3B-Prestaties vloeren'!$A$3:$H$24,8,FALSE),0)*P415,0)</f>
        <v>0</v>
      </c>
    </row>
    <row r="416" spans="1:23" ht="15" hidden="1">
      <c r="A416" s="378" t="s">
        <v>702</v>
      </c>
      <c r="B416" s="378" t="s">
        <v>719</v>
      </c>
      <c r="C416" s="378">
        <v>0</v>
      </c>
      <c r="D416" s="378" t="s">
        <v>321</v>
      </c>
      <c r="E416" s="378" t="s">
        <v>653</v>
      </c>
      <c r="F416" s="378" t="s">
        <v>647</v>
      </c>
      <c r="G416" s="378" t="str">
        <f>VLOOKUP(F416,'3B-Prestaties vloeren'!$A$28:$B$118,2,0)</f>
        <v>Hard onbehandeld</v>
      </c>
      <c r="H416" s="378" t="s">
        <v>330</v>
      </c>
      <c r="I416" s="378">
        <v>1.1000000000000001</v>
      </c>
      <c r="J416" s="421" t="s">
        <v>511</v>
      </c>
      <c r="K416" s="426">
        <v>255</v>
      </c>
      <c r="L416" s="378">
        <f t="shared" si="18"/>
        <v>280.5</v>
      </c>
      <c r="M416" s="380" t="str">
        <f>IF(K416=0,0,IF(COUNTBLANK('3A-Prestatie'!$B$2:$I$22)=0,L416/VLOOKUP(E416,'3A-Prestatie'!$A$1:$M$22,VLOOKUP(K416,'3A-Prestatie'!$A$28:$B$34,2,FALSE),FALSE),"3A prestatie invullen"))</f>
        <v>3A prestatie invullen</v>
      </c>
      <c r="N416" s="380">
        <f t="shared" si="20"/>
        <v>0</v>
      </c>
      <c r="O416" s="381" t="str">
        <f>VLOOKUP(E416,'3A-Prestatie'!A:M,13,FALSE)</f>
        <v>S</v>
      </c>
      <c r="P416" s="382">
        <f>IF(R416="Niet van toepassing",0,VLOOKUP(E416,'3B-Prestaties vloeren'!$A$3:$D$24,IF(G416="Hard onbehandeld",2,IF(G416="Hard behandeld",3,4)),FALSE))</f>
        <v>52</v>
      </c>
      <c r="Q416" s="383">
        <f t="shared" si="19"/>
        <v>0</v>
      </c>
      <c r="R416" s="384" t="str">
        <f>IF(K416=0,"Niet van toepassing",IF(G416='3B-Prestaties vloeren'!$B$2,"Schrobben",IF(G416='3B-Prestaties vloeren'!$C$2,"Sprayen/conserveren",IF(G416='3B-Prestaties vloeren'!$D$2,"Sproei-extractie",0))))</f>
        <v>Schrobben</v>
      </c>
      <c r="S416" s="385">
        <f>IF('2-Tarieven'!$B$28=0,0,IF(M416=0,0,'2-Tarieven'!$B$28*M416))</f>
        <v>0</v>
      </c>
      <c r="T416" s="386">
        <f>IF(AND(COUNTBLANK('3B-Prestaties vloeren'!$F$3:$H$24)=0,COUNTBLANK('3B-Prestaties vloeren'!$L$3:$M$24)=0),IF(R416="Sprayen/conserveren",I416/VLOOKUP(E416,'3B-Prestaties vloeren'!$A$3:$M$24,12,FALSE),0)*(P416-1),0)</f>
        <v>0</v>
      </c>
      <c r="U416" s="386">
        <f>IF(AND(COUNTBLANK('3B-Prestaties vloeren'!$F$3:$H$24)=0,COUNTBLANK('3B-Prestaties vloeren'!$L$3:$M$24)=0),IF(R416="Sprayen/conserveren",I416/VLOOKUP(E416,'3B-Prestaties vloeren'!$A$3:$M$24,13,FALSE),0),0)</f>
        <v>0</v>
      </c>
      <c r="V416" s="386">
        <f>IF(AND(COUNTBLANK('3B-Prestaties vloeren'!$F$3:$H$24)=0,COUNTBLANK('3B-Prestaties vloeren'!$L$3:$M$24)=0),IF(R416="schrobben",I416/VLOOKUP(E416,'3B-Prestaties vloeren'!$A$3:$H$24,6,FALSE),0)*P416,0)</f>
        <v>0</v>
      </c>
      <c r="W416" s="386">
        <f>IF(AND(COUNTBLANK('3B-Prestaties vloeren'!$F$3:$H$24)=0,COUNTBLANK('3B-Prestaties vloeren'!$L$3:$M$24)=0),IF(R416="sproei-extractie",I416/VLOOKUP(E416,'3B-Prestaties vloeren'!$A$3:$H$24,8,FALSE),0)*P416,0)</f>
        <v>0</v>
      </c>
    </row>
    <row r="417" spans="1:23" ht="15" hidden="1">
      <c r="A417" s="378" t="s">
        <v>702</v>
      </c>
      <c r="B417" s="378" t="s">
        <v>719</v>
      </c>
      <c r="C417" s="378">
        <v>0</v>
      </c>
      <c r="D417" s="378" t="s">
        <v>322</v>
      </c>
      <c r="E417" s="378" t="s">
        <v>5</v>
      </c>
      <c r="F417" s="378" t="s">
        <v>64</v>
      </c>
      <c r="G417" s="378" t="str">
        <f>VLOOKUP(F417,'3B-Prestaties vloeren'!$A$28:$B$118,2,0)</f>
        <v>Hard behandeld</v>
      </c>
      <c r="H417" s="378"/>
      <c r="I417" s="378">
        <v>14</v>
      </c>
      <c r="J417" s="420" t="s">
        <v>749</v>
      </c>
      <c r="K417" s="426">
        <v>52</v>
      </c>
      <c r="L417" s="378">
        <f t="shared" si="18"/>
        <v>728</v>
      </c>
      <c r="M417" s="380" t="str">
        <f>IF(K417=0,0,IF(COUNTBLANK('3A-Prestatie'!$B$2:$I$22)=0,L417/VLOOKUP(E417,'3A-Prestatie'!$A$1:$M$22,VLOOKUP(K417,'3A-Prestatie'!$A$28:$B$34,2,FALSE),FALSE),"3A prestatie invullen"))</f>
        <v>3A prestatie invullen</v>
      </c>
      <c r="N417" s="380">
        <f t="shared" si="20"/>
        <v>0</v>
      </c>
      <c r="O417" s="381" t="str">
        <f>VLOOKUP(E417,'3A-Prestatie'!A:M,13,FALSE)</f>
        <v>B</v>
      </c>
      <c r="P417" s="382">
        <f>IF(R417="Niet van toepassing",0,VLOOKUP(E417,'3B-Prestaties vloeren'!$A$3:$D$24,IF(G417="Hard onbehandeld",2,IF(G417="Hard behandeld",3,4)),FALSE))</f>
        <v>4</v>
      </c>
      <c r="Q417" s="383">
        <f t="shared" si="19"/>
        <v>0</v>
      </c>
      <c r="R417" s="384" t="str">
        <f>IF(K417=0,"Niet van toepassing",IF(G417='3B-Prestaties vloeren'!$B$2,"Schrobben",IF(G417='3B-Prestaties vloeren'!$C$2,"Sprayen/conserveren",IF(G417='3B-Prestaties vloeren'!$D$2,"Sproei-extractie",0))))</f>
        <v>Sprayen/conserveren</v>
      </c>
      <c r="S417" s="385">
        <f>IF('2-Tarieven'!$B$28=0,0,IF(M417=0,0,'2-Tarieven'!$B$28*M417))</f>
        <v>0</v>
      </c>
      <c r="T417" s="386">
        <f>IF(AND(COUNTBLANK('3B-Prestaties vloeren'!$F$3:$H$24)=0,COUNTBLANK('3B-Prestaties vloeren'!$L$3:$M$24)=0),IF(R417="Sprayen/conserveren",I417/VLOOKUP(E417,'3B-Prestaties vloeren'!$A$3:$M$24,12,FALSE),0)*(P417-1),0)</f>
        <v>0</v>
      </c>
      <c r="U417" s="386">
        <f>IF(AND(COUNTBLANK('3B-Prestaties vloeren'!$F$3:$H$24)=0,COUNTBLANK('3B-Prestaties vloeren'!$L$3:$M$24)=0),IF(R417="Sprayen/conserveren",I417/VLOOKUP(E417,'3B-Prestaties vloeren'!$A$3:$M$24,13,FALSE),0),0)</f>
        <v>0</v>
      </c>
      <c r="V417" s="386">
        <f>IF(AND(COUNTBLANK('3B-Prestaties vloeren'!$F$3:$H$24)=0,COUNTBLANK('3B-Prestaties vloeren'!$L$3:$M$24)=0),IF(R417="schrobben",I417/VLOOKUP(E417,'3B-Prestaties vloeren'!$A$3:$H$24,6,FALSE),0)*P417,0)</f>
        <v>0</v>
      </c>
      <c r="W417" s="386">
        <f>IF(AND(COUNTBLANK('3B-Prestaties vloeren'!$F$3:$H$24)=0,COUNTBLANK('3B-Prestaties vloeren'!$L$3:$M$24)=0),IF(R417="sproei-extractie",I417/VLOOKUP(E417,'3B-Prestaties vloeren'!$A$3:$H$24,8,FALSE),0)*P417,0)</f>
        <v>0</v>
      </c>
    </row>
    <row r="418" spans="1:23" ht="15" hidden="1">
      <c r="A418" s="378" t="s">
        <v>702</v>
      </c>
      <c r="B418" s="378" t="s">
        <v>719</v>
      </c>
      <c r="C418" s="378">
        <v>0</v>
      </c>
      <c r="D418" s="378" t="s">
        <v>323</v>
      </c>
      <c r="E418" s="378" t="s">
        <v>5</v>
      </c>
      <c r="F418" s="378" t="s">
        <v>64</v>
      </c>
      <c r="G418" s="378" t="str">
        <f>VLOOKUP(F418,'3B-Prestaties vloeren'!$A$28:$B$118,2,0)</f>
        <v>Hard behandeld</v>
      </c>
      <c r="H418" s="378"/>
      <c r="I418" s="378">
        <v>9.8000000000000007</v>
      </c>
      <c r="J418" s="420" t="s">
        <v>749</v>
      </c>
      <c r="K418" s="426">
        <v>52</v>
      </c>
      <c r="L418" s="378">
        <f t="shared" si="18"/>
        <v>509.6</v>
      </c>
      <c r="M418" s="380" t="str">
        <f>IF(K418=0,0,IF(COUNTBLANK('3A-Prestatie'!$B$2:$I$22)=0,L418/VLOOKUP(E418,'3A-Prestatie'!$A$1:$M$22,VLOOKUP(K418,'3A-Prestatie'!$A$28:$B$34,2,FALSE),FALSE),"3A prestatie invullen"))</f>
        <v>3A prestatie invullen</v>
      </c>
      <c r="N418" s="380">
        <f t="shared" si="20"/>
        <v>0</v>
      </c>
      <c r="O418" s="381" t="str">
        <f>VLOOKUP(E418,'3A-Prestatie'!A:M,13,FALSE)</f>
        <v>B</v>
      </c>
      <c r="P418" s="382">
        <f>IF(R418="Niet van toepassing",0,VLOOKUP(E418,'3B-Prestaties vloeren'!$A$3:$D$24,IF(G418="Hard onbehandeld",2,IF(G418="Hard behandeld",3,4)),FALSE))</f>
        <v>4</v>
      </c>
      <c r="Q418" s="383">
        <f t="shared" si="19"/>
        <v>0</v>
      </c>
      <c r="R418" s="384" t="str">
        <f>IF(K418=0,"Niet van toepassing",IF(G418='3B-Prestaties vloeren'!$B$2,"Schrobben",IF(G418='3B-Prestaties vloeren'!$C$2,"Sprayen/conserveren",IF(G418='3B-Prestaties vloeren'!$D$2,"Sproei-extractie",0))))</f>
        <v>Sprayen/conserveren</v>
      </c>
      <c r="S418" s="385">
        <f>IF('2-Tarieven'!$B$28=0,0,IF(M418=0,0,'2-Tarieven'!$B$28*M418))</f>
        <v>0</v>
      </c>
      <c r="T418" s="386">
        <f>IF(AND(COUNTBLANK('3B-Prestaties vloeren'!$F$3:$H$24)=0,COUNTBLANK('3B-Prestaties vloeren'!$L$3:$M$24)=0),IF(R418="Sprayen/conserveren",I418/VLOOKUP(E418,'3B-Prestaties vloeren'!$A$3:$M$24,12,FALSE),0)*(P418-1),0)</f>
        <v>0</v>
      </c>
      <c r="U418" s="386">
        <f>IF(AND(COUNTBLANK('3B-Prestaties vloeren'!$F$3:$H$24)=0,COUNTBLANK('3B-Prestaties vloeren'!$L$3:$M$24)=0),IF(R418="Sprayen/conserveren",I418/VLOOKUP(E418,'3B-Prestaties vloeren'!$A$3:$M$24,13,FALSE),0),0)</f>
        <v>0</v>
      </c>
      <c r="V418" s="386">
        <f>IF(AND(COUNTBLANK('3B-Prestaties vloeren'!$F$3:$H$24)=0,COUNTBLANK('3B-Prestaties vloeren'!$L$3:$M$24)=0),IF(R418="schrobben",I418/VLOOKUP(E418,'3B-Prestaties vloeren'!$A$3:$H$24,6,FALSE),0)*P418,0)</f>
        <v>0</v>
      </c>
      <c r="W418" s="386">
        <f>IF(AND(COUNTBLANK('3B-Prestaties vloeren'!$F$3:$H$24)=0,COUNTBLANK('3B-Prestaties vloeren'!$L$3:$M$24)=0),IF(R418="sproei-extractie",I418/VLOOKUP(E418,'3B-Prestaties vloeren'!$A$3:$H$24,8,FALSE),0)*P418,0)</f>
        <v>0</v>
      </c>
    </row>
    <row r="419" spans="1:23" ht="15" hidden="1">
      <c r="A419" s="378" t="s">
        <v>702</v>
      </c>
      <c r="B419" s="378" t="s">
        <v>719</v>
      </c>
      <c r="C419" s="378">
        <v>0</v>
      </c>
      <c r="D419" s="378" t="s">
        <v>324</v>
      </c>
      <c r="E419" s="378" t="s">
        <v>5</v>
      </c>
      <c r="F419" s="378" t="s">
        <v>64</v>
      </c>
      <c r="G419" s="378" t="str">
        <f>VLOOKUP(F419,'3B-Prestaties vloeren'!$A$28:$B$118,2,0)</f>
        <v>Hard behandeld</v>
      </c>
      <c r="H419" s="378"/>
      <c r="I419" s="378">
        <v>13.6</v>
      </c>
      <c r="J419" s="420" t="s">
        <v>749</v>
      </c>
      <c r="K419" s="426">
        <v>52</v>
      </c>
      <c r="L419" s="378">
        <f t="shared" si="18"/>
        <v>707.19999999999993</v>
      </c>
      <c r="M419" s="380" t="str">
        <f>IF(K419=0,0,IF(COUNTBLANK('3A-Prestatie'!$B$2:$I$22)=0,L419/VLOOKUP(E419,'3A-Prestatie'!$A$1:$M$22,VLOOKUP(K419,'3A-Prestatie'!$A$28:$B$34,2,FALSE),FALSE),"3A prestatie invullen"))</f>
        <v>3A prestatie invullen</v>
      </c>
      <c r="N419" s="380">
        <f t="shared" si="20"/>
        <v>0</v>
      </c>
      <c r="O419" s="381" t="str">
        <f>VLOOKUP(E419,'3A-Prestatie'!A:M,13,FALSE)</f>
        <v>B</v>
      </c>
      <c r="P419" s="382">
        <f>IF(R419="Niet van toepassing",0,VLOOKUP(E419,'3B-Prestaties vloeren'!$A$3:$D$24,IF(G419="Hard onbehandeld",2,IF(G419="Hard behandeld",3,4)),FALSE))</f>
        <v>4</v>
      </c>
      <c r="Q419" s="383">
        <f t="shared" si="19"/>
        <v>0</v>
      </c>
      <c r="R419" s="384" t="str">
        <f>IF(K419=0,"Niet van toepassing",IF(G419='3B-Prestaties vloeren'!$B$2,"Schrobben",IF(G419='3B-Prestaties vloeren'!$C$2,"Sprayen/conserveren",IF(G419='3B-Prestaties vloeren'!$D$2,"Sproei-extractie",0))))</f>
        <v>Sprayen/conserveren</v>
      </c>
      <c r="S419" s="385">
        <f>IF('2-Tarieven'!$B$28=0,0,IF(M419=0,0,'2-Tarieven'!$B$28*M419))</f>
        <v>0</v>
      </c>
      <c r="T419" s="386">
        <f>IF(AND(COUNTBLANK('3B-Prestaties vloeren'!$F$3:$H$24)=0,COUNTBLANK('3B-Prestaties vloeren'!$L$3:$M$24)=0),IF(R419="Sprayen/conserveren",I419/VLOOKUP(E419,'3B-Prestaties vloeren'!$A$3:$M$24,12,FALSE),0)*(P419-1),0)</f>
        <v>0</v>
      </c>
      <c r="U419" s="386">
        <f>IF(AND(COUNTBLANK('3B-Prestaties vloeren'!$F$3:$H$24)=0,COUNTBLANK('3B-Prestaties vloeren'!$L$3:$M$24)=0),IF(R419="Sprayen/conserveren",I419/VLOOKUP(E419,'3B-Prestaties vloeren'!$A$3:$M$24,13,FALSE),0),0)</f>
        <v>0</v>
      </c>
      <c r="V419" s="386">
        <f>IF(AND(COUNTBLANK('3B-Prestaties vloeren'!$F$3:$H$24)=0,COUNTBLANK('3B-Prestaties vloeren'!$L$3:$M$24)=0),IF(R419="schrobben",I419/VLOOKUP(E419,'3B-Prestaties vloeren'!$A$3:$H$24,6,FALSE),0)*P419,0)</f>
        <v>0</v>
      </c>
      <c r="W419" s="386">
        <f>IF(AND(COUNTBLANK('3B-Prestaties vloeren'!$F$3:$H$24)=0,COUNTBLANK('3B-Prestaties vloeren'!$L$3:$M$24)=0),IF(R419="sproei-extractie",I419/VLOOKUP(E419,'3B-Prestaties vloeren'!$A$3:$H$24,8,FALSE),0)*P419,0)</f>
        <v>0</v>
      </c>
    </row>
    <row r="420" spans="1:23" ht="15" hidden="1">
      <c r="A420" s="378" t="s">
        <v>702</v>
      </c>
      <c r="B420" s="378" t="s">
        <v>719</v>
      </c>
      <c r="C420" s="378">
        <v>0</v>
      </c>
      <c r="D420" s="378" t="s">
        <v>325</v>
      </c>
      <c r="E420" s="378" t="s">
        <v>5</v>
      </c>
      <c r="F420" s="378" t="s">
        <v>64</v>
      </c>
      <c r="G420" s="378" t="str">
        <f>VLOOKUP(F420,'3B-Prestaties vloeren'!$A$28:$B$118,2,0)</f>
        <v>Hard behandeld</v>
      </c>
      <c r="H420" s="378"/>
      <c r="I420" s="378">
        <v>13.5</v>
      </c>
      <c r="J420" s="420" t="s">
        <v>749</v>
      </c>
      <c r="K420" s="426">
        <v>52</v>
      </c>
      <c r="L420" s="378">
        <f t="shared" si="18"/>
        <v>702</v>
      </c>
      <c r="M420" s="380" t="str">
        <f>IF(K420=0,0,IF(COUNTBLANK('3A-Prestatie'!$B$2:$I$22)=0,L420/VLOOKUP(E420,'3A-Prestatie'!$A$1:$M$22,VLOOKUP(K420,'3A-Prestatie'!$A$28:$B$34,2,FALSE),FALSE),"3A prestatie invullen"))</f>
        <v>3A prestatie invullen</v>
      </c>
      <c r="N420" s="380">
        <f t="shared" si="20"/>
        <v>0</v>
      </c>
      <c r="O420" s="381" t="str">
        <f>VLOOKUP(E420,'3A-Prestatie'!A:M,13,FALSE)</f>
        <v>B</v>
      </c>
      <c r="P420" s="382">
        <f>IF(R420="Niet van toepassing",0,VLOOKUP(E420,'3B-Prestaties vloeren'!$A$3:$D$24,IF(G420="Hard onbehandeld",2,IF(G420="Hard behandeld",3,4)),FALSE))</f>
        <v>4</v>
      </c>
      <c r="Q420" s="383">
        <f t="shared" si="19"/>
        <v>0</v>
      </c>
      <c r="R420" s="384" t="str">
        <f>IF(K420=0,"Niet van toepassing",IF(G420='3B-Prestaties vloeren'!$B$2,"Schrobben",IF(G420='3B-Prestaties vloeren'!$C$2,"Sprayen/conserveren",IF(G420='3B-Prestaties vloeren'!$D$2,"Sproei-extractie",0))))</f>
        <v>Sprayen/conserveren</v>
      </c>
      <c r="S420" s="385">
        <f>IF('2-Tarieven'!$B$28=0,0,IF(M420=0,0,'2-Tarieven'!$B$28*M420))</f>
        <v>0</v>
      </c>
      <c r="T420" s="386">
        <f>IF(AND(COUNTBLANK('3B-Prestaties vloeren'!$F$3:$H$24)=0,COUNTBLANK('3B-Prestaties vloeren'!$L$3:$M$24)=0),IF(R420="Sprayen/conserveren",I420/VLOOKUP(E420,'3B-Prestaties vloeren'!$A$3:$M$24,12,FALSE),0)*(P420-1),0)</f>
        <v>0</v>
      </c>
      <c r="U420" s="386">
        <f>IF(AND(COUNTBLANK('3B-Prestaties vloeren'!$F$3:$H$24)=0,COUNTBLANK('3B-Prestaties vloeren'!$L$3:$M$24)=0),IF(R420="Sprayen/conserveren",I420/VLOOKUP(E420,'3B-Prestaties vloeren'!$A$3:$M$24,13,FALSE),0),0)</f>
        <v>0</v>
      </c>
      <c r="V420" s="386">
        <f>IF(AND(COUNTBLANK('3B-Prestaties vloeren'!$F$3:$H$24)=0,COUNTBLANK('3B-Prestaties vloeren'!$L$3:$M$24)=0),IF(R420="schrobben",I420/VLOOKUP(E420,'3B-Prestaties vloeren'!$A$3:$H$24,6,FALSE),0)*P420,0)</f>
        <v>0</v>
      </c>
      <c r="W420" s="386">
        <f>IF(AND(COUNTBLANK('3B-Prestaties vloeren'!$F$3:$H$24)=0,COUNTBLANK('3B-Prestaties vloeren'!$L$3:$M$24)=0),IF(R420="sproei-extractie",I420/VLOOKUP(E420,'3B-Prestaties vloeren'!$A$3:$H$24,8,FALSE),0)*P420,0)</f>
        <v>0</v>
      </c>
    </row>
    <row r="421" spans="1:23" ht="15" hidden="1">
      <c r="A421" s="378" t="s">
        <v>702</v>
      </c>
      <c r="B421" s="378" t="s">
        <v>719</v>
      </c>
      <c r="C421" s="378">
        <v>0</v>
      </c>
      <c r="D421" s="378" t="s">
        <v>326</v>
      </c>
      <c r="E421" s="378" t="s">
        <v>306</v>
      </c>
      <c r="F421" s="378" t="s">
        <v>64</v>
      </c>
      <c r="G421" s="378" t="str">
        <f>VLOOKUP(F421,'3B-Prestaties vloeren'!$A$28:$B$118,2,0)</f>
        <v>Hard behandeld</v>
      </c>
      <c r="H421" s="378" t="s">
        <v>637</v>
      </c>
      <c r="I421" s="378">
        <v>79.3</v>
      </c>
      <c r="J421" s="420" t="s">
        <v>749</v>
      </c>
      <c r="K421" s="426">
        <v>52</v>
      </c>
      <c r="L421" s="378">
        <f t="shared" si="18"/>
        <v>4123.5999999999995</v>
      </c>
      <c r="M421" s="380" t="str">
        <f>IF(K421=0,0,IF(COUNTBLANK('3A-Prestatie'!$B$2:$I$22)=0,L421/VLOOKUP(E421,'3A-Prestatie'!$A$1:$M$22,VLOOKUP(K421,'3A-Prestatie'!$A$28:$B$34,2,FALSE),FALSE),"3A prestatie invullen"))</f>
        <v>3A prestatie invullen</v>
      </c>
      <c r="N421" s="380">
        <f t="shared" si="20"/>
        <v>0</v>
      </c>
      <c r="O421" s="381" t="str">
        <f>VLOOKUP(E421,'3A-Prestatie'!A:M,13,FALSE)</f>
        <v>V</v>
      </c>
      <c r="P421" s="382">
        <f>IF(R421="Niet van toepassing",0,VLOOKUP(E421,'3B-Prestaties vloeren'!$A$3:$D$24,IF(G421="Hard onbehandeld",2,IF(G421="Hard behandeld",3,4)),FALSE))</f>
        <v>12</v>
      </c>
      <c r="Q421" s="383">
        <f t="shared" si="19"/>
        <v>0</v>
      </c>
      <c r="R421" s="384" t="str">
        <f>IF(K421=0,"Niet van toepassing",IF(G421='3B-Prestaties vloeren'!$B$2,"Schrobben",IF(G421='3B-Prestaties vloeren'!$C$2,"Sprayen/conserveren",IF(G421='3B-Prestaties vloeren'!$D$2,"Sproei-extractie",0))))</f>
        <v>Sprayen/conserveren</v>
      </c>
      <c r="S421" s="385">
        <f>IF('2-Tarieven'!$B$28=0,0,IF(M421=0,0,'2-Tarieven'!$B$28*M421))</f>
        <v>0</v>
      </c>
      <c r="T421" s="386">
        <f>IF(AND(COUNTBLANK('3B-Prestaties vloeren'!$F$3:$H$24)=0,COUNTBLANK('3B-Prestaties vloeren'!$L$3:$M$24)=0),IF(R421="Sprayen/conserveren",I421/VLOOKUP(E421,'3B-Prestaties vloeren'!$A$3:$M$24,12,FALSE),0)*(P421-1),0)</f>
        <v>0</v>
      </c>
      <c r="U421" s="386">
        <f>IF(AND(COUNTBLANK('3B-Prestaties vloeren'!$F$3:$H$24)=0,COUNTBLANK('3B-Prestaties vloeren'!$L$3:$M$24)=0),IF(R421="Sprayen/conserveren",I421/VLOOKUP(E421,'3B-Prestaties vloeren'!$A$3:$M$24,13,FALSE),0),0)</f>
        <v>0</v>
      </c>
      <c r="V421" s="386">
        <f>IF(AND(COUNTBLANK('3B-Prestaties vloeren'!$F$3:$H$24)=0,COUNTBLANK('3B-Prestaties vloeren'!$L$3:$M$24)=0),IF(R421="schrobben",I421/VLOOKUP(E421,'3B-Prestaties vloeren'!$A$3:$H$24,6,FALSE),0)*P421,0)</f>
        <v>0</v>
      </c>
      <c r="W421" s="386">
        <f>IF(AND(COUNTBLANK('3B-Prestaties vloeren'!$F$3:$H$24)=0,COUNTBLANK('3B-Prestaties vloeren'!$L$3:$M$24)=0),IF(R421="sproei-extractie",I421/VLOOKUP(E421,'3B-Prestaties vloeren'!$A$3:$H$24,8,FALSE),0)*P421,0)</f>
        <v>0</v>
      </c>
    </row>
    <row r="422" spans="1:23" ht="15" hidden="1">
      <c r="A422" s="378" t="s">
        <v>702</v>
      </c>
      <c r="B422" s="378" t="s">
        <v>719</v>
      </c>
      <c r="C422" s="378">
        <v>0</v>
      </c>
      <c r="D422" s="378" t="s">
        <v>327</v>
      </c>
      <c r="E422" s="378" t="s">
        <v>6</v>
      </c>
      <c r="F422" s="378" t="s">
        <v>647</v>
      </c>
      <c r="G422" s="378" t="str">
        <f>VLOOKUP(F422,'3B-Prestaties vloeren'!$A$28:$B$118,2,0)</f>
        <v>Hard onbehandeld</v>
      </c>
      <c r="H422" s="378" t="s">
        <v>722</v>
      </c>
      <c r="I422" s="378">
        <v>5.0999999999999996</v>
      </c>
      <c r="J422" s="420" t="s">
        <v>749</v>
      </c>
      <c r="K422" s="426">
        <v>52</v>
      </c>
      <c r="L422" s="378">
        <f t="shared" si="18"/>
        <v>265.2</v>
      </c>
      <c r="M422" s="380" t="str">
        <f>IF(K422=0,0,IF(COUNTBLANK('3A-Prestatie'!$B$2:$I$22)=0,L422/VLOOKUP(E422,'3A-Prestatie'!$A$1:$M$22,VLOOKUP(K422,'3A-Prestatie'!$A$28:$B$34,2,FALSE),FALSE),"3A prestatie invullen"))</f>
        <v>3A prestatie invullen</v>
      </c>
      <c r="N422" s="380">
        <f t="shared" si="20"/>
        <v>0</v>
      </c>
      <c r="O422" s="381" t="str">
        <f>VLOOKUP(E422,'3A-Prestatie'!A:M,13,FALSE)</f>
        <v>V</v>
      </c>
      <c r="P422" s="382">
        <f>IF(R422="Niet van toepassing",0,VLOOKUP(E422,'3B-Prestaties vloeren'!$A$3:$D$24,IF(G422="Hard onbehandeld",2,IF(G422="Hard behandeld",3,4)),FALSE))</f>
        <v>4</v>
      </c>
      <c r="Q422" s="383">
        <f t="shared" si="19"/>
        <v>0</v>
      </c>
      <c r="R422" s="384" t="str">
        <f>IF(K422=0,"Niet van toepassing",IF(G422='3B-Prestaties vloeren'!$B$2,"Schrobben",IF(G422='3B-Prestaties vloeren'!$C$2,"Sprayen/conserveren",IF(G422='3B-Prestaties vloeren'!$D$2,"Sproei-extractie",0))))</f>
        <v>Schrobben</v>
      </c>
      <c r="S422" s="385">
        <f>IF('2-Tarieven'!$B$28=0,0,IF(M422=0,0,'2-Tarieven'!$B$28*M422))</f>
        <v>0</v>
      </c>
      <c r="T422" s="386">
        <f>IF(AND(COUNTBLANK('3B-Prestaties vloeren'!$F$3:$H$24)=0,COUNTBLANK('3B-Prestaties vloeren'!$L$3:$M$24)=0),IF(R422="Sprayen/conserveren",I422/VLOOKUP(E422,'3B-Prestaties vloeren'!$A$3:$M$24,12,FALSE),0)*(P422-1),0)</f>
        <v>0</v>
      </c>
      <c r="U422" s="386">
        <f>IF(AND(COUNTBLANK('3B-Prestaties vloeren'!$F$3:$H$24)=0,COUNTBLANK('3B-Prestaties vloeren'!$L$3:$M$24)=0),IF(R422="Sprayen/conserveren",I422/VLOOKUP(E422,'3B-Prestaties vloeren'!$A$3:$M$24,13,FALSE),0),0)</f>
        <v>0</v>
      </c>
      <c r="V422" s="386">
        <f>IF(AND(COUNTBLANK('3B-Prestaties vloeren'!$F$3:$H$24)=0,COUNTBLANK('3B-Prestaties vloeren'!$L$3:$M$24)=0),IF(R422="schrobben",I422/VLOOKUP(E422,'3B-Prestaties vloeren'!$A$3:$H$24,6,FALSE),0)*P422,0)</f>
        <v>0</v>
      </c>
      <c r="W422" s="386">
        <f>IF(AND(COUNTBLANK('3B-Prestaties vloeren'!$F$3:$H$24)=0,COUNTBLANK('3B-Prestaties vloeren'!$L$3:$M$24)=0),IF(R422="sproei-extractie",I422/VLOOKUP(E422,'3B-Prestaties vloeren'!$A$3:$H$24,8,FALSE),0)*P422,0)</f>
        <v>0</v>
      </c>
    </row>
    <row r="423" spans="1:23" ht="15" hidden="1">
      <c r="A423" s="378" t="s">
        <v>702</v>
      </c>
      <c r="B423" s="378" t="s">
        <v>719</v>
      </c>
      <c r="C423" s="378">
        <v>0</v>
      </c>
      <c r="D423" s="378" t="s">
        <v>328</v>
      </c>
      <c r="E423" s="378" t="s">
        <v>653</v>
      </c>
      <c r="F423" s="378" t="s">
        <v>647</v>
      </c>
      <c r="G423" s="378" t="str">
        <f>VLOOKUP(F423,'3B-Prestaties vloeren'!$A$28:$B$118,2,0)</f>
        <v>Hard onbehandeld</v>
      </c>
      <c r="H423" s="378"/>
      <c r="I423" s="378">
        <v>16</v>
      </c>
      <c r="J423" s="421" t="s">
        <v>511</v>
      </c>
      <c r="K423" s="426">
        <v>255</v>
      </c>
      <c r="L423" s="378">
        <f t="shared" si="18"/>
        <v>4080</v>
      </c>
      <c r="M423" s="380" t="str">
        <f>IF(K423=0,0,IF(COUNTBLANK('3A-Prestatie'!$B$2:$I$22)=0,L423/VLOOKUP(E423,'3A-Prestatie'!$A$1:$M$22,VLOOKUP(K423,'3A-Prestatie'!$A$28:$B$34,2,FALSE),FALSE),"3A prestatie invullen"))</f>
        <v>3A prestatie invullen</v>
      </c>
      <c r="N423" s="380">
        <f t="shared" si="20"/>
        <v>0</v>
      </c>
      <c r="O423" s="381" t="str">
        <f>VLOOKUP(E423,'3A-Prestatie'!A:M,13,FALSE)</f>
        <v>S</v>
      </c>
      <c r="P423" s="382">
        <f>IF(R423="Niet van toepassing",0,VLOOKUP(E423,'3B-Prestaties vloeren'!$A$3:$D$24,IF(G423="Hard onbehandeld",2,IF(G423="Hard behandeld",3,4)),FALSE))</f>
        <v>52</v>
      </c>
      <c r="Q423" s="383">
        <f t="shared" si="19"/>
        <v>0</v>
      </c>
      <c r="R423" s="384" t="str">
        <f>IF(K423=0,"Niet van toepassing",IF(G423='3B-Prestaties vloeren'!$B$2,"Schrobben",IF(G423='3B-Prestaties vloeren'!$C$2,"Sprayen/conserveren",IF(G423='3B-Prestaties vloeren'!$D$2,"Sproei-extractie",0))))</f>
        <v>Schrobben</v>
      </c>
      <c r="S423" s="385">
        <f>IF('2-Tarieven'!$B$28=0,0,IF(M423=0,0,'2-Tarieven'!$B$28*M423))</f>
        <v>0</v>
      </c>
      <c r="T423" s="386">
        <f>IF(AND(COUNTBLANK('3B-Prestaties vloeren'!$F$3:$H$24)=0,COUNTBLANK('3B-Prestaties vloeren'!$L$3:$M$24)=0),IF(R423="Sprayen/conserveren",I423/VLOOKUP(E423,'3B-Prestaties vloeren'!$A$3:$M$24,12,FALSE),0)*(P423-1),0)</f>
        <v>0</v>
      </c>
      <c r="U423" s="386">
        <f>IF(AND(COUNTBLANK('3B-Prestaties vloeren'!$F$3:$H$24)=0,COUNTBLANK('3B-Prestaties vloeren'!$L$3:$M$24)=0),IF(R423="Sprayen/conserveren",I423/VLOOKUP(E423,'3B-Prestaties vloeren'!$A$3:$M$24,13,FALSE),0),0)</f>
        <v>0</v>
      </c>
      <c r="V423" s="386">
        <f>IF(AND(COUNTBLANK('3B-Prestaties vloeren'!$F$3:$H$24)=0,COUNTBLANK('3B-Prestaties vloeren'!$L$3:$M$24)=0),IF(R423="schrobben",I423/VLOOKUP(E423,'3B-Prestaties vloeren'!$A$3:$H$24,6,FALSE),0)*P423,0)</f>
        <v>0</v>
      </c>
      <c r="W423" s="386">
        <f>IF(AND(COUNTBLANK('3B-Prestaties vloeren'!$F$3:$H$24)=0,COUNTBLANK('3B-Prestaties vloeren'!$L$3:$M$24)=0),IF(R423="sproei-extractie",I423/VLOOKUP(E423,'3B-Prestaties vloeren'!$A$3:$H$24,8,FALSE),0)*P423,0)</f>
        <v>0</v>
      </c>
    </row>
    <row r="424" spans="1:23" ht="15" hidden="1">
      <c r="A424" s="378" t="s">
        <v>702</v>
      </c>
      <c r="B424" s="378" t="s">
        <v>719</v>
      </c>
      <c r="C424" s="378">
        <v>0</v>
      </c>
      <c r="D424" s="378" t="s">
        <v>489</v>
      </c>
      <c r="E424" s="378" t="s">
        <v>1</v>
      </c>
      <c r="F424" s="378" t="s">
        <v>647</v>
      </c>
      <c r="G424" s="378" t="str">
        <f>VLOOKUP(F424,'3B-Prestaties vloeren'!$A$28:$B$118,2,0)</f>
        <v>Hard onbehandeld</v>
      </c>
      <c r="H424" s="378"/>
      <c r="I424" s="378">
        <v>18</v>
      </c>
      <c r="J424" s="421" t="s">
        <v>511</v>
      </c>
      <c r="K424" s="426">
        <v>255</v>
      </c>
      <c r="L424" s="378">
        <f t="shared" si="18"/>
        <v>4590</v>
      </c>
      <c r="M424" s="380" t="str">
        <f>IF(K424=0,0,IF(COUNTBLANK('3A-Prestatie'!$B$2:$I$22)=0,L424/VLOOKUP(E424,'3A-Prestatie'!$A$1:$M$22,VLOOKUP(K424,'3A-Prestatie'!$A$28:$B$34,2,FALSE),FALSE),"3A prestatie invullen"))</f>
        <v>3A prestatie invullen</v>
      </c>
      <c r="N424" s="380">
        <f t="shared" si="20"/>
        <v>0</v>
      </c>
      <c r="O424" s="381" t="str">
        <f>VLOOKUP(E424,'3A-Prestatie'!A:M,13,FALSE)</f>
        <v>S</v>
      </c>
      <c r="P424" s="382">
        <f>IF(R424="Niet van toepassing",0,VLOOKUP(E424,'3B-Prestaties vloeren'!$A$3:$D$24,IF(G424="Hard onbehandeld",2,IF(G424="Hard behandeld",3,4)),FALSE))</f>
        <v>255</v>
      </c>
      <c r="Q424" s="383">
        <f t="shared" si="19"/>
        <v>0</v>
      </c>
      <c r="R424" s="384" t="str">
        <f>IF(K424=0,"Niet van toepassing",IF(G424='3B-Prestaties vloeren'!$B$2,"Schrobben",IF(G424='3B-Prestaties vloeren'!$C$2,"Sprayen/conserveren",IF(G424='3B-Prestaties vloeren'!$D$2,"Sproei-extractie",0))))</f>
        <v>Schrobben</v>
      </c>
      <c r="S424" s="385">
        <f>IF('2-Tarieven'!$B$28=0,0,IF(M424=0,0,'2-Tarieven'!$B$28*M424))</f>
        <v>0</v>
      </c>
      <c r="T424" s="386">
        <f>IF(AND(COUNTBLANK('3B-Prestaties vloeren'!$F$3:$H$24)=0,COUNTBLANK('3B-Prestaties vloeren'!$L$3:$M$24)=0),IF(R424="Sprayen/conserveren",I424/VLOOKUP(E424,'3B-Prestaties vloeren'!$A$3:$M$24,12,FALSE),0)*(P424-1),0)</f>
        <v>0</v>
      </c>
      <c r="U424" s="386">
        <f>IF(AND(COUNTBLANK('3B-Prestaties vloeren'!$F$3:$H$24)=0,COUNTBLANK('3B-Prestaties vloeren'!$L$3:$M$24)=0),IF(R424="Sprayen/conserveren",I424/VLOOKUP(E424,'3B-Prestaties vloeren'!$A$3:$M$24,13,FALSE),0),0)</f>
        <v>0</v>
      </c>
      <c r="V424" s="386">
        <f>IF(AND(COUNTBLANK('3B-Prestaties vloeren'!$F$3:$H$24)=0,COUNTBLANK('3B-Prestaties vloeren'!$L$3:$M$24)=0),IF(R424="schrobben",I424/VLOOKUP(E424,'3B-Prestaties vloeren'!$A$3:$H$24,6,FALSE),0)*P424,0)</f>
        <v>0</v>
      </c>
      <c r="W424" s="386">
        <f>IF(AND(COUNTBLANK('3B-Prestaties vloeren'!$F$3:$H$24)=0,COUNTBLANK('3B-Prestaties vloeren'!$L$3:$M$24)=0),IF(R424="sproei-extractie",I424/VLOOKUP(E424,'3B-Prestaties vloeren'!$A$3:$H$24,8,FALSE),0)*P424,0)</f>
        <v>0</v>
      </c>
    </row>
    <row r="425" spans="1:23" ht="15" hidden="1">
      <c r="A425" s="378" t="s">
        <v>702</v>
      </c>
      <c r="B425" s="378" t="s">
        <v>719</v>
      </c>
      <c r="C425" s="378">
        <v>0</v>
      </c>
      <c r="D425" s="378" t="s">
        <v>493</v>
      </c>
      <c r="E425" s="378" t="s">
        <v>653</v>
      </c>
      <c r="F425" s="378" t="s">
        <v>647</v>
      </c>
      <c r="G425" s="378" t="str">
        <f>VLOOKUP(F425,'3B-Prestaties vloeren'!$A$28:$B$118,2,0)</f>
        <v>Hard onbehandeld</v>
      </c>
      <c r="H425" s="378" t="s">
        <v>330</v>
      </c>
      <c r="I425" s="378">
        <v>1.4</v>
      </c>
      <c r="J425" s="421" t="s">
        <v>511</v>
      </c>
      <c r="K425" s="426">
        <v>255</v>
      </c>
      <c r="L425" s="378">
        <f t="shared" si="18"/>
        <v>357</v>
      </c>
      <c r="M425" s="380" t="str">
        <f>IF(K425=0,0,IF(COUNTBLANK('3A-Prestatie'!$B$2:$I$22)=0,L425/VLOOKUP(E425,'3A-Prestatie'!$A$1:$M$22,VLOOKUP(K425,'3A-Prestatie'!$A$28:$B$34,2,FALSE),FALSE),"3A prestatie invullen"))</f>
        <v>3A prestatie invullen</v>
      </c>
      <c r="N425" s="380">
        <f t="shared" si="20"/>
        <v>0</v>
      </c>
      <c r="O425" s="381" t="str">
        <f>VLOOKUP(E425,'3A-Prestatie'!A:M,13,FALSE)</f>
        <v>S</v>
      </c>
      <c r="P425" s="382">
        <f>IF(R425="Niet van toepassing",0,VLOOKUP(E425,'3B-Prestaties vloeren'!$A$3:$D$24,IF(G425="Hard onbehandeld",2,IF(G425="Hard behandeld",3,4)),FALSE))</f>
        <v>52</v>
      </c>
      <c r="Q425" s="383">
        <f t="shared" si="19"/>
        <v>0</v>
      </c>
      <c r="R425" s="384" t="str">
        <f>IF(K425=0,"Niet van toepassing",IF(G425='3B-Prestaties vloeren'!$B$2,"Schrobben",IF(G425='3B-Prestaties vloeren'!$C$2,"Sprayen/conserveren",IF(G425='3B-Prestaties vloeren'!$D$2,"Sproei-extractie",0))))</f>
        <v>Schrobben</v>
      </c>
      <c r="S425" s="385">
        <f>IF('2-Tarieven'!$B$28=0,0,IF(M425=0,0,'2-Tarieven'!$B$28*M425))</f>
        <v>0</v>
      </c>
      <c r="T425" s="386">
        <f>IF(AND(COUNTBLANK('3B-Prestaties vloeren'!$F$3:$H$24)=0,COUNTBLANK('3B-Prestaties vloeren'!$L$3:$M$24)=0),IF(R425="Sprayen/conserveren",I425/VLOOKUP(E425,'3B-Prestaties vloeren'!$A$3:$M$24,12,FALSE),0)*(P425-1),0)</f>
        <v>0</v>
      </c>
      <c r="U425" s="386">
        <f>IF(AND(COUNTBLANK('3B-Prestaties vloeren'!$F$3:$H$24)=0,COUNTBLANK('3B-Prestaties vloeren'!$L$3:$M$24)=0),IF(R425="Sprayen/conserveren",I425/VLOOKUP(E425,'3B-Prestaties vloeren'!$A$3:$M$24,13,FALSE),0),0)</f>
        <v>0</v>
      </c>
      <c r="V425" s="386">
        <f>IF(AND(COUNTBLANK('3B-Prestaties vloeren'!$F$3:$H$24)=0,COUNTBLANK('3B-Prestaties vloeren'!$L$3:$M$24)=0),IF(R425="schrobben",I425/VLOOKUP(E425,'3B-Prestaties vloeren'!$A$3:$H$24,6,FALSE),0)*P425,0)</f>
        <v>0</v>
      </c>
      <c r="W425" s="386">
        <f>IF(AND(COUNTBLANK('3B-Prestaties vloeren'!$F$3:$H$24)=0,COUNTBLANK('3B-Prestaties vloeren'!$L$3:$M$24)=0),IF(R425="sproei-extractie",I425/VLOOKUP(E425,'3B-Prestaties vloeren'!$A$3:$H$24,8,FALSE),0)*P425,0)</f>
        <v>0</v>
      </c>
    </row>
    <row r="426" spans="1:23" ht="15" hidden="1">
      <c r="A426" s="378" t="s">
        <v>702</v>
      </c>
      <c r="B426" s="378" t="s">
        <v>719</v>
      </c>
      <c r="C426" s="378">
        <v>0</v>
      </c>
      <c r="D426" s="378" t="s">
        <v>329</v>
      </c>
      <c r="E426" s="378" t="s">
        <v>653</v>
      </c>
      <c r="F426" s="378" t="s">
        <v>647</v>
      </c>
      <c r="G426" s="378" t="str">
        <f>VLOOKUP(F426,'3B-Prestaties vloeren'!$A$28:$B$118,2,0)</f>
        <v>Hard onbehandeld</v>
      </c>
      <c r="H426" s="378" t="s">
        <v>330</v>
      </c>
      <c r="I426" s="378">
        <v>1.4</v>
      </c>
      <c r="J426" s="421" t="s">
        <v>511</v>
      </c>
      <c r="K426" s="426">
        <v>255</v>
      </c>
      <c r="L426" s="378">
        <f t="shared" si="18"/>
        <v>357</v>
      </c>
      <c r="M426" s="380" t="str">
        <f>IF(K426=0,0,IF(COUNTBLANK('3A-Prestatie'!$B$2:$I$22)=0,L426/VLOOKUP(E426,'3A-Prestatie'!$A$1:$M$22,VLOOKUP(K426,'3A-Prestatie'!$A$28:$B$34,2,FALSE),FALSE),"3A prestatie invullen"))</f>
        <v>3A prestatie invullen</v>
      </c>
      <c r="N426" s="380">
        <f t="shared" si="20"/>
        <v>0</v>
      </c>
      <c r="O426" s="381" t="str">
        <f>VLOOKUP(E426,'3A-Prestatie'!A:M,13,FALSE)</f>
        <v>S</v>
      </c>
      <c r="P426" s="382">
        <f>IF(R426="Niet van toepassing",0,VLOOKUP(E426,'3B-Prestaties vloeren'!$A$3:$D$24,IF(G426="Hard onbehandeld",2,IF(G426="Hard behandeld",3,4)),FALSE))</f>
        <v>52</v>
      </c>
      <c r="Q426" s="383">
        <f t="shared" si="19"/>
        <v>0</v>
      </c>
      <c r="R426" s="384" t="str">
        <f>IF(K426=0,"Niet van toepassing",IF(G426='3B-Prestaties vloeren'!$B$2,"Schrobben",IF(G426='3B-Prestaties vloeren'!$C$2,"Sprayen/conserveren",IF(G426='3B-Prestaties vloeren'!$D$2,"Sproei-extractie",0))))</f>
        <v>Schrobben</v>
      </c>
      <c r="S426" s="385">
        <f>IF('2-Tarieven'!$B$28=0,0,IF(M426=0,0,'2-Tarieven'!$B$28*M426))</f>
        <v>0</v>
      </c>
      <c r="T426" s="386">
        <f>IF(AND(COUNTBLANK('3B-Prestaties vloeren'!$F$3:$H$24)=0,COUNTBLANK('3B-Prestaties vloeren'!$L$3:$M$24)=0),IF(R426="Sprayen/conserveren",I426/VLOOKUP(E426,'3B-Prestaties vloeren'!$A$3:$M$24,12,FALSE),0)*(P426-1),0)</f>
        <v>0</v>
      </c>
      <c r="U426" s="386">
        <f>IF(AND(COUNTBLANK('3B-Prestaties vloeren'!$F$3:$H$24)=0,COUNTBLANK('3B-Prestaties vloeren'!$L$3:$M$24)=0),IF(R426="Sprayen/conserveren",I426/VLOOKUP(E426,'3B-Prestaties vloeren'!$A$3:$M$24,13,FALSE),0),0)</f>
        <v>0</v>
      </c>
      <c r="V426" s="386">
        <f>IF(AND(COUNTBLANK('3B-Prestaties vloeren'!$F$3:$H$24)=0,COUNTBLANK('3B-Prestaties vloeren'!$L$3:$M$24)=0),IF(R426="schrobben",I426/VLOOKUP(E426,'3B-Prestaties vloeren'!$A$3:$H$24,6,FALSE),0)*P426,0)</f>
        <v>0</v>
      </c>
      <c r="W426" s="386">
        <f>IF(AND(COUNTBLANK('3B-Prestaties vloeren'!$F$3:$H$24)=0,COUNTBLANK('3B-Prestaties vloeren'!$L$3:$M$24)=0),IF(R426="sproei-extractie",I426/VLOOKUP(E426,'3B-Prestaties vloeren'!$A$3:$H$24,8,FALSE),0)*P426,0)</f>
        <v>0</v>
      </c>
    </row>
    <row r="427" spans="1:23" ht="15" hidden="1">
      <c r="A427" s="378" t="s">
        <v>702</v>
      </c>
      <c r="B427" s="378" t="s">
        <v>719</v>
      </c>
      <c r="C427" s="378">
        <v>0</v>
      </c>
      <c r="D427" s="378" t="s">
        <v>490</v>
      </c>
      <c r="E427" s="378" t="s">
        <v>4</v>
      </c>
      <c r="F427" s="378" t="s">
        <v>647</v>
      </c>
      <c r="G427" s="378" t="str">
        <f>VLOOKUP(F427,'3B-Prestaties vloeren'!$A$28:$B$118,2,0)</f>
        <v>Hard onbehandeld</v>
      </c>
      <c r="H427" s="378"/>
      <c r="I427" s="378">
        <v>1.4</v>
      </c>
      <c r="J427" s="421" t="s">
        <v>511</v>
      </c>
      <c r="K427" s="426">
        <v>52</v>
      </c>
      <c r="L427" s="378">
        <f t="shared" si="18"/>
        <v>72.8</v>
      </c>
      <c r="M427" s="380" t="str">
        <f>IF(K427=0,0,IF(COUNTBLANK('3A-Prestatie'!$B$2:$I$22)=0,L427/VLOOKUP(E427,'3A-Prestatie'!$A$1:$M$22,VLOOKUP(K427,'3A-Prestatie'!$A$28:$B$34,2,FALSE),FALSE),"3A prestatie invullen"))</f>
        <v>3A prestatie invullen</v>
      </c>
      <c r="N427" s="380">
        <f t="shared" si="20"/>
        <v>0</v>
      </c>
      <c r="O427" s="381" t="str">
        <f>VLOOKUP(E427,'3A-Prestatie'!A:M,13,FALSE)</f>
        <v>S</v>
      </c>
      <c r="P427" s="382">
        <v>12</v>
      </c>
      <c r="Q427" s="383">
        <f t="shared" si="19"/>
        <v>0</v>
      </c>
      <c r="R427" s="384" t="str">
        <f>IF(K427=0,"Niet van toepassing",IF(G427='3B-Prestaties vloeren'!$B$2,"Schrobben",IF(G427='3B-Prestaties vloeren'!$C$2,"Sprayen/conserveren",IF(G427='3B-Prestaties vloeren'!$D$2,"Sproei-extractie",0))))</f>
        <v>Schrobben</v>
      </c>
      <c r="S427" s="385">
        <f>IF('2-Tarieven'!$B$28=0,0,IF(M427=0,0,'2-Tarieven'!$B$28*M427))</f>
        <v>0</v>
      </c>
      <c r="T427" s="386">
        <f>IF(AND(COUNTBLANK('3B-Prestaties vloeren'!$F$3:$H$24)=0,COUNTBLANK('3B-Prestaties vloeren'!$L$3:$M$24)=0),IF(R427="Sprayen/conserveren",I427/VLOOKUP(E427,'3B-Prestaties vloeren'!$A$3:$M$24,12,FALSE),0)*(P427-1),0)</f>
        <v>0</v>
      </c>
      <c r="U427" s="386">
        <f>IF(AND(COUNTBLANK('3B-Prestaties vloeren'!$F$3:$H$24)=0,COUNTBLANK('3B-Prestaties vloeren'!$L$3:$M$24)=0),IF(R427="Sprayen/conserveren",I427/VLOOKUP(E427,'3B-Prestaties vloeren'!$A$3:$M$24,13,FALSE),0),0)</f>
        <v>0</v>
      </c>
      <c r="V427" s="386">
        <f>IF(AND(COUNTBLANK('3B-Prestaties vloeren'!$F$3:$H$24)=0,COUNTBLANK('3B-Prestaties vloeren'!$L$3:$M$24)=0),IF(R427="schrobben",I427/VLOOKUP(E427,'3B-Prestaties vloeren'!$A$3:$H$24,6,FALSE),0)*P427,0)</f>
        <v>0</v>
      </c>
      <c r="W427" s="386">
        <f>IF(AND(COUNTBLANK('3B-Prestaties vloeren'!$F$3:$H$24)=0,COUNTBLANK('3B-Prestaties vloeren'!$L$3:$M$24)=0),IF(R427="sproei-extractie",I427/VLOOKUP(E427,'3B-Prestaties vloeren'!$A$3:$H$24,8,FALSE),0)*P427,0)</f>
        <v>0</v>
      </c>
    </row>
    <row r="428" spans="1:23" ht="15" hidden="1">
      <c r="A428" s="378" t="s">
        <v>702</v>
      </c>
      <c r="B428" s="378" t="s">
        <v>719</v>
      </c>
      <c r="C428" s="378">
        <v>0</v>
      </c>
      <c r="D428" s="378" t="s">
        <v>491</v>
      </c>
      <c r="E428" s="378" t="s">
        <v>653</v>
      </c>
      <c r="F428" s="378" t="s">
        <v>647</v>
      </c>
      <c r="G428" s="378" t="str">
        <f>VLOOKUP(F428,'3B-Prestaties vloeren'!$A$28:$B$118,2,0)</f>
        <v>Hard onbehandeld</v>
      </c>
      <c r="H428" s="378"/>
      <c r="I428" s="378">
        <v>6.2</v>
      </c>
      <c r="J428" s="421" t="s">
        <v>511</v>
      </c>
      <c r="K428" s="426">
        <v>255</v>
      </c>
      <c r="L428" s="378">
        <f t="shared" si="18"/>
        <v>1581</v>
      </c>
      <c r="M428" s="380" t="str">
        <f>IF(K428=0,0,IF(COUNTBLANK('3A-Prestatie'!$B$2:$I$22)=0,L428/VLOOKUP(E428,'3A-Prestatie'!$A$1:$M$22,VLOOKUP(K428,'3A-Prestatie'!$A$28:$B$34,2,FALSE),FALSE),"3A prestatie invullen"))</f>
        <v>3A prestatie invullen</v>
      </c>
      <c r="N428" s="380">
        <f t="shared" si="20"/>
        <v>0</v>
      </c>
      <c r="O428" s="381" t="str">
        <f>VLOOKUP(E428,'3A-Prestatie'!A:M,13,FALSE)</f>
        <v>S</v>
      </c>
      <c r="P428" s="382">
        <f>IF(R428="Niet van toepassing",0,VLOOKUP(E428,'3B-Prestaties vloeren'!$A$3:$D$24,IF(G428="Hard onbehandeld",2,IF(G428="Hard behandeld",3,4)),FALSE))</f>
        <v>52</v>
      </c>
      <c r="Q428" s="383">
        <f t="shared" si="19"/>
        <v>0</v>
      </c>
      <c r="R428" s="384" t="str">
        <f>IF(K428=0,"Niet van toepassing",IF(G428='3B-Prestaties vloeren'!$B$2,"Schrobben",IF(G428='3B-Prestaties vloeren'!$C$2,"Sprayen/conserveren",IF(G428='3B-Prestaties vloeren'!$D$2,"Sproei-extractie",0))))</f>
        <v>Schrobben</v>
      </c>
      <c r="S428" s="385">
        <f>IF('2-Tarieven'!$B$28=0,0,IF(M428=0,0,'2-Tarieven'!$B$28*M428))</f>
        <v>0</v>
      </c>
      <c r="T428" s="386">
        <f>IF(AND(COUNTBLANK('3B-Prestaties vloeren'!$F$3:$H$24)=0,COUNTBLANK('3B-Prestaties vloeren'!$L$3:$M$24)=0),IF(R428="Sprayen/conserveren",I428/VLOOKUP(E428,'3B-Prestaties vloeren'!$A$3:$M$24,12,FALSE),0)*(P428-1),0)</f>
        <v>0</v>
      </c>
      <c r="U428" s="386">
        <f>IF(AND(COUNTBLANK('3B-Prestaties vloeren'!$F$3:$H$24)=0,COUNTBLANK('3B-Prestaties vloeren'!$L$3:$M$24)=0),IF(R428="Sprayen/conserveren",I428/VLOOKUP(E428,'3B-Prestaties vloeren'!$A$3:$M$24,13,FALSE),0),0)</f>
        <v>0</v>
      </c>
      <c r="V428" s="386">
        <f>IF(AND(COUNTBLANK('3B-Prestaties vloeren'!$F$3:$H$24)=0,COUNTBLANK('3B-Prestaties vloeren'!$L$3:$M$24)=0),IF(R428="schrobben",I428/VLOOKUP(E428,'3B-Prestaties vloeren'!$A$3:$H$24,6,FALSE),0)*P428,0)</f>
        <v>0</v>
      </c>
      <c r="W428" s="386">
        <f>IF(AND(COUNTBLANK('3B-Prestaties vloeren'!$F$3:$H$24)=0,COUNTBLANK('3B-Prestaties vloeren'!$L$3:$M$24)=0),IF(R428="sproei-extractie",I428/VLOOKUP(E428,'3B-Prestaties vloeren'!$A$3:$H$24,8,FALSE),0)*P428,0)</f>
        <v>0</v>
      </c>
    </row>
    <row r="429" spans="1:23" ht="15" hidden="1">
      <c r="A429" s="378" t="s">
        <v>702</v>
      </c>
      <c r="B429" s="378" t="s">
        <v>719</v>
      </c>
      <c r="C429" s="378">
        <v>0</v>
      </c>
      <c r="D429" s="378" t="s">
        <v>492</v>
      </c>
      <c r="E429" s="378" t="s">
        <v>4</v>
      </c>
      <c r="F429" s="378" t="s">
        <v>647</v>
      </c>
      <c r="G429" s="378" t="str">
        <f>VLOOKUP(F429,'3B-Prestaties vloeren'!$A$28:$B$118,2,0)</f>
        <v>Hard onbehandeld</v>
      </c>
      <c r="H429" s="378"/>
      <c r="I429" s="378">
        <v>1.4</v>
      </c>
      <c r="J429" s="421" t="s">
        <v>511</v>
      </c>
      <c r="K429" s="426">
        <v>52</v>
      </c>
      <c r="L429" s="378">
        <f t="shared" si="18"/>
        <v>72.8</v>
      </c>
      <c r="M429" s="380" t="str">
        <f>IF(K429=0,0,IF(COUNTBLANK('3A-Prestatie'!$B$2:$I$22)=0,L429/VLOOKUP(E429,'3A-Prestatie'!$A$1:$M$22,VLOOKUP(K429,'3A-Prestatie'!$A$28:$B$34,2,FALSE),FALSE),"3A prestatie invullen"))</f>
        <v>3A prestatie invullen</v>
      </c>
      <c r="N429" s="380">
        <f t="shared" si="20"/>
        <v>0</v>
      </c>
      <c r="O429" s="381" t="str">
        <f>VLOOKUP(E429,'3A-Prestatie'!A:M,13,FALSE)</f>
        <v>S</v>
      </c>
      <c r="P429" s="382">
        <v>12</v>
      </c>
      <c r="Q429" s="383">
        <f t="shared" si="19"/>
        <v>0</v>
      </c>
      <c r="R429" s="384" t="str">
        <f>IF(K429=0,"Niet van toepassing",IF(G429='3B-Prestaties vloeren'!$B$2,"Schrobben",IF(G429='3B-Prestaties vloeren'!$C$2,"Sprayen/conserveren",IF(G429='3B-Prestaties vloeren'!$D$2,"Sproei-extractie",0))))</f>
        <v>Schrobben</v>
      </c>
      <c r="S429" s="385">
        <f>IF('2-Tarieven'!$B$28=0,0,IF(M429=0,0,'2-Tarieven'!$B$28*M429))</f>
        <v>0</v>
      </c>
      <c r="T429" s="386">
        <f>IF(AND(COUNTBLANK('3B-Prestaties vloeren'!$F$3:$H$24)=0,COUNTBLANK('3B-Prestaties vloeren'!$L$3:$M$24)=0),IF(R429="Sprayen/conserveren",I429/VLOOKUP(E429,'3B-Prestaties vloeren'!$A$3:$M$24,12,FALSE),0)*(P429-1),0)</f>
        <v>0</v>
      </c>
      <c r="U429" s="386">
        <f>IF(AND(COUNTBLANK('3B-Prestaties vloeren'!$F$3:$H$24)=0,COUNTBLANK('3B-Prestaties vloeren'!$L$3:$M$24)=0),IF(R429="Sprayen/conserveren",I429/VLOOKUP(E429,'3B-Prestaties vloeren'!$A$3:$M$24,13,FALSE),0),0)</f>
        <v>0</v>
      </c>
      <c r="V429" s="386">
        <f>IF(AND(COUNTBLANK('3B-Prestaties vloeren'!$F$3:$H$24)=0,COUNTBLANK('3B-Prestaties vloeren'!$L$3:$M$24)=0),IF(R429="schrobben",I429/VLOOKUP(E429,'3B-Prestaties vloeren'!$A$3:$H$24,6,FALSE),0)*P429,0)</f>
        <v>0</v>
      </c>
      <c r="W429" s="386">
        <f>IF(AND(COUNTBLANK('3B-Prestaties vloeren'!$F$3:$H$24)=0,COUNTBLANK('3B-Prestaties vloeren'!$L$3:$M$24)=0),IF(R429="sproei-extractie",I429/VLOOKUP(E429,'3B-Prestaties vloeren'!$A$3:$H$24,8,FALSE),0)*P429,0)</f>
        <v>0</v>
      </c>
    </row>
    <row r="430" spans="1:23" ht="15" hidden="1">
      <c r="A430" s="378" t="s">
        <v>702</v>
      </c>
      <c r="B430" s="378" t="s">
        <v>719</v>
      </c>
      <c r="C430" s="378">
        <v>0</v>
      </c>
      <c r="D430" s="378" t="s">
        <v>494</v>
      </c>
      <c r="E430" s="378" t="s">
        <v>653</v>
      </c>
      <c r="F430" s="378" t="s">
        <v>647</v>
      </c>
      <c r="G430" s="378" t="str">
        <f>VLOOKUP(F430,'3B-Prestaties vloeren'!$A$28:$B$118,2,0)</f>
        <v>Hard onbehandeld</v>
      </c>
      <c r="H430" s="378" t="s">
        <v>330</v>
      </c>
      <c r="I430" s="378">
        <v>1.4</v>
      </c>
      <c r="J430" s="421" t="s">
        <v>511</v>
      </c>
      <c r="K430" s="426">
        <v>255</v>
      </c>
      <c r="L430" s="378">
        <f t="shared" si="18"/>
        <v>357</v>
      </c>
      <c r="M430" s="380" t="str">
        <f>IF(K430=0,0,IF(COUNTBLANK('3A-Prestatie'!$B$2:$I$22)=0,L430/VLOOKUP(E430,'3A-Prestatie'!$A$1:$M$22,VLOOKUP(K430,'3A-Prestatie'!$A$28:$B$34,2,FALSE),FALSE),"3A prestatie invullen"))</f>
        <v>3A prestatie invullen</v>
      </c>
      <c r="N430" s="380">
        <f t="shared" si="20"/>
        <v>0</v>
      </c>
      <c r="O430" s="381" t="str">
        <f>VLOOKUP(E430,'3A-Prestatie'!A:M,13,FALSE)</f>
        <v>S</v>
      </c>
      <c r="P430" s="382">
        <f>IF(R430="Niet van toepassing",0,VLOOKUP(E430,'3B-Prestaties vloeren'!$A$3:$D$24,IF(G430="Hard onbehandeld",2,IF(G430="Hard behandeld",3,4)),FALSE))</f>
        <v>52</v>
      </c>
      <c r="Q430" s="383">
        <f t="shared" si="19"/>
        <v>0</v>
      </c>
      <c r="R430" s="384" t="str">
        <f>IF(K430=0,"Niet van toepassing",IF(G430='3B-Prestaties vloeren'!$B$2,"Schrobben",IF(G430='3B-Prestaties vloeren'!$C$2,"Sprayen/conserveren",IF(G430='3B-Prestaties vloeren'!$D$2,"Sproei-extractie",0))))</f>
        <v>Schrobben</v>
      </c>
      <c r="S430" s="385">
        <f>IF('2-Tarieven'!$B$28=0,0,IF(M430=0,0,'2-Tarieven'!$B$28*M430))</f>
        <v>0</v>
      </c>
      <c r="T430" s="386">
        <f>IF(AND(COUNTBLANK('3B-Prestaties vloeren'!$F$3:$H$24)=0,COUNTBLANK('3B-Prestaties vloeren'!$L$3:$M$24)=0),IF(R430="Sprayen/conserveren",I430/VLOOKUP(E430,'3B-Prestaties vloeren'!$A$3:$M$24,12,FALSE),0)*(P430-1),0)</f>
        <v>0</v>
      </c>
      <c r="U430" s="386">
        <f>IF(AND(COUNTBLANK('3B-Prestaties vloeren'!$F$3:$H$24)=0,COUNTBLANK('3B-Prestaties vloeren'!$L$3:$M$24)=0),IF(R430="Sprayen/conserveren",I430/VLOOKUP(E430,'3B-Prestaties vloeren'!$A$3:$M$24,13,FALSE),0),0)</f>
        <v>0</v>
      </c>
      <c r="V430" s="386">
        <f>IF(AND(COUNTBLANK('3B-Prestaties vloeren'!$F$3:$H$24)=0,COUNTBLANK('3B-Prestaties vloeren'!$L$3:$M$24)=0),IF(R430="schrobben",I430/VLOOKUP(E430,'3B-Prestaties vloeren'!$A$3:$H$24,6,FALSE),0)*P430,0)</f>
        <v>0</v>
      </c>
      <c r="W430" s="386">
        <f>IF(AND(COUNTBLANK('3B-Prestaties vloeren'!$F$3:$H$24)=0,COUNTBLANK('3B-Prestaties vloeren'!$L$3:$M$24)=0),IF(R430="sproei-extractie",I430/VLOOKUP(E430,'3B-Prestaties vloeren'!$A$3:$H$24,8,FALSE),0)*P430,0)</f>
        <v>0</v>
      </c>
    </row>
    <row r="431" spans="1:23" ht="15" hidden="1">
      <c r="A431" s="378" t="s">
        <v>702</v>
      </c>
      <c r="B431" s="378" t="s">
        <v>719</v>
      </c>
      <c r="C431" s="378">
        <v>0</v>
      </c>
      <c r="D431" s="378" t="s">
        <v>331</v>
      </c>
      <c r="E431" s="378" t="s">
        <v>302</v>
      </c>
      <c r="F431" s="378" t="s">
        <v>647</v>
      </c>
      <c r="G431" s="378" t="str">
        <f>VLOOKUP(F431,'3B-Prestaties vloeren'!$A$28:$B$118,2,0)</f>
        <v>Hard onbehandeld</v>
      </c>
      <c r="H431" s="378" t="s">
        <v>723</v>
      </c>
      <c r="I431" s="378">
        <v>0.6</v>
      </c>
      <c r="J431" s="419"/>
      <c r="K431" s="426">
        <v>0</v>
      </c>
      <c r="L431" s="378">
        <f t="shared" si="18"/>
        <v>0</v>
      </c>
      <c r="M431" s="380">
        <f>IF(K431=0,0,IF(COUNTBLANK('3A-Prestatie'!$B$2:$I$22)=0,L431/VLOOKUP(E431,'3A-Prestatie'!$A$1:$M$22,VLOOKUP(K431,'3A-Prestatie'!$A$28:$B$34,2,FALSE),FALSE),"3A prestatie invullen"))</f>
        <v>0</v>
      </c>
      <c r="N431" s="380">
        <f t="shared" si="20"/>
        <v>0</v>
      </c>
      <c r="O431" s="381" t="str">
        <f>VLOOKUP(E431,'3A-Prestatie'!A:M,13,FALSE)</f>
        <v>S</v>
      </c>
      <c r="P431" s="382">
        <f>IF(R431="Niet van toepassing",0,VLOOKUP(E431,'3B-Prestaties vloeren'!$A$3:$D$24,IF(G431="Hard onbehandeld",2,IF(G431="Hard behandeld",3,4)),FALSE))</f>
        <v>0</v>
      </c>
      <c r="Q431" s="383">
        <f t="shared" si="19"/>
        <v>0</v>
      </c>
      <c r="R431" s="384" t="str">
        <f>IF(K431=0,"Niet van toepassing",IF(G431='3B-Prestaties vloeren'!$B$2,"Schrobben",IF(G431='3B-Prestaties vloeren'!$C$2,"Sprayen/conserveren",IF(G431='3B-Prestaties vloeren'!$D$2,"Sproei-extractie",0))))</f>
        <v>Niet van toepassing</v>
      </c>
      <c r="S431" s="385">
        <f>IF('2-Tarieven'!$B$28=0,0,IF(M431=0,0,'2-Tarieven'!$B$28*M431))</f>
        <v>0</v>
      </c>
      <c r="T431" s="386">
        <f>IF(AND(COUNTBLANK('3B-Prestaties vloeren'!$F$3:$H$24)=0,COUNTBLANK('3B-Prestaties vloeren'!$L$3:$M$24)=0),IF(R431="Sprayen/conserveren",I431/VLOOKUP(E431,'3B-Prestaties vloeren'!$A$3:$M$24,12,FALSE),0)*(P431-1),0)</f>
        <v>0</v>
      </c>
      <c r="U431" s="386">
        <f>IF(AND(COUNTBLANK('3B-Prestaties vloeren'!$F$3:$H$24)=0,COUNTBLANK('3B-Prestaties vloeren'!$L$3:$M$24)=0),IF(R431="Sprayen/conserveren",I431/VLOOKUP(E431,'3B-Prestaties vloeren'!$A$3:$M$24,13,FALSE),0),0)</f>
        <v>0</v>
      </c>
      <c r="V431" s="386">
        <f>IF(AND(COUNTBLANK('3B-Prestaties vloeren'!$F$3:$H$24)=0,COUNTBLANK('3B-Prestaties vloeren'!$L$3:$M$24)=0),IF(R431="schrobben",I431/VLOOKUP(E431,'3B-Prestaties vloeren'!$A$3:$H$24,6,FALSE),0)*P431,0)</f>
        <v>0</v>
      </c>
      <c r="W431" s="386">
        <f>IF(AND(COUNTBLANK('3B-Prestaties vloeren'!$F$3:$H$24)=0,COUNTBLANK('3B-Prestaties vloeren'!$L$3:$M$24)=0),IF(R431="sproei-extractie",I431/VLOOKUP(E431,'3B-Prestaties vloeren'!$A$3:$H$24,8,FALSE),0)*P431,0)</f>
        <v>0</v>
      </c>
    </row>
    <row r="432" spans="1:23" ht="15" hidden="1">
      <c r="A432" s="378" t="s">
        <v>702</v>
      </c>
      <c r="B432" s="378" t="s">
        <v>719</v>
      </c>
      <c r="C432" s="378">
        <v>0</v>
      </c>
      <c r="D432" s="378" t="s">
        <v>332</v>
      </c>
      <c r="E432" s="378" t="s">
        <v>341</v>
      </c>
      <c r="F432" s="378" t="s">
        <v>64</v>
      </c>
      <c r="G432" s="378" t="str">
        <f>VLOOKUP(F432,'3B-Prestaties vloeren'!$A$28:$B$118,2,0)</f>
        <v>Hard behandeld</v>
      </c>
      <c r="H432" s="378" t="s">
        <v>341</v>
      </c>
      <c r="I432" s="378">
        <v>17.5</v>
      </c>
      <c r="J432" s="422"/>
      <c r="K432" s="426">
        <v>52</v>
      </c>
      <c r="L432" s="378">
        <f t="shared" si="18"/>
        <v>910</v>
      </c>
      <c r="M432" s="380" t="str">
        <f>IF(K432=0,0,IF(COUNTBLANK('3A-Prestatie'!$B$2:$I$22)=0,L432/VLOOKUP(E432,'3A-Prestatie'!$A$1:$M$22,VLOOKUP(K432,'3A-Prestatie'!$A$28:$B$34,2,FALSE),FALSE),"3A prestatie invullen"))</f>
        <v>3A prestatie invullen</v>
      </c>
      <c r="N432" s="380">
        <f t="shared" si="20"/>
        <v>0</v>
      </c>
      <c r="O432" s="381" t="str">
        <f>VLOOKUP(E432,'3A-Prestatie'!A:M,13,FALSE)</f>
        <v>V</v>
      </c>
      <c r="P432" s="382">
        <f>IF(R432="Niet van toepassing",0,VLOOKUP(E432,'3B-Prestaties vloeren'!$A$3:$D$24,IF(G432="Hard onbehandeld",2,IF(G432="Hard behandeld",3,4)),FALSE))</f>
        <v>4</v>
      </c>
      <c r="Q432" s="383">
        <f t="shared" si="19"/>
        <v>0</v>
      </c>
      <c r="R432" s="384" t="str">
        <f>IF(K432=0,"Niet van toepassing",IF(G432='3B-Prestaties vloeren'!$B$2,"Schrobben",IF(G432='3B-Prestaties vloeren'!$C$2,"Sprayen/conserveren",IF(G432='3B-Prestaties vloeren'!$D$2,"Sproei-extractie",0))))</f>
        <v>Sprayen/conserveren</v>
      </c>
      <c r="S432" s="385">
        <f>IF('2-Tarieven'!$B$28=0,0,IF(M432=0,0,'2-Tarieven'!$B$28*M432))</f>
        <v>0</v>
      </c>
      <c r="T432" s="386">
        <f>IF(AND(COUNTBLANK('3B-Prestaties vloeren'!$F$3:$H$24)=0,COUNTBLANK('3B-Prestaties vloeren'!$L$3:$M$24)=0),IF(R432="Sprayen/conserveren",I432/VLOOKUP(E432,'3B-Prestaties vloeren'!$A$3:$M$24,12,FALSE),0)*(P432-1),0)</f>
        <v>0</v>
      </c>
      <c r="U432" s="386">
        <f>IF(AND(COUNTBLANK('3B-Prestaties vloeren'!$F$3:$H$24)=0,COUNTBLANK('3B-Prestaties vloeren'!$L$3:$M$24)=0),IF(R432="Sprayen/conserveren",I432/VLOOKUP(E432,'3B-Prestaties vloeren'!$A$3:$M$24,13,FALSE),0),0)</f>
        <v>0</v>
      </c>
      <c r="V432" s="386">
        <f>IF(AND(COUNTBLANK('3B-Prestaties vloeren'!$F$3:$H$24)=0,COUNTBLANK('3B-Prestaties vloeren'!$L$3:$M$24)=0),IF(R432="schrobben",I432/VLOOKUP(E432,'3B-Prestaties vloeren'!$A$3:$H$24,6,FALSE),0)*P432,0)</f>
        <v>0</v>
      </c>
      <c r="W432" s="386">
        <f>IF(AND(COUNTBLANK('3B-Prestaties vloeren'!$F$3:$H$24)=0,COUNTBLANK('3B-Prestaties vloeren'!$L$3:$M$24)=0),IF(R432="sproei-extractie",I432/VLOOKUP(E432,'3B-Prestaties vloeren'!$A$3:$H$24,8,FALSE),0)*P432,0)</f>
        <v>0</v>
      </c>
    </row>
    <row r="433" spans="1:23" ht="15" hidden="1">
      <c r="A433" s="378" t="s">
        <v>702</v>
      </c>
      <c r="B433" s="378" t="s">
        <v>719</v>
      </c>
      <c r="C433" s="378">
        <v>0</v>
      </c>
      <c r="D433" s="378" t="s">
        <v>333</v>
      </c>
      <c r="E433" s="378" t="s">
        <v>728</v>
      </c>
      <c r="F433" s="378" t="s">
        <v>64</v>
      </c>
      <c r="G433" s="378" t="str">
        <f>VLOOKUP(F433,'3B-Prestaties vloeren'!$A$28:$B$118,2,0)</f>
        <v>Hard behandeld</v>
      </c>
      <c r="H433" s="378" t="s">
        <v>724</v>
      </c>
      <c r="I433" s="378">
        <v>11.9</v>
      </c>
      <c r="J433" s="419"/>
      <c r="K433" s="426">
        <v>0</v>
      </c>
      <c r="L433" s="378">
        <f t="shared" si="18"/>
        <v>0</v>
      </c>
      <c r="M433" s="380">
        <f>IF(K433=0,0,IF(COUNTBLANK('3A-Prestatie'!$B$2:$I$22)=0,L433/VLOOKUP(E433,'3A-Prestatie'!$A$1:$M$22,VLOOKUP(K433,'3A-Prestatie'!$A$28:$B$34,2,FALSE),FALSE),"3A prestatie invullen"))</f>
        <v>0</v>
      </c>
      <c r="N433" s="380">
        <f t="shared" si="20"/>
        <v>0</v>
      </c>
      <c r="O433" s="381" t="str">
        <f>VLOOKUP(E433,'3A-Prestatie'!A:M,13,FALSE)</f>
        <v>N.v.t.</v>
      </c>
      <c r="P433" s="382">
        <f>IF(R433="Niet van toepassing",0,VLOOKUP(E433,'3B-Prestaties vloeren'!$A$3:$D$24,IF(G433="Hard onbehandeld",2,IF(G433="Hard behandeld",3,4)),FALSE))</f>
        <v>0</v>
      </c>
      <c r="Q433" s="383">
        <f t="shared" si="19"/>
        <v>0</v>
      </c>
      <c r="R433" s="384" t="str">
        <f>IF(K433=0,"Niet van toepassing",IF(G433='3B-Prestaties vloeren'!$B$2,"Schrobben",IF(G433='3B-Prestaties vloeren'!$C$2,"Sprayen/conserveren",IF(G433='3B-Prestaties vloeren'!$D$2,"Sproei-extractie",0))))</f>
        <v>Niet van toepassing</v>
      </c>
      <c r="S433" s="385">
        <f>IF('2-Tarieven'!$B$28=0,0,IF(M433=0,0,'2-Tarieven'!$B$28*M433))</f>
        <v>0</v>
      </c>
      <c r="T433" s="386">
        <f>IF(AND(COUNTBLANK('3B-Prestaties vloeren'!$F$3:$H$24)=0,COUNTBLANK('3B-Prestaties vloeren'!$L$3:$M$24)=0),IF(R433="Sprayen/conserveren",I433/VLOOKUP(E433,'3B-Prestaties vloeren'!$A$3:$M$24,12,FALSE),0)*(P433-1),0)</f>
        <v>0</v>
      </c>
      <c r="U433" s="386">
        <f>IF(AND(COUNTBLANK('3B-Prestaties vloeren'!$F$3:$H$24)=0,COUNTBLANK('3B-Prestaties vloeren'!$L$3:$M$24)=0),IF(R433="Sprayen/conserveren",I433/VLOOKUP(E433,'3B-Prestaties vloeren'!$A$3:$M$24,13,FALSE),0),0)</f>
        <v>0</v>
      </c>
      <c r="V433" s="386">
        <f>IF(AND(COUNTBLANK('3B-Prestaties vloeren'!$F$3:$H$24)=0,COUNTBLANK('3B-Prestaties vloeren'!$L$3:$M$24)=0),IF(R433="schrobben",I433/VLOOKUP(E433,'3B-Prestaties vloeren'!$A$3:$H$24,6,FALSE),0)*P433,0)</f>
        <v>0</v>
      </c>
      <c r="W433" s="386">
        <f>IF(AND(COUNTBLANK('3B-Prestaties vloeren'!$F$3:$H$24)=0,COUNTBLANK('3B-Prestaties vloeren'!$L$3:$M$24)=0),IF(R433="sproei-extractie",I433/VLOOKUP(E433,'3B-Prestaties vloeren'!$A$3:$H$24,8,FALSE),0)*P433,0)</f>
        <v>0</v>
      </c>
    </row>
    <row r="434" spans="1:23" ht="15" hidden="1">
      <c r="A434" s="378" t="s">
        <v>702</v>
      </c>
      <c r="B434" s="378" t="s">
        <v>719</v>
      </c>
      <c r="C434" s="378">
        <v>1</v>
      </c>
      <c r="D434" s="378" t="s">
        <v>336</v>
      </c>
      <c r="E434" s="378" t="s">
        <v>728</v>
      </c>
      <c r="F434" s="378" t="s">
        <v>648</v>
      </c>
      <c r="G434" s="378" t="str">
        <f>VLOOKUP(F434,'3B-Prestaties vloeren'!$A$28:$B$118,2,0)</f>
        <v>Hard onbehandeld</v>
      </c>
      <c r="H434" s="378" t="s">
        <v>283</v>
      </c>
      <c r="I434" s="378">
        <v>76</v>
      </c>
      <c r="J434" s="419"/>
      <c r="K434" s="426">
        <v>0</v>
      </c>
      <c r="L434" s="378">
        <f t="shared" si="18"/>
        <v>0</v>
      </c>
      <c r="M434" s="380">
        <f>IF(K434=0,0,IF(COUNTBLANK('3A-Prestatie'!$B$2:$I$22)=0,L434/VLOOKUP(E434,'3A-Prestatie'!$A$1:$M$22,VLOOKUP(K434,'3A-Prestatie'!$A$28:$B$34,2,FALSE),FALSE),"3A prestatie invullen"))</f>
        <v>0</v>
      </c>
      <c r="N434" s="380">
        <f t="shared" si="20"/>
        <v>0</v>
      </c>
      <c r="O434" s="381" t="str">
        <f>VLOOKUP(E434,'3A-Prestatie'!A:M,13,FALSE)</f>
        <v>N.v.t.</v>
      </c>
      <c r="P434" s="382">
        <f>IF(R434="Niet van toepassing",0,VLOOKUP(E434,'3B-Prestaties vloeren'!$A$3:$D$24,IF(G434="Hard onbehandeld",2,IF(G434="Hard behandeld",3,4)),FALSE))</f>
        <v>0</v>
      </c>
      <c r="Q434" s="383">
        <f t="shared" si="19"/>
        <v>0</v>
      </c>
      <c r="R434" s="384" t="str">
        <f>IF(K434=0,"Niet van toepassing",IF(G434='3B-Prestaties vloeren'!$B$2,"Schrobben",IF(G434='3B-Prestaties vloeren'!$C$2,"Sprayen/conserveren",IF(G434='3B-Prestaties vloeren'!$D$2,"Sproei-extractie",0))))</f>
        <v>Niet van toepassing</v>
      </c>
      <c r="S434" s="385">
        <f>IF('2-Tarieven'!$B$28=0,0,IF(M434=0,0,'2-Tarieven'!$B$28*M434))</f>
        <v>0</v>
      </c>
      <c r="T434" s="386">
        <f>IF(AND(COUNTBLANK('3B-Prestaties vloeren'!$F$3:$H$24)=0,COUNTBLANK('3B-Prestaties vloeren'!$L$3:$M$24)=0),IF(R434="Sprayen/conserveren",I434/VLOOKUP(E434,'3B-Prestaties vloeren'!$A$3:$M$24,12,FALSE),0)*(P434-1),0)</f>
        <v>0</v>
      </c>
      <c r="U434" s="386">
        <f>IF(AND(COUNTBLANK('3B-Prestaties vloeren'!$F$3:$H$24)=0,COUNTBLANK('3B-Prestaties vloeren'!$L$3:$M$24)=0),IF(R434="Sprayen/conserveren",I434/VLOOKUP(E434,'3B-Prestaties vloeren'!$A$3:$M$24,13,FALSE),0),0)</f>
        <v>0</v>
      </c>
      <c r="V434" s="386">
        <f>IF(AND(COUNTBLANK('3B-Prestaties vloeren'!$F$3:$H$24)=0,COUNTBLANK('3B-Prestaties vloeren'!$L$3:$M$24)=0),IF(R434="schrobben",I434/VLOOKUP(E434,'3B-Prestaties vloeren'!$A$3:$H$24,6,FALSE),0)*P434,0)</f>
        <v>0</v>
      </c>
      <c r="W434" s="386">
        <f>IF(AND(COUNTBLANK('3B-Prestaties vloeren'!$F$3:$H$24)=0,COUNTBLANK('3B-Prestaties vloeren'!$L$3:$M$24)=0),IF(R434="sproei-extractie",I434/VLOOKUP(E434,'3B-Prestaties vloeren'!$A$3:$H$24,8,FALSE),0)*P434,0)</f>
        <v>0</v>
      </c>
    </row>
    <row r="435" spans="1:23" ht="15" hidden="1">
      <c r="A435" s="388" t="s">
        <v>702</v>
      </c>
      <c r="B435" s="388" t="s">
        <v>719</v>
      </c>
      <c r="C435" s="388">
        <v>1</v>
      </c>
      <c r="D435" s="388" t="s">
        <v>337</v>
      </c>
      <c r="E435" s="388" t="s">
        <v>728</v>
      </c>
      <c r="F435" s="388" t="s">
        <v>695</v>
      </c>
      <c r="G435" s="388" t="str">
        <f>VLOOKUP(F435,'3B-Prestaties vloeren'!$A$28:$B$118,2,0)</f>
        <v>N.v.t.</v>
      </c>
      <c r="H435" s="388" t="s">
        <v>721</v>
      </c>
      <c r="I435" s="388">
        <v>72.599999999999994</v>
      </c>
      <c r="J435" s="423"/>
      <c r="K435" s="427">
        <v>0</v>
      </c>
      <c r="L435" s="388">
        <f t="shared" si="18"/>
        <v>0</v>
      </c>
      <c r="M435" s="380">
        <f>IF(K435=0,0,IF(COUNTBLANK('3A-Prestatie'!$B$2:$I$22)=0,L435/VLOOKUP(E435,'3A-Prestatie'!$A$1:$M$22,VLOOKUP(K435,'3A-Prestatie'!$A$28:$B$34,2,FALSE),FALSE),"3A prestatie invullen"))</f>
        <v>0</v>
      </c>
      <c r="N435" s="380">
        <f t="shared" si="20"/>
        <v>0</v>
      </c>
      <c r="O435" s="389" t="str">
        <f>VLOOKUP(E435,'3A-Prestatie'!A:M,13,FALSE)</f>
        <v>N.v.t.</v>
      </c>
      <c r="P435" s="390">
        <f>IF(R435="Niet van toepassing",0,VLOOKUP(E435,'3B-Prestaties vloeren'!$A$3:$D$24,IF(G435="Hard onbehandeld",2,IF(G435="Hard behandeld",3,4)),FALSE))</f>
        <v>0</v>
      </c>
      <c r="Q435" s="391">
        <f t="shared" si="19"/>
        <v>0</v>
      </c>
      <c r="R435" s="392" t="str">
        <f>IF(K435=0,"Niet van toepassing",IF(G435='3B-Prestaties vloeren'!$B$2,"Schrobben",IF(G435='3B-Prestaties vloeren'!$C$2,"Sprayen/conserveren",IF(G435='3B-Prestaties vloeren'!$D$2,"Sproei-extractie",0))))</f>
        <v>Niet van toepassing</v>
      </c>
      <c r="S435" s="385">
        <f>IF('2-Tarieven'!$B$28=0,0,IF(M435=0,0,'2-Tarieven'!$B$28*M435))</f>
        <v>0</v>
      </c>
      <c r="T435" s="393">
        <f>IF(AND(COUNTBLANK('3B-Prestaties vloeren'!$F$3:$H$24)=0,COUNTBLANK('3B-Prestaties vloeren'!$L$3:$M$24)=0),IF(R435="Sprayen/conserveren",I435/VLOOKUP(E435,'3B-Prestaties vloeren'!$A$3:$M$24,12,FALSE),0)*(P435-1),0)</f>
        <v>0</v>
      </c>
      <c r="U435" s="393">
        <f>IF(AND(COUNTBLANK('3B-Prestaties vloeren'!$F$3:$H$24)=0,COUNTBLANK('3B-Prestaties vloeren'!$L$3:$M$24)=0),IF(R435="Sprayen/conserveren",I435/VLOOKUP(E435,'3B-Prestaties vloeren'!$A$3:$M$24,13,FALSE),0),0)</f>
        <v>0</v>
      </c>
      <c r="V435" s="393">
        <f>IF(AND(COUNTBLANK('3B-Prestaties vloeren'!$F$3:$H$24)=0,COUNTBLANK('3B-Prestaties vloeren'!$L$3:$M$24)=0),IF(R435="schrobben",I435/VLOOKUP(E435,'3B-Prestaties vloeren'!$A$3:$H$24,6,FALSE),0)*P435,0)</f>
        <v>0</v>
      </c>
      <c r="W435" s="393">
        <f>IF(AND(COUNTBLANK('3B-Prestaties vloeren'!$F$3:$H$24)=0,COUNTBLANK('3B-Prestaties vloeren'!$L$3:$M$24)=0),IF(R435="sproei-extractie",I435/VLOOKUP(E435,'3B-Prestaties vloeren'!$A$3:$H$24,8,FALSE),0)*P435,0)</f>
        <v>0</v>
      </c>
    </row>
    <row r="436" spans="1:23" ht="14.25" hidden="1" customHeight="1">
      <c r="K436" s="428">
        <v>0</v>
      </c>
    </row>
    <row r="437" spans="1:23" ht="14.25" hidden="1" customHeight="1">
      <c r="K437" s="428">
        <v>0</v>
      </c>
    </row>
    <row r="438" spans="1:23" ht="14.25" hidden="1" customHeight="1">
      <c r="K438" s="428">
        <v>0</v>
      </c>
    </row>
  </sheetData>
  <autoFilter ref="A1:Z438" xr:uid="{00000000-0001-0000-0500-000000000000}">
    <filterColumn colId="5">
      <filters>
        <filter val="Linoleum"/>
      </filters>
    </filterColumn>
    <filterColumn colId="15">
      <filters>
        <filter val="52"/>
      </filters>
    </filterColumn>
  </autoFilter>
  <phoneticPr fontId="0" type="noConversion"/>
  <conditionalFormatting sqref="J2:K435 K3:K438">
    <cfRule type="cellIs" dxfId="35" priority="95" operator="greaterThanOrEqual">
      <formula>100</formula>
    </cfRule>
    <cfRule type="cellIs" dxfId="34" priority="96" operator="between">
      <formula>10</formula>
      <formula>100</formula>
    </cfRule>
    <cfRule type="cellIs" dxfId="33" priority="97" operator="lessThan">
      <formula>10</formula>
    </cfRule>
  </conditionalFormatting>
  <conditionalFormatting sqref="P1:R435 T1:W435">
    <cfRule type="cellIs" dxfId="32" priority="2" operator="equal">
      <formula>"Sproei-extractie"</formula>
    </cfRule>
    <cfRule type="cellIs" dxfId="31" priority="3" operator="equal">
      <formula>"Sprayen/Conserveren"</formula>
    </cfRule>
    <cfRule type="cellIs" dxfId="30" priority="4" operator="equal">
      <formula>"Schrobben"</formula>
    </cfRule>
  </conditionalFormatting>
  <printOptions horizontalCentered="1" gridLinesSet="0"/>
  <pageMargins left="0.19685039370078741" right="0.19685039370078741" top="0.59055118110236227" bottom="0.78740157480314965" header="0.39370078740157483" footer="0.19685039370078741"/>
  <pageSetup paperSize="9" orientation="portrait" horizontalDpi="4294967292" vertic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595762FE8E3F48A349C3A3742C8107" ma:contentTypeVersion="8" ma:contentTypeDescription="Een nieuw document maken." ma:contentTypeScope="" ma:versionID="04ddfb24368c0e71787d3f1bd0cecb77">
  <xsd:schema xmlns:xsd="http://www.w3.org/2001/XMLSchema" xmlns:xs="http://www.w3.org/2001/XMLSchema" xmlns:p="http://schemas.microsoft.com/office/2006/metadata/properties" xmlns:ns2="d3929155-deaa-45dd-8804-aae5bc080c97" targetNamespace="http://schemas.microsoft.com/office/2006/metadata/properties" ma:root="true" ma:fieldsID="98ae0231a1dbd08cb504e4da2b8f7a11" ns2:_="">
    <xsd:import namespace="d3929155-deaa-45dd-8804-aae5bc080c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29155-deaa-45dd-8804-aae5bc080c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7CDC87-CE6D-45D8-9997-07C9FBA4237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schemas.microsoft.com/office/2006/metadata/properties"/>
    <ds:schemaRef ds:uri="46c995e6-7f53-48aa-a5ad-a9d38912b46a"/>
    <ds:schemaRef ds:uri="http://www.w3.org/XML/1998/namespace"/>
    <ds:schemaRef ds:uri="http://purl.org/dc/dcmitype/"/>
  </ds:schemaRefs>
</ds:datastoreItem>
</file>

<file path=customXml/itemProps2.xml><?xml version="1.0" encoding="utf-8"?>
<ds:datastoreItem xmlns:ds="http://schemas.openxmlformats.org/officeDocument/2006/customXml" ds:itemID="{E4964FBB-BA62-4AD4-AE88-73BB8867FEB1}">
  <ds:schemaRefs>
    <ds:schemaRef ds:uri="http://schemas.microsoft.com/sharepoint/v3/contenttype/forms"/>
  </ds:schemaRefs>
</ds:datastoreItem>
</file>

<file path=customXml/itemProps3.xml><?xml version="1.0" encoding="utf-8"?>
<ds:datastoreItem xmlns:ds="http://schemas.openxmlformats.org/officeDocument/2006/customXml" ds:itemID="{F739135C-E5C3-4C73-8300-2EF94E39B29A}"/>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Toelichting calculatiemodel</vt:lpstr>
      <vt:lpstr>Toelichting mutaties</vt:lpstr>
      <vt:lpstr>Mutaties</vt:lpstr>
      <vt:lpstr>1-Totaaloverzicht</vt:lpstr>
      <vt:lpstr>Inschrijving</vt:lpstr>
      <vt:lpstr>2-Tarieven</vt:lpstr>
      <vt:lpstr>3A-Prestatie</vt:lpstr>
      <vt:lpstr>3B-Prestaties vloeren</vt:lpstr>
      <vt:lpstr>4-Basis ruimtestaat</vt:lpstr>
      <vt:lpstr>4a-KST</vt:lpstr>
      <vt:lpstr>4b Glasbewassing </vt:lpstr>
      <vt:lpstr>5-Opbouw uurtarieven</vt:lpstr>
      <vt:lpstr>6-Afroepprijs</vt:lpstr>
      <vt:lpstr>7 - Toelichting vloeronderhoud</vt:lpstr>
      <vt:lpstr>'1-Totaaloverzicht'!Afdrukbereik</vt:lpstr>
      <vt:lpstr>'2-Tarieven'!Afdrukbereik</vt:lpstr>
      <vt:lpstr>'3A-Prestatie'!Afdrukbereik</vt:lpstr>
      <vt:lpstr>'4-Basis ruimtestaat'!Afdrukbereik</vt:lpstr>
      <vt:lpstr>'4b Glasbewassing '!Afdrukbereik</vt:lpstr>
      <vt:lpstr>'5-Opbouw uurtarieven'!Afdrukbereik</vt:lpstr>
      <vt:lpstr>'6-Afroepprijs'!Afdrukbereik</vt:lpstr>
      <vt:lpstr>'7 - Toelichting vloeronderhoud'!Afdrukbereik</vt:lpstr>
      <vt:lpstr>Inschrijving!Afdrukbereik</vt:lpstr>
      <vt:lpstr>Mutaties!Afdrukbereik</vt:lpstr>
      <vt:lpstr>'Toelichting calculatiemodel'!Afdrukbereik</vt:lpstr>
      <vt:lpstr>'Toelichting mutaties'!Afdrukbereik</vt:lpstr>
      <vt:lpstr>'1-Totaaloverzicht'!Afdruktitels</vt:lpstr>
      <vt:lpstr>'3A-Prestatie'!Afdruktitels</vt:lpstr>
      <vt:lpstr>'4-Basis ruimtestaat'!Afdruktitels</vt:lpstr>
      <vt:lpstr>'5-Opbouw uurtarieven'!Afdruktitels</vt:lpstr>
      <vt:lpstr>'Toelichting mutaties'!Afdruktitels</vt:lpstr>
      <vt:lpstr>vloeren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Intermediair Schoonmaak</dc:creator>
  <dc:description>Aanbesteding Schoonmaak _x000d__x000d_Intermediair Schoonmaak</dc:description>
  <cp:lastModifiedBy>Politie</cp:lastModifiedBy>
  <cp:lastPrinted>2024-07-26T18:50:25Z</cp:lastPrinted>
  <dcterms:created xsi:type="dcterms:W3CDTF">1999-10-05T12:28:40Z</dcterms:created>
  <dcterms:modified xsi:type="dcterms:W3CDTF">2026-03-18T14:17:45Z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0x0101003A595762FE8E3F48A349C3A3742C8107</vt:lpwstr>
  </property>
</Properties>
</file>