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071" documentId="6_{6E4318B4-43A0-46D2-A1D7-ECA0E11CA8FA}" xr6:coauthVersionLast="47" xr6:coauthVersionMax="47" xr10:uidLastSave="{56FB9A68-3E60-42CE-9929-4C2F29FE08B6}"/>
  <workbookProtection workbookAlgorithmName="SHA-512" workbookHashValue="QSR89ivh5evpeCVJG7+yG0NFw9AU5IWTP0RQzhi5jPXSp0X+ErTw1A8YqmwuwcvZ3AQLV1ovCOlryDUdJ4bYVw==" workbookSaltValue="TqdQrqEat3nJor6ONRC8TA==" workbookSpinCount="100000" lockStructure="1"/>
  <bookViews>
    <workbookView xWindow="-28920" yWindow="-120" windowWidth="29040" windowHeight="15720" xr2:uid="{00000000-000D-0000-FFFF-FFFF00000000}"/>
  </bookViews>
  <sheets>
    <sheet name="Instructie" sheetId="1" r:id="rId1"/>
    <sheet name="1. Invulblad Voorblad" sheetId="2" r:id="rId2"/>
    <sheet name="2. Invulblad Abonnement" sheetId="3" r:id="rId3"/>
    <sheet name="3. Invulblad Legen op afroep" sheetId="4" r:id="rId4"/>
    <sheet name="Totaalprijs" sheetId="6" r:id="rId5"/>
  </sheets>
  <definedNames>
    <definedName name="_xlnm.Print_Area" localSheetId="1">'1. Invulblad Voorblad'!$A$1:$B$12</definedName>
    <definedName name="_xlnm.Print_Area" localSheetId="2">'2. Invulblad Abonnement'!$A$1:$H$71</definedName>
    <definedName name="_xlnm.Print_Area" localSheetId="3">'3. Invulblad Legen op afroep'!$B$1:$E$83</definedName>
    <definedName name="_xlnm.Print_Area" localSheetId="0">Instructie!$A$1:$A$25</definedName>
    <definedName name="_xlnm.Print_Area" localSheetId="4">Totaalprijs!$A$1:$X$88</definedName>
    <definedName name="Batterijen_60ltr_Afroep_lediging">'3. Invulblad Legen op afroep'!$C$77</definedName>
    <definedName name="Batterijen60ltr_Huur_container">'3. Invulblad Legen op afroep'!$D$77</definedName>
    <definedName name="GFT120ltr_1_x_per_week">'2. Invulblad Abonnement'!$E$55</definedName>
    <definedName name="GFT120ltr_1x_2_per_weken">'2. Invulblad Abonnement'!$D$55</definedName>
    <definedName name="GFT120ltr_2x_per_week">'2. Invulblad Abonnement'!$F$55</definedName>
    <definedName name="GFT120ltr_Afroep_lediging">'3. Invulblad Legen op afroep'!$C$61</definedName>
    <definedName name="GFT120ltr_extra_lediging">'2. Invulblad Abonnement'!$H$55</definedName>
    <definedName name="GFT120ltr_Huur_container">'3. Invulblad Legen op afroep'!$D$61</definedName>
    <definedName name="GFT240ltr_1_x_per_week">'2. Invulblad Abonnement'!$E$56</definedName>
    <definedName name="GFT240ltr_1x_2_per_weken">'2. Invulblad Abonnement'!$D$56</definedName>
    <definedName name="GFT240ltr_2x_per_week">'2. Invulblad Abonnement'!$F$56</definedName>
    <definedName name="GFT240ltr_Afroep_lediging">'3. Invulblad Legen op afroep'!$C$62</definedName>
    <definedName name="GFT240ltr_extra_lediging">'2. Invulblad Abonnement'!$H$56</definedName>
    <definedName name="GFT240ltr_Huur_container">'3. Invulblad Legen op afroep'!$D$62</definedName>
    <definedName name="Glas240lt_1x_per_4_weken">'2. Invulblad Abonnement'!$C$70</definedName>
    <definedName name="Glas240ltr_1_x_per_2_weken">'2. Invulblad Abonnement'!$D$70</definedName>
    <definedName name="Glas240ltr_1_x_per_week">'2. Invulblad Abonnement'!$E$70</definedName>
    <definedName name="Glas240ltr_Afroep">'3. Invulblad Legen op afroep'!$C$76</definedName>
    <definedName name="Glas240ltr_Afroep_lediging">'3. Invulblad Legen op afroep'!#REF!</definedName>
    <definedName name="Glas240ltr_extra_lediging">'2. Invulblad Abonnement'!$H$70</definedName>
    <definedName name="Glas240ltr_Huur_container">'3. Invulblad Legen op afroep'!#REF!</definedName>
    <definedName name="Glas240ltr_huur_container_afroep">'3. Invulblad Legen op afroep'!$D$76</definedName>
    <definedName name="Inschrijflijst">Totaalprijs!$W$87</definedName>
    <definedName name="Kentekens240ltr_Afroep_lediging">'3. Invulblad Legen op afroep'!$C$80</definedName>
    <definedName name="Kentekens240ltr_Huur_container">'3. Invulblad Legen op afroep'!$D$80</definedName>
    <definedName name="medicijnbox_10_ltr_Afroep_lediging">'3. Invulblad Legen op afroep'!$C$79</definedName>
    <definedName name="Medicijnen10ltr_Huur_box">'3. Invulblad Legen op afroep'!$D$79</definedName>
    <definedName name="Papier1000ltr_1_x_per_2_weken">'2. Invulblad Abonnement'!$D$25</definedName>
    <definedName name="Papier1000ltr_1_x_per_week">'2. Invulblad Abonnement'!$E$25</definedName>
    <definedName name="Papier1000ltr_1x_per_4_weken">'2. Invulblad Abonnement'!$C$25</definedName>
    <definedName name="Papier1000ltr_2x_per_week">'2. Invulblad Abonnement'!$F$25</definedName>
    <definedName name="Papier1000ltr_Afroep_lediging">'3. Invulblad Legen op afroep'!$C$31</definedName>
    <definedName name="Papier1000ltr_extra_lediging">'2. Invulblad Abonnement'!$H$25</definedName>
    <definedName name="Papier1000ltr_Huur_container">'3. Invulblad Legen op afroep'!$D$31</definedName>
    <definedName name="Papier1100ltr_1_x_per_2_weken">'2. Invulblad Abonnement'!$D$26</definedName>
    <definedName name="Papier1100ltr_1_x_per_week">'2. Invulblad Abonnement'!$E$26</definedName>
    <definedName name="Papier1100ltr_1x_per_4_weken">'2. Invulblad Abonnement'!$C$26</definedName>
    <definedName name="Papier1100ltr_2x_per_week">'2. Invulblad Abonnement'!$F$26</definedName>
    <definedName name="Papier1100ltr_Afroep_lediging">'3. Invulblad Legen op afroep'!$C$32</definedName>
    <definedName name="Papier1100ltr_extra_lediging">'2. Invulblad Abonnement'!$H$26</definedName>
    <definedName name="Papier1100ltr_Huur_container">'3. Invulblad Legen op afroep'!$D$32</definedName>
    <definedName name="Papier1300ltr_1x_per_2_weken">'2. Invulblad Abonnement'!$D$27</definedName>
    <definedName name="Papier1300ltr_1x_per_4_weken">'2. Invulblad Abonnement'!$C$27</definedName>
    <definedName name="Papier1300ltr_1x_per_week">'2. Invulblad Abonnement'!$E$27</definedName>
    <definedName name="Papier1300ltr_2x_per_week">'2. Invulblad Abonnement'!$F$27</definedName>
    <definedName name="Papier1300ltr_Extra_lediging">'2. Invulblad Abonnement'!$H$27</definedName>
    <definedName name="Papier1300ltr_Huur_container">'3. Invulblad Legen op afroep'!$D$33</definedName>
    <definedName name="Papier1300ltr_Lediging_op_Afroep">'3. Invulblad Legen op afroep'!$C$33</definedName>
    <definedName name="Papier240ltr_1_x_per_2_weken">'2. Invulblad Abonnement'!$D$21</definedName>
    <definedName name="Papier240ltr_1_x_per_week">'2. Invulblad Abonnement'!$E$21</definedName>
    <definedName name="Papier240ltr_1x_per_4_weken">'2. Invulblad Abonnement'!$C$21</definedName>
    <definedName name="Papier240ltr_2x_per_week">'2. Invulblad Abonnement'!$F$21</definedName>
    <definedName name="Papier240ltr_Afroep_lediging">'3. Invulblad Legen op afroep'!$C$27</definedName>
    <definedName name="Papier240ltr_extra_lediging">'2. Invulblad Abonnement'!$H$21</definedName>
    <definedName name="Papier240ltr_Huur_container">'3. Invulblad Legen op afroep'!$D$27</definedName>
    <definedName name="Papier500ltr_1_x_per_2_weken">'2. Invulblad Abonnement'!$D$22</definedName>
    <definedName name="Papier500ltr_1_x_per_week">'2. Invulblad Abonnement'!$E$22</definedName>
    <definedName name="Papier500ltr_1x_per_4_weken">'2. Invulblad Abonnement'!$C$22</definedName>
    <definedName name="Papier500ltr_2x_per_week">'2. Invulblad Abonnement'!$F$22</definedName>
    <definedName name="Papier500ltr_Afroep_lediging">'3. Invulblad Legen op afroep'!$C$28</definedName>
    <definedName name="Papier500ltr_extra_lediging">'2. Invulblad Abonnement'!$H$22</definedName>
    <definedName name="Papier500ltr_Huur_container">'3. Invulblad Legen op afroep'!$D$28</definedName>
    <definedName name="Papier660ltr_1_x_per_2_weken">'2. Invulblad Abonnement'!$D$23</definedName>
    <definedName name="Papier660ltr_1_x_per_week">'2. Invulblad Abonnement'!$E$23</definedName>
    <definedName name="Papier660ltr_1x_per_4_weken">'2. Invulblad Abonnement'!$C$23</definedName>
    <definedName name="Papier660ltr_2x_per_week">'2. Invulblad Abonnement'!$F$23</definedName>
    <definedName name="Papier660ltr_Afroep_lediging">'3. Invulblad Legen op afroep'!$C$29</definedName>
    <definedName name="Papier660ltr_extra_lediging">'2. Invulblad Abonnement'!$H$23</definedName>
    <definedName name="Papier660ltr_Huur_container">'3. Invulblad Legen op afroep'!$D$29</definedName>
    <definedName name="Papier750_770ltr_1_x_per_2_weken">'2. Invulblad Abonnement'!$D$24</definedName>
    <definedName name="Papier750_770ltr_1_x_per_week">'2. Invulblad Abonnement'!$E$24</definedName>
    <definedName name="Papier750_770ltr_1x_per_4_weken">'2. Invulblad Abonnement'!$C$24</definedName>
    <definedName name="Papier750_770ltr_2x_per_week">'2. Invulblad Abonnement'!$F$24</definedName>
    <definedName name="Papier750_770ltr_Afroep_lediging">'3. Invulblad Legen op afroep'!$C$30</definedName>
    <definedName name="Papier750_770ltr_extra_lediging">'2. Invulblad Abonnement'!$H$24</definedName>
    <definedName name="Papier750_770ltr_Huur_container">'3. Invulblad Legen op afroep'!$D$30</definedName>
    <definedName name="PD_1000ltr_1_x_per_2_weken">'2. Invulblad Abonnement'!$D$48</definedName>
    <definedName name="PD_1000ltr_1_x_per_week">'2. Invulblad Abonnement'!$E$48</definedName>
    <definedName name="PD_1000ltr_1x_per_4_weken">'2. Invulblad Abonnement'!$C$48</definedName>
    <definedName name="PD_1000ltr_2x_per_week">'2. Invulblad Abonnement'!$F$48</definedName>
    <definedName name="PD_1000ltr_extra_lediging">'2. Invulblad Abonnement'!$H$48</definedName>
    <definedName name="PD_1000ltr_huur_container">'3. Invulblad Legen op afroep'!$D$54</definedName>
    <definedName name="PD_1000ltr_lediging">'3. Invulblad Legen op afroep'!$C$54</definedName>
    <definedName name="PD_1100ltr_1_x_per_2_weken">'2. Invulblad Abonnement'!$D$49</definedName>
    <definedName name="PD_1100ltr_1_x_per_week">'2. Invulblad Abonnement'!$E$49</definedName>
    <definedName name="PD_1100ltr_1x_per_4_weken">'2. Invulblad Abonnement'!$C$49</definedName>
    <definedName name="PD_1100ltr_2x_per_week">'2. Invulblad Abonnement'!$F$49</definedName>
    <definedName name="PD_1100ltr_extra_lediging">'2. Invulblad Abonnement'!$H$49</definedName>
    <definedName name="PD_1100ltr_huur_container">'3. Invulblad Legen op afroep'!$D$55</definedName>
    <definedName name="PD_1100ltr_lediging">'3. Invulblad Legen op afroep'!$C$55</definedName>
    <definedName name="PD_240ltr_1_x_per_2_weken">'2. Invulblad Abonnement'!$D$44</definedName>
    <definedName name="PD_240ltr_1_x_per_week">'2. Invulblad Abonnement'!$E$44</definedName>
    <definedName name="PD_240ltr_1x_per_4_weken">'2. Invulblad Abonnement'!$C$44</definedName>
    <definedName name="PD_240ltr_2x_per_week">'2. Invulblad Abonnement'!$F$44</definedName>
    <definedName name="PD_240ltr_extra_lediging">'2. Invulblad Abonnement'!$H$44</definedName>
    <definedName name="PD_240ltr_huur_container">'3. Invulblad Legen op afroep'!$D$50</definedName>
    <definedName name="PD_240ltr_lediging">'3. Invulblad Legen op afroep'!$C$50</definedName>
    <definedName name="PD_500ltr_1_x_per_2_weken">'2. Invulblad Abonnement'!$D$45</definedName>
    <definedName name="PD_500ltr_1_x_per_week">'2. Invulblad Abonnement'!$E$45</definedName>
    <definedName name="PD_500ltr_1x_per_4_weken">'2. Invulblad Abonnement'!$C$45</definedName>
    <definedName name="PD_500ltr_2x_per_week">'2. Invulblad Abonnement'!$F$45</definedName>
    <definedName name="PD_500ltr_extra_lediging">'2. Invulblad Abonnement'!$H$45</definedName>
    <definedName name="PD_500ltr_huur_container">'3. Invulblad Legen op afroep'!$D$51</definedName>
    <definedName name="PD_500ltr_lediging">'3. Invulblad Legen op afroep'!$C$51</definedName>
    <definedName name="PD_660ltr_1_x_per_2_weken">'2. Invulblad Abonnement'!$D$46</definedName>
    <definedName name="PD_660ltr_1_x_per_week">'2. Invulblad Abonnement'!$E$46</definedName>
    <definedName name="PD_660ltr_1x_per_4_weken">'2. Invulblad Abonnement'!$C$46</definedName>
    <definedName name="PD_660ltr_2x_per_week">'2. Invulblad Abonnement'!$F$46</definedName>
    <definedName name="PD_660ltr_extra_lediging">'2. Invulblad Abonnement'!$H$46</definedName>
    <definedName name="PD_660ltr_huur_container">'3. Invulblad Legen op afroep'!$D$52</definedName>
    <definedName name="PD_660ltr_lediging">'3. Invulblad Legen op afroep'!$C$52</definedName>
    <definedName name="PD_750_770ltr_1_x_per_2_weken">'2. Invulblad Abonnement'!$D$47</definedName>
    <definedName name="PD_750_770ltr_1_x_per_week">'2. Invulblad Abonnement'!$E$47</definedName>
    <definedName name="PD_750_770ltr_1x_per_4_weken">'2. Invulblad Abonnement'!$C$47</definedName>
    <definedName name="PD_750_770ltr_2x_per_week">'2. Invulblad Abonnement'!$F$47</definedName>
    <definedName name="PD_750_770ltr_extra_lediging">'2. Invulblad Abonnement'!$H$47</definedName>
    <definedName name="PD_750_770ltr_huur_container">'3. Invulblad Legen op afroep'!$D$53</definedName>
    <definedName name="PD_750_770ltr_lediging">'3. Invulblad Legen op afroep'!$C$53</definedName>
    <definedName name="Perscontainer_10_m3_Huur">'3. Invulblad Legen op afroep'!$D$21</definedName>
    <definedName name="Perscontainer_10_m3_Transport">'3. Invulblad Legen op afroep'!$C$21</definedName>
    <definedName name="Perscontainer_10_m3_Verwerking_per_ton">'3. Invulblad Legen op afroep'!$E$21</definedName>
    <definedName name="PMD1000ltr_1_x_per_2_weken">'2. Invulblad Abonnement'!$D$37</definedName>
    <definedName name="PMD1000ltr_1_x_per_week">'2. Invulblad Abonnement'!$E$37</definedName>
    <definedName name="PMD1000ltr_1x_per_4_weken">'2. Invulblad Abonnement'!$C$37</definedName>
    <definedName name="PMD1000ltr_2x_per_week">'2. Invulblad Abonnement'!$F$37</definedName>
    <definedName name="PMD1000ltr_Afroep_lediging">'3. Invulblad Legen op afroep'!$C$43</definedName>
    <definedName name="PMD1000ltr_extra_lediging">'2. Invulblad Abonnement'!$H$37</definedName>
    <definedName name="PMD1000ltr_Huur_container">'3. Invulblad Legen op afroep'!$D$43</definedName>
    <definedName name="PMD1100ltr_1_x_per_2_weken">'2. Invulblad Abonnement'!$D$38</definedName>
    <definedName name="PMD1100ltr_1_x_per_week">'2. Invulblad Abonnement'!$E$38</definedName>
    <definedName name="PMD1100ltr_1x_per_4_weken">'2. Invulblad Abonnement'!$C$38</definedName>
    <definedName name="PMD1100ltr_2x_per_week">'2. Invulblad Abonnement'!$F$38</definedName>
    <definedName name="PMD1100ltr_Afroep_lediging">'3. Invulblad Legen op afroep'!$C$44</definedName>
    <definedName name="PMD1100ltr_extra_lediging">'2. Invulblad Abonnement'!$H$38</definedName>
    <definedName name="PMD1100ltr_Huur_container">'3. Invulblad Legen op afroep'!$D$44</definedName>
    <definedName name="PMD240ltr_1_x_per_2_weken">'2. Invulblad Abonnement'!$D$33</definedName>
    <definedName name="PMD240ltr_1_x_per_week">'2. Invulblad Abonnement'!$E$33</definedName>
    <definedName name="PMD240ltr_1x_per_4_weken">'2. Invulblad Abonnement'!$C$33</definedName>
    <definedName name="PMD240ltr_2x_per_week">'2. Invulblad Abonnement'!$F$33</definedName>
    <definedName name="PMD240ltr_Afroep_lediging">'3. Invulblad Legen op afroep'!$C$39</definedName>
    <definedName name="PMD240ltr_extra_lediging">'2. Invulblad Abonnement'!$H$33</definedName>
    <definedName name="PMD240ltr_Huur_container">'3. Invulblad Legen op afroep'!$D$39</definedName>
    <definedName name="PMD500ltr_1_x_per_2_weken">'2. Invulblad Abonnement'!$D$34</definedName>
    <definedName name="PMD500ltr_1_x_per_week">'2. Invulblad Abonnement'!$E$34</definedName>
    <definedName name="PMD500ltr_1x_per_4_weken">'2. Invulblad Abonnement'!$C$34</definedName>
    <definedName name="PMD500ltr_2x_per_week">'2. Invulblad Abonnement'!$F$34</definedName>
    <definedName name="PMD500ltr_Afroep_lediging">'3. Invulblad Legen op afroep'!$C$40</definedName>
    <definedName name="PMD500ltr_extra_lediging">'2. Invulblad Abonnement'!$H$34</definedName>
    <definedName name="PMD500ltr_Huur_container">'3. Invulblad Legen op afroep'!$D$40</definedName>
    <definedName name="PMD660ltr_1_x_per_2_weken">'2. Invulblad Abonnement'!$D$35</definedName>
    <definedName name="PMD660ltr_1_x_per_week">'2. Invulblad Abonnement'!$E$35</definedName>
    <definedName name="PMD660ltr_1x_per_4_weken">'2. Invulblad Abonnement'!$C$35</definedName>
    <definedName name="PMD660ltr_2x_per_week">'2. Invulblad Abonnement'!$F$35</definedName>
    <definedName name="PMD660ltr_Afroep_lediging">'3. Invulblad Legen op afroep'!$C$41</definedName>
    <definedName name="PMD660ltr_extra_lediging">'2. Invulblad Abonnement'!$H$35</definedName>
    <definedName name="PMD660ltr_huur_container">'3. Invulblad Legen op afroep'!$D$41</definedName>
    <definedName name="PMD750_770ltr_1_x_per_2_weken">'2. Invulblad Abonnement'!$D$36</definedName>
    <definedName name="PMD750_770ltr_1_x_per_week">'2. Invulblad Abonnement'!$E$36</definedName>
    <definedName name="PMD750_770ltr_1x_per_4_weken">'2. Invulblad Abonnement'!$C$36</definedName>
    <definedName name="PMD750_770ltr_2x_per_week">'2. Invulblad Abonnement'!$F$36</definedName>
    <definedName name="PMD750_770ltr_Afroep_lediging">'3. Invulblad Legen op afroep'!$C$42</definedName>
    <definedName name="PMD750_770ltr_extra_lediging">'2. Invulblad Abonnement'!$H$36</definedName>
    <definedName name="PMD750_770ltr_Huur_container">'3. Invulblad Legen op afroep'!$D$42</definedName>
    <definedName name="Rest_10m3_Huur_Perscontainer">'3. Invulblad Legen op afroep'!$D$21</definedName>
    <definedName name="Rest1000ltr_1_x_per_week">'2. Invulblad Abonnement'!$E$11</definedName>
    <definedName name="Rest1000ltr_1x_per_2_weken">'2. Invulblad Abonnement'!$D$11</definedName>
    <definedName name="Rest1000ltr_1x_per_4_weken">'2. Invulblad Abonnement'!$C$11</definedName>
    <definedName name="Rest1000ltr_2x_per_week">'2. Invulblad Abonnement'!$F$11</definedName>
    <definedName name="Rest1000ltr_3_x_per_week">'2. Invulblad Abonnement'!$G$11</definedName>
    <definedName name="Rest1000ltr_Afroep_lediging">'3. Invulblad Legen op afroep'!$C$31</definedName>
    <definedName name="Rest1000ltr_Extra_lediging">'2. Invulblad Abonnement'!$H$11</definedName>
    <definedName name="Rest1000ltr_Huur_container">'3. Invulblad Legen op afroep'!$D$11</definedName>
    <definedName name="Rest1000ltr_Lediging_op_Afroep">'3. Invulblad Legen op afroep'!$C$11</definedName>
    <definedName name="Rest1100ltr_1_x_per_week">'2. Invulblad Abonnement'!$E$12</definedName>
    <definedName name="Rest1100ltr_1x_per_2_weken">'2. Invulblad Abonnement'!$D$12</definedName>
    <definedName name="Rest1100ltr_1x_per_4_weken">'2. Invulblad Abonnement'!$C$12</definedName>
    <definedName name="Rest1100ltr_2x_per_week">'2. Invulblad Abonnement'!$F$12</definedName>
    <definedName name="Rest1100ltr_3_x_per_week">'2. Invulblad Abonnement'!$G$12</definedName>
    <definedName name="Rest1100ltr_Extra_lediging">'2. Invulblad Abonnement'!$H$12</definedName>
    <definedName name="Rest1100ltr_Huur_container">'3. Invulblad Legen op afroep'!$D$12</definedName>
    <definedName name="Rest1100ltr_Lediging_op_Afroep">'3. Invulblad Legen op afroep'!$C$12</definedName>
    <definedName name="Rest1300ltr_1_x_per_week">'2. Invulblad Abonnement'!$E$13</definedName>
    <definedName name="Rest1300ltr_1x_per_2_weken">'2. Invulblad Abonnement'!$D$13</definedName>
    <definedName name="Rest1300ltr_1x_per_4_weken">'2. Invulblad Abonnement'!$C$13</definedName>
    <definedName name="Rest1300ltr_2x_per_week">'2. Invulblad Abonnement'!$F$13</definedName>
    <definedName name="Rest1300ltr_3_x_per_week">'2. Invulblad Abonnement'!$G$13</definedName>
    <definedName name="Rest1300ltr_Extra_lediging">'2. Invulblad Abonnement'!$H$13</definedName>
    <definedName name="Rest1300ltr_Huur_container">'3. Invulblad Legen op afroep'!$D$13</definedName>
    <definedName name="Rest1300ltr_Lediging_op_Afroep">'3. Invulblad Legen op afroep'!$C$13</definedName>
    <definedName name="Rest1600ltr_1_x_per_week">'2. Invulblad Abonnement'!$E$14</definedName>
    <definedName name="Rest1600ltr_1x_per_2_weken">'2. Invulblad Abonnement'!$D$14</definedName>
    <definedName name="Rest1600ltr_1x_per_4_weken">'2. Invulblad Abonnement'!$C$14</definedName>
    <definedName name="Rest1600ltr_2x_per_week">'2. Invulblad Abonnement'!$F$14</definedName>
    <definedName name="Rest1600ltr_3_x_per_week">'2. Invulblad Abonnement'!$G$14</definedName>
    <definedName name="Rest1600ltr_Extra_lediging">'2. Invulblad Abonnement'!$H$14</definedName>
    <definedName name="Rest1600ltr_Huur_container">'3. Invulblad Legen op afroep'!$D$14</definedName>
    <definedName name="Rest1600ltr_Lediging_op_Afroep">'3. Invulblad Legen op afroep'!$C$14</definedName>
    <definedName name="Rest240ltr_1_x_per_2_weken">'2. Invulblad Abonnement'!$D$7</definedName>
    <definedName name="Rest240ltr_1_x_per_week">'2. Invulblad Abonnement'!$E$7</definedName>
    <definedName name="Rest240ltr_1x_per_4_weken">'2. Invulblad Abonnement'!$C$7</definedName>
    <definedName name="Rest240ltr_2x_per_week">'2. Invulblad Abonnement'!$F$7</definedName>
    <definedName name="Rest240ltr_3_x_per_week">'2. Invulblad Abonnement'!$G$7</definedName>
    <definedName name="Rest240ltr_Extra_lediging">'2. Invulblad Abonnement'!$H$7</definedName>
    <definedName name="Rest240ltr_Huur_container">'3. Invulblad Legen op afroep'!$D$7</definedName>
    <definedName name="Rest240ltr_Lediging_op_Afroep">'3. Invulblad Legen op afroep'!$C$7</definedName>
    <definedName name="Rest2500ltr_1_x_per_week">'2. Invulblad Abonnement'!$E$15</definedName>
    <definedName name="Rest2500ltr_1x_per_2_weken">'2. Invulblad Abonnement'!$D$15</definedName>
    <definedName name="Rest2500ltr_1x_per_4_weken">'2. Invulblad Abonnement'!$C$15</definedName>
    <definedName name="Rest2500ltr_2x_per_week">'2. Invulblad Abonnement'!$F$15</definedName>
    <definedName name="Rest2500ltr_3_x_per_week">'2. Invulblad Abonnement'!$G$15</definedName>
    <definedName name="Rest2500ltr_Extra_lediging">'2. Invulblad Abonnement'!$H$15</definedName>
    <definedName name="Rest2500ltr_Huur_container">'3. Invulblad Legen op afroep'!$D$15</definedName>
    <definedName name="Rest2500ltr_Lediging_op_Afroep">'3. Invulblad Legen op afroep'!$C$15</definedName>
    <definedName name="Rest500ltr_1_x_per_week">'2. Invulblad Abonnement'!$E$8</definedName>
    <definedName name="Rest500ltr_1x_per_2_weken">'2. Invulblad Abonnement'!$D$8</definedName>
    <definedName name="Rest500ltr_1x_per_4_weken">'2. Invulblad Abonnement'!$C$8</definedName>
    <definedName name="Rest500ltr_2x_per_week">'2. Invulblad Abonnement'!$F$8</definedName>
    <definedName name="Rest500ltr_3_x_per_week">'2. Invulblad Abonnement'!$G$8</definedName>
    <definedName name="Rest500ltr_Afroep_lediging">'3. Invulblad Legen op afroep'!$C$28</definedName>
    <definedName name="Rest500ltr_Extra_lediging">'2. Invulblad Abonnement'!$H$8</definedName>
    <definedName name="Rest500ltr_Huur_container">'3. Invulblad Legen op afroep'!$D$8</definedName>
    <definedName name="Rest500ltr_Lediging_op_Afroep">'3. Invulblad Legen op afroep'!$C$8</definedName>
    <definedName name="Rest6600ltr_1x_per_2_weken">'2. Invulblad Abonnement'!$D$9</definedName>
    <definedName name="Rest660ltr_1_x_per_week">'2. Invulblad Abonnement'!$E$9</definedName>
    <definedName name="Rest660ltr_1x_per_4_weken">'2. Invulblad Abonnement'!$C$9</definedName>
    <definedName name="Rest660ltr_2x_per_week">'2. Invulblad Abonnement'!$F$9</definedName>
    <definedName name="Rest660ltr_3_x_per_week">'2. Invulblad Abonnement'!$G$9</definedName>
    <definedName name="Rest660ltr_Afroep_lediging">'3. Invulblad Legen op afroep'!$C$29</definedName>
    <definedName name="Rest660ltr_Extra_lediging">'2. Invulblad Abonnement'!$H$9</definedName>
    <definedName name="Rest660ltr_Huur_container">'3. Invulblad Legen op afroep'!$D$9</definedName>
    <definedName name="Rest660ltr_Lediging_op_Afroep">'3. Invulblad Legen op afroep'!$C$9</definedName>
    <definedName name="Rest750_770ltr_1_x_per_week">'2. Invulblad Abonnement'!$E$10</definedName>
    <definedName name="Rest750_770ltr_1x_per_2_weken">'2. Invulblad Abonnement'!$D$10</definedName>
    <definedName name="Rest750_770ltr_1x_per_4_weken">'2. Invulblad Abonnement'!$C$10</definedName>
    <definedName name="Rest750_770ltr_2x_per_week">'2. Invulblad Abonnement'!$F$10</definedName>
    <definedName name="Rest750_770ltr_3_x_per_week">'2. Invulblad Abonnement'!$G$10</definedName>
    <definedName name="Rest750_770ltr_Afroep_lediging">'3. Invulblad Legen op afroep'!$C$30</definedName>
    <definedName name="Rest750_770ltr_Extra_lediging">'2. Invulblad Abonnement'!$H$10</definedName>
    <definedName name="Rest750_770ltr_Huur_container">'3. Invulblad Legen op afroep'!$D$10</definedName>
    <definedName name="Rest750_770ltr_Lediging_op_Afroep">'3. Invulblad Legen op afroep'!$C$10</definedName>
    <definedName name="Sleutels240ltr_Afroep_lediging">'3. Invulblad Legen op afroep'!$C$81</definedName>
    <definedName name="Sleutels240ltr_Huur_container">'3. Invulblad Legen op afroep'!$D$81</definedName>
    <definedName name="Spuiten_en_naalden_box_10_ltr_Afroep_lediging">'3. Invulblad Legen op afroep'!$C$78</definedName>
    <definedName name="Spuiten_en_naalden10ltr_Huur_box">'3. Invulblad Legen op afroep'!$D$78</definedName>
    <definedName name="Vertrouwelijk_papier240ltr_1_x_per_2_weken">'2. Invulblad Abonnement'!$D$62</definedName>
    <definedName name="Vertrouwelijk_papier240ltr_1_x_per_week">'2. Invulblad Abonnement'!$E$62</definedName>
    <definedName name="Vertrouwelijk_papier240ltr_1x_per_4_weken">'2. Invulblad Abonnement'!$C$62</definedName>
    <definedName name="Vertrouwelijk_papier240ltr_2x_per_week">'2. Invulblad Abonnement'!$F$62</definedName>
    <definedName name="Vertrouwelijk_papier240ltr_Afroep_lediging">'3. Invulblad Legen op afroep'!$C$68</definedName>
    <definedName name="Vertrouwelijk_papier240ltr_extra_lediging">'2. Invulblad Abonnement'!$H$62</definedName>
    <definedName name="Vertrouwelijk_papier240ltr_Huur_container">'3. Invulblad Legen op afroep'!$D$68</definedName>
    <definedName name="Vertrouwelijk_papier500ltr_1_x_per_2_weken">'2. Invulblad Abonnement'!$D$63</definedName>
    <definedName name="Vertrouwelijk_papier500ltr_1_x_per_week">'2. Invulblad Abonnement'!$E$63</definedName>
    <definedName name="Vertrouwelijk_papier500ltr_1x_per_4_weken">'2. Invulblad Abonnement'!$C$63</definedName>
    <definedName name="Vertrouwelijk_papier500ltr_2x_per_week">'2. Invulblad Abonnement'!$F$63</definedName>
    <definedName name="Vertrouwelijk_papier500ltr_Afroep_lediging">'3. Invulblad Legen op afroep'!$C$69</definedName>
    <definedName name="Vertrouwelijk_papier500ltr_extra_lediging">'2. Invulblad Abonnement'!$H$63</definedName>
    <definedName name="Vertrouwelijk_papier500ltr_Huur_container">'3. Invulblad Legen op afroep'!$D$69</definedName>
    <definedName name="Vertrouwelijk_papier660ltr_1_x_per_2_weken">'2. Invulblad Abonnement'!$D$64</definedName>
    <definedName name="Vertrouwelijk_papier660ltr_1_x_per_week">'2. Invulblad Abonnement'!$E$64</definedName>
    <definedName name="Vertrouwelijk_papier660ltr_1x_per_4_weken">'2. Invulblad Abonnement'!$C$64</definedName>
    <definedName name="Vertrouwelijk_papier660ltr_2x_per_week">'2. Invulblad Abonnement'!$F$64</definedName>
    <definedName name="Vertrouwelijk_papier660ltr_Afroep_lediging">'3. Invulblad Legen op afroep'!$C$70</definedName>
    <definedName name="Vertrouwelijk_papier660ltr_extra_lediging">'2. Invulblad Abonnement'!$H$64</definedName>
    <definedName name="Vertrouwelijk_papier660ltr_Huur_container">'3. Invulblad Legen op afroep'!$D$70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6" l="1"/>
  <c r="E4" i="6"/>
  <c r="D73" i="6"/>
  <c r="E52" i="6"/>
  <c r="F13" i="6"/>
  <c r="E73" i="6"/>
  <c r="F9" i="6"/>
  <c r="F6" i="6"/>
  <c r="K70" i="6"/>
  <c r="Q70" i="6" s="1"/>
  <c r="K69" i="6"/>
  <c r="Q69" i="6" s="1"/>
  <c r="K68" i="6"/>
  <c r="Q68" i="6" s="1"/>
  <c r="K67" i="6"/>
  <c r="Q67" i="6" s="1"/>
  <c r="K66" i="6"/>
  <c r="Q66" i="6" s="1"/>
  <c r="K65" i="6"/>
  <c r="Q65" i="6" s="1"/>
  <c r="J70" i="6"/>
  <c r="P70" i="6" s="1"/>
  <c r="J69" i="6"/>
  <c r="P69" i="6" s="1"/>
  <c r="J68" i="6"/>
  <c r="P68" i="6" s="1"/>
  <c r="J67" i="6"/>
  <c r="P67" i="6" s="1"/>
  <c r="J66" i="6"/>
  <c r="P66" i="6" s="1"/>
  <c r="J65" i="6"/>
  <c r="P65" i="6" s="1"/>
  <c r="O31" i="6"/>
  <c r="U31" i="6" s="1"/>
  <c r="O30" i="6"/>
  <c r="U30" i="6" s="1"/>
  <c r="O29" i="6"/>
  <c r="U29" i="6" s="1"/>
  <c r="O28" i="6"/>
  <c r="U28" i="6" s="1"/>
  <c r="O27" i="6"/>
  <c r="U27" i="6" s="1"/>
  <c r="O26" i="6"/>
  <c r="U26" i="6" s="1"/>
  <c r="M31" i="6"/>
  <c r="S31" i="6" s="1"/>
  <c r="M30" i="6"/>
  <c r="S30" i="6" s="1"/>
  <c r="M29" i="6"/>
  <c r="S29" i="6" s="1"/>
  <c r="M28" i="6"/>
  <c r="S28" i="6" s="1"/>
  <c r="M27" i="6"/>
  <c r="S27" i="6" s="1"/>
  <c r="M26" i="6"/>
  <c r="S26" i="6" s="1"/>
  <c r="L31" i="6"/>
  <c r="R31" i="6" s="1"/>
  <c r="L30" i="6"/>
  <c r="R30" i="6" s="1"/>
  <c r="L29" i="6"/>
  <c r="R29" i="6" s="1"/>
  <c r="L28" i="6"/>
  <c r="R28" i="6" s="1"/>
  <c r="L27" i="6"/>
  <c r="R27" i="6" s="1"/>
  <c r="L26" i="6"/>
  <c r="R26" i="6" s="1"/>
  <c r="K31" i="6"/>
  <c r="Q31" i="6" s="1"/>
  <c r="K30" i="6"/>
  <c r="Q30" i="6" s="1"/>
  <c r="K29" i="6"/>
  <c r="Q29" i="6" s="1"/>
  <c r="K28" i="6"/>
  <c r="Q28" i="6" s="1"/>
  <c r="K27" i="6"/>
  <c r="Q27" i="6" s="1"/>
  <c r="K26" i="6"/>
  <c r="Q26" i="6" s="1"/>
  <c r="J31" i="6"/>
  <c r="P31" i="6" s="1"/>
  <c r="J30" i="6"/>
  <c r="P30" i="6" s="1"/>
  <c r="J29" i="6"/>
  <c r="P29" i="6" s="1"/>
  <c r="J28" i="6"/>
  <c r="P28" i="6" s="1"/>
  <c r="J27" i="6"/>
  <c r="P27" i="6" s="1"/>
  <c r="J26" i="6"/>
  <c r="P26" i="6" s="1"/>
  <c r="J20" i="6"/>
  <c r="P20" i="6" s="1"/>
  <c r="E15" i="6"/>
  <c r="E13" i="6"/>
  <c r="G10" i="6"/>
  <c r="F11" i="6"/>
  <c r="F10" i="6"/>
  <c r="D15" i="6"/>
  <c r="D37" i="6"/>
  <c r="D4" i="6"/>
  <c r="K58" i="6"/>
  <c r="Q58" i="6" s="1"/>
  <c r="V58" i="6" s="1"/>
  <c r="J58" i="6"/>
  <c r="O19" i="6"/>
  <c r="U19" i="6" s="1"/>
  <c r="M19" i="6"/>
  <c r="S19" i="6" s="1"/>
  <c r="L19" i="6"/>
  <c r="R19" i="6" s="1"/>
  <c r="K19" i="6"/>
  <c r="Q19" i="6" s="1"/>
  <c r="J19" i="6"/>
  <c r="P19" i="6" s="1"/>
  <c r="K52" i="6"/>
  <c r="J42" i="6"/>
  <c r="P42" i="6" s="1"/>
  <c r="G51" i="6"/>
  <c r="K76" i="6"/>
  <c r="Q76" i="6" s="1"/>
  <c r="J76" i="6"/>
  <c r="K81" i="6"/>
  <c r="Q81" i="6" s="1"/>
  <c r="K80" i="6"/>
  <c r="Q80" i="6" s="1"/>
  <c r="K79" i="6"/>
  <c r="Q79" i="6" s="1"/>
  <c r="K78" i="6"/>
  <c r="Q78" i="6" s="1"/>
  <c r="K77" i="6"/>
  <c r="Q77" i="6" s="1"/>
  <c r="J81" i="6"/>
  <c r="P81" i="6" s="1"/>
  <c r="J80" i="6"/>
  <c r="P80" i="6" s="1"/>
  <c r="J79" i="6"/>
  <c r="P79" i="6" s="1"/>
  <c r="J78" i="6"/>
  <c r="P78" i="6" s="1"/>
  <c r="J77" i="6"/>
  <c r="P77" i="6" s="1"/>
  <c r="K75" i="6"/>
  <c r="Q75" i="6" s="1"/>
  <c r="K74" i="6"/>
  <c r="Q74" i="6" s="1"/>
  <c r="K73" i="6"/>
  <c r="Q73" i="6" s="1"/>
  <c r="J75" i="6"/>
  <c r="P75" i="6" s="1"/>
  <c r="J74" i="6"/>
  <c r="J73" i="6"/>
  <c r="K72" i="6"/>
  <c r="Q72" i="6" s="1"/>
  <c r="K71" i="6"/>
  <c r="Q71" i="6" s="1"/>
  <c r="J72" i="6"/>
  <c r="P72" i="6" s="1"/>
  <c r="J71" i="6"/>
  <c r="P71" i="6" s="1"/>
  <c r="K64" i="6"/>
  <c r="Q64" i="6" s="1"/>
  <c r="K63" i="6"/>
  <c r="Q63" i="6" s="1"/>
  <c r="K62" i="6"/>
  <c r="Q62" i="6" s="1"/>
  <c r="K61" i="6"/>
  <c r="Q61" i="6" s="1"/>
  <c r="K60" i="6"/>
  <c r="Q60" i="6" s="1"/>
  <c r="K59" i="6"/>
  <c r="Q59" i="6" s="1"/>
  <c r="J64" i="6"/>
  <c r="P64" i="6" s="1"/>
  <c r="J63" i="6"/>
  <c r="P63" i="6" s="1"/>
  <c r="J62" i="6"/>
  <c r="P62" i="6" s="1"/>
  <c r="J61" i="6"/>
  <c r="P61" i="6" s="1"/>
  <c r="J60" i="6"/>
  <c r="P60" i="6" s="1"/>
  <c r="J59" i="6"/>
  <c r="P59" i="6" s="1"/>
  <c r="K57" i="6"/>
  <c r="Q57" i="6" s="1"/>
  <c r="K56" i="6"/>
  <c r="Q56" i="6" s="1"/>
  <c r="K55" i="6"/>
  <c r="Q55" i="6" s="1"/>
  <c r="K54" i="6"/>
  <c r="Q54" i="6" s="1"/>
  <c r="K53" i="6"/>
  <c r="Q53" i="6" s="1"/>
  <c r="J57" i="6"/>
  <c r="P57" i="6" s="1"/>
  <c r="J56" i="6"/>
  <c r="P56" i="6" s="1"/>
  <c r="J55" i="6"/>
  <c r="P55" i="6" s="1"/>
  <c r="J54" i="6"/>
  <c r="P54" i="6" s="1"/>
  <c r="J53" i="6"/>
  <c r="P53" i="6" s="1"/>
  <c r="J52" i="6"/>
  <c r="M51" i="6"/>
  <c r="L51" i="6"/>
  <c r="R51" i="6" s="1"/>
  <c r="K51" i="6"/>
  <c r="Q51" i="6" s="1"/>
  <c r="K50" i="6"/>
  <c r="Q50" i="6" s="1"/>
  <c r="K49" i="6"/>
  <c r="Q49" i="6" s="1"/>
  <c r="K48" i="6"/>
  <c r="Q48" i="6" s="1"/>
  <c r="K47" i="6"/>
  <c r="Q47" i="6" s="1"/>
  <c r="K46" i="6"/>
  <c r="Q46" i="6" s="1"/>
  <c r="K45" i="6"/>
  <c r="Q45" i="6" s="1"/>
  <c r="K44" i="6"/>
  <c r="Q44" i="6" s="1"/>
  <c r="K43" i="6"/>
  <c r="Q43" i="6" s="1"/>
  <c r="K42" i="6"/>
  <c r="Q42" i="6" s="1"/>
  <c r="J50" i="6"/>
  <c r="P50" i="6" s="1"/>
  <c r="J49" i="6"/>
  <c r="P49" i="6" s="1"/>
  <c r="J48" i="6"/>
  <c r="P48" i="6" s="1"/>
  <c r="J47" i="6"/>
  <c r="P47" i="6" s="1"/>
  <c r="J46" i="6"/>
  <c r="P46" i="6" s="1"/>
  <c r="J45" i="6"/>
  <c r="P45" i="6" s="1"/>
  <c r="J44" i="6"/>
  <c r="P44" i="6" s="1"/>
  <c r="J43" i="6"/>
  <c r="P43" i="6" s="1"/>
  <c r="O33" i="6"/>
  <c r="U33" i="6" s="1"/>
  <c r="O32" i="6"/>
  <c r="U32" i="6" s="1"/>
  <c r="M33" i="6"/>
  <c r="S33" i="6" s="1"/>
  <c r="M32" i="6"/>
  <c r="S32" i="6" s="1"/>
  <c r="L33" i="6"/>
  <c r="R33" i="6" s="1"/>
  <c r="L32" i="6"/>
  <c r="R32" i="6" s="1"/>
  <c r="K33" i="6"/>
  <c r="Q33" i="6" s="1"/>
  <c r="K32" i="6"/>
  <c r="Q32" i="6" s="1"/>
  <c r="O37" i="6"/>
  <c r="U37" i="6" s="1"/>
  <c r="O36" i="6"/>
  <c r="U36" i="6" s="1"/>
  <c r="O35" i="6"/>
  <c r="U35" i="6" s="1"/>
  <c r="O34" i="6"/>
  <c r="U34" i="6" s="1"/>
  <c r="M36" i="6"/>
  <c r="S36" i="6" s="1"/>
  <c r="M35" i="6"/>
  <c r="S35" i="6" s="1"/>
  <c r="M34" i="6"/>
  <c r="S34" i="6" s="1"/>
  <c r="L37" i="6"/>
  <c r="R37" i="6" s="1"/>
  <c r="L35" i="6"/>
  <c r="R35" i="6" s="1"/>
  <c r="L36" i="6"/>
  <c r="R36" i="6" s="1"/>
  <c r="L34" i="6"/>
  <c r="R34" i="6" s="1"/>
  <c r="K37" i="6"/>
  <c r="Q37" i="6" s="1"/>
  <c r="K36" i="6"/>
  <c r="Q36" i="6" s="1"/>
  <c r="K35" i="6"/>
  <c r="Q35" i="6" s="1"/>
  <c r="K34" i="6"/>
  <c r="Q34" i="6" s="1"/>
  <c r="J37" i="6"/>
  <c r="J36" i="6"/>
  <c r="P36" i="6" s="1"/>
  <c r="J35" i="6"/>
  <c r="P35" i="6" s="1"/>
  <c r="J34" i="6"/>
  <c r="P34" i="6" s="1"/>
  <c r="O25" i="6"/>
  <c r="U25" i="6" s="1"/>
  <c r="O24" i="6"/>
  <c r="U24" i="6" s="1"/>
  <c r="O23" i="6"/>
  <c r="U23" i="6" s="1"/>
  <c r="O22" i="6"/>
  <c r="U22" i="6" s="1"/>
  <c r="O21" i="6"/>
  <c r="U21" i="6" s="1"/>
  <c r="O20" i="6"/>
  <c r="U20" i="6" s="1"/>
  <c r="M25" i="6"/>
  <c r="S25" i="6" s="1"/>
  <c r="M24" i="6"/>
  <c r="S24" i="6" s="1"/>
  <c r="M23" i="6"/>
  <c r="S23" i="6" s="1"/>
  <c r="M22" i="6"/>
  <c r="S22" i="6" s="1"/>
  <c r="M21" i="6"/>
  <c r="S21" i="6" s="1"/>
  <c r="M20" i="6"/>
  <c r="S20" i="6" s="1"/>
  <c r="L25" i="6"/>
  <c r="R25" i="6" s="1"/>
  <c r="L24" i="6"/>
  <c r="R24" i="6" s="1"/>
  <c r="L23" i="6"/>
  <c r="R23" i="6" s="1"/>
  <c r="L22" i="6"/>
  <c r="R22" i="6" s="1"/>
  <c r="L21" i="6"/>
  <c r="R21" i="6" s="1"/>
  <c r="L20" i="6"/>
  <c r="R20" i="6" s="1"/>
  <c r="K25" i="6"/>
  <c r="Q25" i="6" s="1"/>
  <c r="K24" i="6"/>
  <c r="Q24" i="6" s="1"/>
  <c r="K23" i="6"/>
  <c r="Q23" i="6" s="1"/>
  <c r="K22" i="6"/>
  <c r="Q22" i="6" s="1"/>
  <c r="K21" i="6"/>
  <c r="Q21" i="6" s="1"/>
  <c r="K20" i="6"/>
  <c r="Q20" i="6" s="1"/>
  <c r="J25" i="6"/>
  <c r="P25" i="6" s="1"/>
  <c r="J24" i="6"/>
  <c r="P24" i="6" s="1"/>
  <c r="J23" i="6"/>
  <c r="P23" i="6" s="1"/>
  <c r="J22" i="6"/>
  <c r="P22" i="6" s="1"/>
  <c r="J21" i="6"/>
  <c r="P21" i="6" s="1"/>
  <c r="O18" i="6"/>
  <c r="U18" i="6" s="1"/>
  <c r="O17" i="6"/>
  <c r="U17" i="6" s="1"/>
  <c r="O16" i="6"/>
  <c r="U16" i="6" s="1"/>
  <c r="O15" i="6"/>
  <c r="U15" i="6" s="1"/>
  <c r="O14" i="6"/>
  <c r="U14" i="6" s="1"/>
  <c r="O13" i="6"/>
  <c r="U13" i="6" s="1"/>
  <c r="M18" i="6"/>
  <c r="S18" i="6" s="1"/>
  <c r="M17" i="6"/>
  <c r="S17" i="6" s="1"/>
  <c r="M16" i="6"/>
  <c r="S16" i="6" s="1"/>
  <c r="M15" i="6"/>
  <c r="S15" i="6" s="1"/>
  <c r="M14" i="6"/>
  <c r="S14" i="6" s="1"/>
  <c r="M13" i="6"/>
  <c r="S13" i="6" s="1"/>
  <c r="L18" i="6"/>
  <c r="R18" i="6" s="1"/>
  <c r="L17" i="6"/>
  <c r="R17" i="6" s="1"/>
  <c r="L16" i="6"/>
  <c r="L15" i="6"/>
  <c r="R15" i="6" s="1"/>
  <c r="L14" i="6"/>
  <c r="R14" i="6" s="1"/>
  <c r="L13" i="6"/>
  <c r="K18" i="6"/>
  <c r="Q18" i="6" s="1"/>
  <c r="K17" i="6"/>
  <c r="Q17" i="6" s="1"/>
  <c r="K16" i="6"/>
  <c r="Q16" i="6" s="1"/>
  <c r="K15" i="6"/>
  <c r="Q15" i="6" s="1"/>
  <c r="K14" i="6"/>
  <c r="Q14" i="6" s="1"/>
  <c r="K13" i="6"/>
  <c r="J18" i="6"/>
  <c r="P18" i="6" s="1"/>
  <c r="J17" i="6"/>
  <c r="P17" i="6" s="1"/>
  <c r="J16" i="6"/>
  <c r="P16" i="6" s="1"/>
  <c r="J15" i="6"/>
  <c r="P15" i="6" s="1"/>
  <c r="J14" i="6"/>
  <c r="P14" i="6" s="1"/>
  <c r="J13" i="6"/>
  <c r="P13" i="6" s="1"/>
  <c r="O12" i="6"/>
  <c r="U12" i="6" s="1"/>
  <c r="O11" i="6"/>
  <c r="U11" i="6" s="1"/>
  <c r="O10" i="6"/>
  <c r="U10" i="6" s="1"/>
  <c r="O9" i="6"/>
  <c r="U9" i="6" s="1"/>
  <c r="O8" i="6"/>
  <c r="U8" i="6" s="1"/>
  <c r="O7" i="6"/>
  <c r="U7" i="6" s="1"/>
  <c r="O6" i="6"/>
  <c r="U6" i="6" s="1"/>
  <c r="O5" i="6"/>
  <c r="U5" i="6" s="1"/>
  <c r="O4" i="6"/>
  <c r="U4" i="6" s="1"/>
  <c r="N12" i="6"/>
  <c r="T12" i="6" s="1"/>
  <c r="N11" i="6"/>
  <c r="T11" i="6" s="1"/>
  <c r="N10" i="6"/>
  <c r="T10" i="6" s="1"/>
  <c r="N9" i="6"/>
  <c r="T9" i="6" s="1"/>
  <c r="N8" i="6"/>
  <c r="T8" i="6" s="1"/>
  <c r="N7" i="6"/>
  <c r="T7" i="6" s="1"/>
  <c r="N6" i="6"/>
  <c r="T6" i="6" s="1"/>
  <c r="N5" i="6"/>
  <c r="T5" i="6" s="1"/>
  <c r="N4" i="6"/>
  <c r="T4" i="6" s="1"/>
  <c r="M12" i="6"/>
  <c r="S12" i="6" s="1"/>
  <c r="M11" i="6"/>
  <c r="S11" i="6" s="1"/>
  <c r="M10" i="6"/>
  <c r="S10" i="6" s="1"/>
  <c r="M9" i="6"/>
  <c r="S9" i="6" s="1"/>
  <c r="M8" i="6"/>
  <c r="S8" i="6" s="1"/>
  <c r="M7" i="6"/>
  <c r="S7" i="6" s="1"/>
  <c r="M6" i="6"/>
  <c r="S6" i="6" s="1"/>
  <c r="M5" i="6"/>
  <c r="S5" i="6" s="1"/>
  <c r="M4" i="6"/>
  <c r="S4" i="6" s="1"/>
  <c r="L12" i="6"/>
  <c r="R12" i="6" s="1"/>
  <c r="L11" i="6"/>
  <c r="R11" i="6" s="1"/>
  <c r="L10" i="6"/>
  <c r="L9" i="6"/>
  <c r="L8" i="6"/>
  <c r="R8" i="6" s="1"/>
  <c r="L7" i="6"/>
  <c r="R7" i="6" s="1"/>
  <c r="L6" i="6"/>
  <c r="L5" i="6"/>
  <c r="R5" i="6" s="1"/>
  <c r="L4" i="6"/>
  <c r="R4" i="6" s="1"/>
  <c r="K12" i="6"/>
  <c r="Q12" i="6" s="1"/>
  <c r="K11" i="6"/>
  <c r="Q11" i="6" s="1"/>
  <c r="K10" i="6"/>
  <c r="Q10" i="6" s="1"/>
  <c r="K9" i="6"/>
  <c r="Q9" i="6" s="1"/>
  <c r="K8" i="6"/>
  <c r="Q8" i="6" s="1"/>
  <c r="K7" i="6"/>
  <c r="Q7" i="6" s="1"/>
  <c r="K6" i="6"/>
  <c r="Q6" i="6" s="1"/>
  <c r="K5" i="6"/>
  <c r="Q5" i="6" s="1"/>
  <c r="K4" i="6"/>
  <c r="J12" i="6"/>
  <c r="P12" i="6" s="1"/>
  <c r="J11" i="6"/>
  <c r="P11" i="6" s="1"/>
  <c r="J10" i="6"/>
  <c r="P10" i="6" s="1"/>
  <c r="J9" i="6"/>
  <c r="P9" i="6" s="1"/>
  <c r="J8" i="6"/>
  <c r="P8" i="6" s="1"/>
  <c r="J7" i="6"/>
  <c r="P7" i="6" s="1"/>
  <c r="J6" i="6"/>
  <c r="P6" i="6" s="1"/>
  <c r="J5" i="6"/>
  <c r="P5" i="6" s="1"/>
  <c r="J4" i="6"/>
  <c r="P4" i="6" s="1"/>
  <c r="Q52" i="6" l="1"/>
  <c r="P76" i="6"/>
  <c r="V76" i="6" s="1"/>
  <c r="P74" i="6"/>
  <c r="V74" i="6" s="1"/>
  <c r="V68" i="6"/>
  <c r="V26" i="6"/>
  <c r="V30" i="6"/>
  <c r="V29" i="6"/>
  <c r="V28" i="6"/>
  <c r="V31" i="6"/>
  <c r="V66" i="6"/>
  <c r="V27" i="6"/>
  <c r="V69" i="6"/>
  <c r="V70" i="6"/>
  <c r="V65" i="6"/>
  <c r="V67" i="6"/>
  <c r="R16" i="6"/>
  <c r="V16" i="6" s="1"/>
  <c r="P73" i="6"/>
  <c r="V73" i="6" s="1"/>
  <c r="R13" i="6"/>
  <c r="P37" i="6"/>
  <c r="V37" i="6" s="1"/>
  <c r="V19" i="6"/>
  <c r="Q13" i="6"/>
  <c r="R10" i="6"/>
  <c r="V10" i="6" s="1"/>
  <c r="R9" i="6"/>
  <c r="R6" i="6"/>
  <c r="V6" i="6" s="1"/>
  <c r="Q4" i="6"/>
  <c r="V4" i="6" s="1"/>
  <c r="V45" i="6"/>
  <c r="V61" i="6"/>
  <c r="V75" i="6"/>
  <c r="S51" i="6"/>
  <c r="V51" i="6" s="1"/>
  <c r="P52" i="6"/>
  <c r="V52" i="6" s="1"/>
  <c r="V80" i="6"/>
  <c r="V79" i="6"/>
  <c r="V71" i="6"/>
  <c r="V48" i="6"/>
  <c r="V53" i="6"/>
  <c r="V64" i="6"/>
  <c r="V77" i="6"/>
  <c r="V42" i="6"/>
  <c r="V56" i="6"/>
  <c r="V59" i="6"/>
  <c r="V78" i="6"/>
  <c r="V55" i="6"/>
  <c r="V72" i="6"/>
  <c r="V81" i="6"/>
  <c r="V50" i="6"/>
  <c r="V57" i="6"/>
  <c r="V60" i="6"/>
  <c r="V46" i="6"/>
  <c r="V62" i="6"/>
  <c r="V47" i="6"/>
  <c r="V63" i="6"/>
  <c r="V49" i="6"/>
  <c r="V54" i="6"/>
  <c r="V44" i="6"/>
  <c r="V43" i="6"/>
  <c r="V32" i="6"/>
  <c r="V33" i="6"/>
  <c r="V8" i="6"/>
  <c r="V36" i="6"/>
  <c r="V22" i="6"/>
  <c r="V35" i="6"/>
  <c r="V18" i="6"/>
  <c r="V20" i="6"/>
  <c r="V21" i="6"/>
  <c r="V9" i="6"/>
  <c r="V5" i="6"/>
  <c r="V11" i="6"/>
  <c r="V14" i="6"/>
  <c r="V23" i="6"/>
  <c r="V7" i="6"/>
  <c r="V24" i="6"/>
  <c r="V15" i="6"/>
  <c r="V25" i="6"/>
  <c r="V12" i="6"/>
  <c r="V17" i="6"/>
  <c r="V34" i="6"/>
  <c r="V13" i="6" l="1"/>
  <c r="W38" i="6" s="1"/>
  <c r="W82" i="6"/>
  <c r="W87" i="6" l="1"/>
  <c r="B4" i="2" s="1"/>
</calcChain>
</file>

<file path=xl/sharedStrings.xml><?xml version="1.0" encoding="utf-8"?>
<sst xmlns="http://schemas.openxmlformats.org/spreadsheetml/2006/main" count="634" uniqueCount="133">
  <si>
    <t>Kenmerk: IA2024.07.12</t>
  </si>
  <si>
    <t>Abonnementen</t>
  </si>
  <si>
    <t>Lediging op afroep</t>
  </si>
  <si>
    <t>Invulblad Voorblad</t>
  </si>
  <si>
    <t>Prijzen die niet zijn opgegeven kunnen niet in rekening worden gebracht.</t>
  </si>
  <si>
    <t>Indien u geen prijzen invult, betekent dit dat voor het gevraagde geen bedrag in rekening wordt gebracht (zijnde 0 euro).</t>
  </si>
  <si>
    <t>U dient het voorblad rechtsgeldig te ondertekenen en vervolgens het gehele tarievenblad ingescand als PDF bij uw inschrijving te voegen.</t>
  </si>
  <si>
    <t>U dient het tarievenblad tevens als Exceldocument bij uw inschrijving toe te voegen.</t>
  </si>
  <si>
    <t>Alle prijzen dienen exclusief BTW te zijn.</t>
  </si>
  <si>
    <t>Naam inschrijver:</t>
  </si>
  <si>
    <t>Datum:</t>
  </si>
  <si>
    <t>Naam:</t>
  </si>
  <si>
    <t>Functie:</t>
  </si>
  <si>
    <t>Handtekening:</t>
  </si>
  <si>
    <t>Restafval, abonnement</t>
  </si>
  <si>
    <t>Liters</t>
  </si>
  <si>
    <t>Prijzen inschrijver</t>
  </si>
  <si>
    <t>Abonnementsprijzen inclusief huur, lediging, transport en verwerking per maand exclusief BTW per container</t>
  </si>
  <si>
    <t>2x per week</t>
  </si>
  <si>
    <t>1 x per week</t>
  </si>
  <si>
    <t>3 x per week</t>
  </si>
  <si>
    <t>1 x per 2 weken</t>
  </si>
  <si>
    <t>1x per 4 weken</t>
  </si>
  <si>
    <t>750/770</t>
  </si>
  <si>
    <t>Restafval, rolcontainer, afroep</t>
  </si>
  <si>
    <t>Inhoud</t>
  </si>
  <si>
    <t>Prijs per  lediging  en verwerking, excl. Btw</t>
  </si>
  <si>
    <t>Huur inzamelmiddel bij lediging op afroep (per maand), excl BTW per container</t>
  </si>
  <si>
    <t>liters</t>
  </si>
  <si>
    <t>Restafval, perscontainer, afroep</t>
  </si>
  <si>
    <t>Prijs voor transport (per lediging), excl. Btw</t>
  </si>
  <si>
    <t xml:space="preserve">Prijs per lediging  en verwerking, excl. Btw </t>
  </si>
  <si>
    <t>Specials, afroep</t>
  </si>
  <si>
    <t>Aantal abonnementen</t>
  </si>
  <si>
    <t>Eenheidsprijzen per maand</t>
  </si>
  <si>
    <t>Subtotalen per jaar</t>
  </si>
  <si>
    <t>Lediging met abonnement</t>
  </si>
  <si>
    <t>Soort afvalstroom en volume</t>
  </si>
  <si>
    <t>Restafval, 240 liter</t>
  </si>
  <si>
    <t>Restafval, 660 liter</t>
  </si>
  <si>
    <t>Restafval, 1600 liter</t>
  </si>
  <si>
    <t>Restafval, 2500 liter</t>
  </si>
  <si>
    <t>Papier en karton, 240 liter</t>
  </si>
  <si>
    <t>Papier en karton, 660 liter</t>
  </si>
  <si>
    <t>Papier en karton, 1100 liter</t>
  </si>
  <si>
    <t>Keren afroep per jaar</t>
  </si>
  <si>
    <t xml:space="preserve">Prijs per lediging </t>
  </si>
  <si>
    <t>n.v.t.</t>
  </si>
  <si>
    <t>Inschrijfprijs</t>
  </si>
  <si>
    <t>Extra lediging</t>
  </si>
  <si>
    <t>GFT, rolcontainer, afroep</t>
  </si>
  <si>
    <t>Bont papier en karton, abonnement</t>
  </si>
  <si>
    <t>Vertrouwelijke documenten, abonnement</t>
  </si>
  <si>
    <t>Bont papier en karton, rolcontainer, afroep</t>
  </si>
  <si>
    <t>Container 240 liter voor glas</t>
  </si>
  <si>
    <t>Plastic, Metaal, Drinkkartons abonnement</t>
  </si>
  <si>
    <t>240ltr kentekens</t>
  </si>
  <si>
    <t>medicijnbox 10 ltr</t>
  </si>
  <si>
    <t>Spuiten en naalden box 10 ltr</t>
  </si>
  <si>
    <t>container t.b.v. batterijen, 60ltr</t>
  </si>
  <si>
    <t>Perscontainer 10 m3</t>
  </si>
  <si>
    <t>PMD, rolcontainer, afroep</t>
  </si>
  <si>
    <t>Restafval, 500 liter</t>
  </si>
  <si>
    <t>Restafval, 1000 liter</t>
  </si>
  <si>
    <t>Restafval, 1100 liter</t>
  </si>
  <si>
    <t>Restafval, 1300 liter</t>
  </si>
  <si>
    <t>Restafval, 750/770 liter</t>
  </si>
  <si>
    <t>Papier en karton, 500 liter</t>
  </si>
  <si>
    <t>Papier en karton, 750/770 liter</t>
  </si>
  <si>
    <t>Papier en karton, 1000 liter</t>
  </si>
  <si>
    <t>Plastic, Metaal en Drinkkartons, 240 liter</t>
  </si>
  <si>
    <t>Plastic, Metaal en Drinkkartons, 500 liter</t>
  </si>
  <si>
    <t>Plastic, Metaal en Drinkkartons, 660 liter</t>
  </si>
  <si>
    <t>Plastic, Metaal en Drinkkartons, 750/770 liter</t>
  </si>
  <si>
    <t>Plastic, Metaal en Drinkkartons, 1000 liter</t>
  </si>
  <si>
    <t>Plastic, Metaal en Drinkkartons, 1100 liter</t>
  </si>
  <si>
    <t>Vertrouwelijke documenten, 240 liter</t>
  </si>
  <si>
    <t>Vertrouwelijke documenten, 500 liter</t>
  </si>
  <si>
    <t>Vertrouwelijke documenten, 660 liter</t>
  </si>
  <si>
    <t>2 x per week</t>
  </si>
  <si>
    <r>
      <t>Verwerking</t>
    </r>
    <r>
      <rPr>
        <sz val="11"/>
        <rFont val="Aptos Narrow"/>
        <family val="2"/>
        <scheme val="minor"/>
      </rPr>
      <t xml:space="preserve"> (per ton)</t>
    </r>
    <r>
      <rPr>
        <sz val="11"/>
        <color theme="1"/>
        <rFont val="Aptos Narrow"/>
        <family val="2"/>
        <scheme val="minor"/>
      </rPr>
      <t>, excl BTW</t>
    </r>
  </si>
  <si>
    <t>GFT, rolcontainer, abonnement</t>
  </si>
  <si>
    <t>Gft, 240 liter</t>
  </si>
  <si>
    <t>Gft, 120 liter</t>
  </si>
  <si>
    <t>Aantal containers</t>
  </si>
  <si>
    <t>Prijs huur inzamelmiddel per maand</t>
  </si>
  <si>
    <t>Prijs voor transport (per lediging)</t>
  </si>
  <si>
    <t>Verwerking (per ton)</t>
  </si>
  <si>
    <t>Eenheidsprijzen</t>
  </si>
  <si>
    <t>Specials, kentekens 240 liter</t>
  </si>
  <si>
    <t>Specials, Medicijnbox 10 liter</t>
  </si>
  <si>
    <t>Specials, Batterijen, 60 liter</t>
  </si>
  <si>
    <t>Specials, spuiten en naalden box 10 liter</t>
  </si>
  <si>
    <t>Aantallen op afroep (fictief)</t>
  </si>
  <si>
    <t>Transport perscontainer</t>
  </si>
  <si>
    <t>Huur containers</t>
  </si>
  <si>
    <t>Ledigingen op afroep</t>
  </si>
  <si>
    <t>Transport Perscontainer</t>
  </si>
  <si>
    <t>Verwerking perscontainer</t>
  </si>
  <si>
    <t>Vertrouwelijk documenten, rolcontainer, afroep</t>
  </si>
  <si>
    <t>Specials, Glas, 240 liter</t>
  </si>
  <si>
    <t xml:space="preserve"> Specials Glas, abonnement </t>
  </si>
  <si>
    <t>Specials Glas, 240 liter</t>
  </si>
  <si>
    <t>Subtotalen abonnementen (per onderdeel per jaar)</t>
  </si>
  <si>
    <t>Subtotaal abonnementen (per jaar)</t>
  </si>
  <si>
    <t>Subtotaal op afroep (per jaar)</t>
  </si>
  <si>
    <t>Legen op afroep</t>
  </si>
  <si>
    <t>Invulblad Abonnement</t>
  </si>
  <si>
    <t>Invulblad Legen op afroep</t>
  </si>
  <si>
    <t>Voor het inzamelen en afvoeren van de genoemde afvalstromen geeft de Inschrijver een abonnementsprijs op voor alle typen containers die op een locatie besteld kunnen worden. 
De ingevulde abonnementsprijzen zijn per kalendermaand. Ook dienen hier de incidentele extra ledigingen op een abonnement te worden toegevoegd. 
De vermelde prijzen dienen all-in te zijn. Voor meer informatie over wat onder all-in wordt verstaan, verwijzen wij naar paragraaf 5.3.1 van de Offerteaanvraag.</t>
  </si>
  <si>
    <t>Voor het inzamelen en afvoeren van de benoemde afvalstromen offreert Inschrijver een prijs voor lediging op afroep.  
De vermelde prijzen dienen all-in te zijn. Voor meer informatie over wat onder all-in wordt verstaan, verwijzen wij naar paragraaf 5.3.1 van de Offerteaanvraag.</t>
  </si>
  <si>
    <t>Totaalprijs</t>
  </si>
  <si>
    <t>Invulinstructies</t>
  </si>
  <si>
    <t>Deze bijlage en onderliggende invulbladen maken integraal onderdeel uit van offerteaanvraag met referentie zoals hierboven vermeld.</t>
  </si>
  <si>
    <t>De inschrijfprijs wordt automatisch berekend op basis van de door de gemeente opgenomen locaties, aantallen, frequenties en hoeveelheden en de door Inschrijver ingevulde bedragen in tabblad 2 Invulblad Abonnement en tabblad 3 Invulblad Legen op afroep.
Let op: de Inschrijfprijs vormt de basis voor de beoordeling van de prijs, zie paragraaf 5.3.1 Subgunningscriterium prijs van de offerteaanvraag.</t>
  </si>
  <si>
    <t>Aan de genoemde aantallen, hoeveelheden en frequenties kunnen geen rechten worden ontleend.</t>
  </si>
  <si>
    <t>U dient alle Invulbladen in te vullen.</t>
  </si>
  <si>
    <t>De in het tabblad Totaalprijs opgenomen aantallen en frequenties zijn gebaseerd op de huidige situatie (zie bijlage 1 Objectenlijst) en kunnen tijdens de overeenkomst afwijken.</t>
  </si>
  <si>
    <t>U dient alle gevraagde gegevens in te vullen (deze cellen zijn geel gearceerd).</t>
  </si>
  <si>
    <t>Papier en karton, 1300 liter</t>
  </si>
  <si>
    <t>240ltr Mediabox (sleutels en pasjes)</t>
  </si>
  <si>
    <t>Verwerking inhoud per ton perscontainer</t>
  </si>
  <si>
    <t>Specials, Mediabox (Sleutels en pasjes) 60 liter</t>
  </si>
  <si>
    <t>Restafval, Perscontainer 10 m3 (inschatting: gemiddeld 3 ton per lediging)</t>
  </si>
  <si>
    <t>Plastic, Drinkkartons abonnement</t>
  </si>
  <si>
    <t>PD, rolcontainer, afroep</t>
  </si>
  <si>
    <t>Plastic en Drinkkartons, 240 liter</t>
  </si>
  <si>
    <t>Plastic en Drinkkartons, 500 liter</t>
  </si>
  <si>
    <t>Plastic en Drinkkartons, 660 liter</t>
  </si>
  <si>
    <t>Plastic en Drinkkartons, 750/770 liter</t>
  </si>
  <si>
    <t>Plastic en Drinkkartons, 1000 liter</t>
  </si>
  <si>
    <t>Plastic en Drinkkartons, 1100 liter</t>
  </si>
  <si>
    <t>Bijlage 3 Tarievenblad Europese aanbesteding Bedrijfsafval Gemeente Almere 2025  - Versie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</si>
</sst>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7">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9"/>
      <color theme="1"/>
      <name val="Segoe UI"/>
      <family val="2"/>
    </font>
    <font>
      <b/>
      <sz val="9"/>
      <color theme="1"/>
      <name val="Segoe UI"/>
      <family val="2"/>
    </font>
    <font>
      <sz val="9"/>
      <name val="Segoe UI"/>
      <family val="2"/>
    </font>
    <font>
      <sz val="9"/>
      <name val="Seg"/>
    </font>
    <font>
      <sz val="10"/>
      <name val="Geneva"/>
    </font>
    <font>
      <sz val="11"/>
      <name val="Aptos Narrow"/>
      <family val="2"/>
      <scheme val="minor"/>
    </font>
    <font>
      <b/>
      <sz val="11"/>
      <name val="Aptos Narrow"/>
      <family val="2"/>
      <scheme val="minor"/>
    </font>
    <font>
      <b/>
      <sz val="16"/>
      <color theme="1"/>
      <name val="Aptos Narrow"/>
      <family val="2"/>
      <scheme val="minor"/>
    </font>
    <font>
      <sz val="18"/>
      <color theme="1"/>
      <name val="Aptos Narrow"/>
      <family val="2"/>
      <scheme val="minor"/>
    </font>
    <font>
      <sz val="11"/>
      <color rgb="FFFF0000"/>
      <name val="Aptos Narrow"/>
      <family val="2"/>
      <scheme val="minor"/>
    </font>
    <font>
      <b/>
      <sz val="16"/>
      <name val="Aptos Narrow"/>
      <family val="2"/>
      <scheme val="minor"/>
    </font>
    <font>
      <b/>
      <sz val="9"/>
      <name val="Segoe UI"/>
      <family val="2"/>
    </font>
    <font>
      <b/>
      <sz val="18"/>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00A0BA"/>
        <bgColor indexed="64"/>
      </patternFill>
    </fill>
    <fill>
      <patternFill patternType="solid">
        <fgColor rgb="FFFFFFCC"/>
        <bgColor indexed="64"/>
      </patternFill>
    </fill>
    <fill>
      <patternFill patternType="solid">
        <fgColor theme="7" tint="0.79998168889431442"/>
        <bgColor indexed="64"/>
      </patternFill>
    </fill>
    <fill>
      <patternFill patternType="solid">
        <fgColor rgb="FFC0E6F5"/>
        <bgColor indexed="64"/>
      </patternFill>
    </fill>
  </fills>
  <borders count="58">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auto="1"/>
      </left>
      <right/>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right/>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8" fillId="0" borderId="0"/>
  </cellStyleXfs>
  <cellXfs count="220">
    <xf numFmtId="0" fontId="0" fillId="0" borderId="0" xfId="0"/>
    <xf numFmtId="0" fontId="10" fillId="2" borderId="1" xfId="3" applyFont="1" applyFill="1" applyBorder="1" applyProtection="1">
      <protection hidden="1"/>
    </xf>
    <xf numFmtId="0" fontId="10" fillId="2" borderId="3" xfId="3" applyFont="1" applyFill="1" applyBorder="1" applyProtection="1">
      <protection hidden="1"/>
    </xf>
    <xf numFmtId="0" fontId="10" fillId="2" borderId="5" xfId="3" applyFont="1" applyFill="1" applyBorder="1" applyProtection="1">
      <protection hidden="1"/>
    </xf>
    <xf numFmtId="44" fontId="0" fillId="5" borderId="7" xfId="0" applyNumberFormat="1" applyFill="1" applyBorder="1" applyProtection="1">
      <protection locked="0"/>
    </xf>
    <xf numFmtId="0" fontId="9" fillId="5" borderId="2" xfId="3" applyFont="1" applyFill="1" applyBorder="1" applyProtection="1">
      <protection locked="0"/>
    </xf>
    <xf numFmtId="0" fontId="9" fillId="5" borderId="4" xfId="3" applyFont="1" applyFill="1" applyBorder="1" applyProtection="1">
      <protection locked="0"/>
    </xf>
    <xf numFmtId="44" fontId="0" fillId="5" borderId="7" xfId="0" applyNumberFormat="1" applyFill="1" applyBorder="1" applyAlignment="1" applyProtection="1">
      <alignment horizontal="center" vertical="center" wrapText="1"/>
      <protection locked="0"/>
    </xf>
    <xf numFmtId="44" fontId="0" fillId="5" borderId="10" xfId="0" applyNumberFormat="1" applyFill="1" applyBorder="1" applyAlignment="1" applyProtection="1">
      <alignment horizontal="center" vertical="center" wrapText="1"/>
      <protection locked="0"/>
    </xf>
    <xf numFmtId="0" fontId="0" fillId="2" borderId="0" xfId="0" applyFill="1"/>
    <xf numFmtId="0" fontId="11" fillId="2" borderId="11" xfId="0" applyFont="1" applyFill="1" applyBorder="1" applyAlignment="1">
      <alignment horizontal="left"/>
    </xf>
    <xf numFmtId="0" fontId="11" fillId="2" borderId="13" xfId="0" applyFont="1" applyFill="1" applyBorder="1" applyAlignment="1">
      <alignment horizontal="left"/>
    </xf>
    <xf numFmtId="0" fontId="11" fillId="2" borderId="0" xfId="0" applyFont="1" applyFill="1" applyAlignment="1">
      <alignment horizontal="left"/>
    </xf>
    <xf numFmtId="44" fontId="11" fillId="4" borderId="7" xfId="0" applyNumberFormat="1" applyFont="1" applyFill="1" applyBorder="1" applyAlignment="1">
      <alignment horizontal="left"/>
    </xf>
    <xf numFmtId="0" fontId="3" fillId="2" borderId="0" xfId="0" applyFont="1" applyFill="1" applyAlignment="1">
      <alignment wrapText="1"/>
    </xf>
    <xf numFmtId="0" fontId="0" fillId="2" borderId="0" xfId="0" applyFill="1" applyAlignment="1">
      <alignment wrapText="1"/>
    </xf>
    <xf numFmtId="0" fontId="2" fillId="2" borderId="0" xfId="0" applyFont="1" applyFill="1" applyAlignment="1">
      <alignment wrapText="1"/>
    </xf>
    <xf numFmtId="0" fontId="4" fillId="2" borderId="0" xfId="0" applyFont="1" applyFill="1" applyAlignment="1">
      <alignment horizontal="left" vertical="top" wrapText="1"/>
    </xf>
    <xf numFmtId="0" fontId="4" fillId="2" borderId="0" xfId="0" applyFont="1" applyFill="1" applyAlignment="1">
      <alignment horizontal="left" vertical="center" indent="5"/>
    </xf>
    <xf numFmtId="0" fontId="5" fillId="2" borderId="0" xfId="0" applyFont="1" applyFill="1" applyAlignment="1">
      <alignment horizontal="left" vertical="center" wrapText="1"/>
    </xf>
    <xf numFmtId="0" fontId="4" fillId="2" borderId="0" xfId="0" applyFont="1" applyFill="1" applyAlignment="1">
      <alignment horizontal="left" vertical="center" wrapText="1"/>
    </xf>
    <xf numFmtId="0" fontId="0" fillId="2" borderId="0" xfId="0" applyFill="1" applyAlignment="1">
      <alignment horizontal="left" vertical="center" wrapText="1"/>
    </xf>
    <xf numFmtId="0" fontId="15" fillId="2" borderId="0" xfId="0" applyFont="1" applyFill="1" applyAlignment="1">
      <alignment horizontal="left" vertical="center" wrapText="1"/>
    </xf>
    <xf numFmtId="0" fontId="6" fillId="2" borderId="0" xfId="0" applyFont="1" applyFill="1" applyAlignment="1">
      <alignment horizontal="left" vertical="center" indent="5"/>
    </xf>
    <xf numFmtId="0" fontId="6" fillId="2" borderId="0" xfId="0" applyFont="1" applyFill="1"/>
    <xf numFmtId="0" fontId="6" fillId="2" borderId="0" xfId="0" applyFont="1" applyFill="1" applyAlignment="1">
      <alignment horizontal="left" vertical="center" wrapText="1"/>
    </xf>
    <xf numFmtId="0" fontId="7" fillId="2" borderId="0" xfId="0" applyFont="1" applyFill="1"/>
    <xf numFmtId="0" fontId="7" fillId="2" borderId="0" xfId="0" applyFont="1" applyFill="1" applyAlignment="1">
      <alignment horizontal="left" vertical="center"/>
    </xf>
    <xf numFmtId="0" fontId="7" fillId="2" borderId="0" xfId="0" applyFont="1" applyFill="1" applyAlignment="1">
      <alignment horizontal="left" vertical="center" indent="5"/>
    </xf>
    <xf numFmtId="0" fontId="0" fillId="0" borderId="54" xfId="0" applyBorder="1"/>
    <xf numFmtId="0" fontId="0" fillId="2" borderId="54" xfId="0" applyFill="1" applyBorder="1"/>
    <xf numFmtId="44" fontId="0" fillId="6" borderId="8" xfId="0" applyNumberFormat="1" applyFill="1" applyBorder="1" applyAlignment="1">
      <alignment horizontal="right" vertical="center" wrapText="1"/>
    </xf>
    <xf numFmtId="0" fontId="9" fillId="2" borderId="8" xfId="0" applyFont="1" applyFill="1" applyBorder="1" applyAlignment="1">
      <alignment horizontal="left"/>
    </xf>
    <xf numFmtId="0" fontId="0" fillId="2" borderId="0" xfId="0" applyFill="1" applyAlignment="1">
      <alignment horizontal="left"/>
    </xf>
    <xf numFmtId="44" fontId="0" fillId="2" borderId="0" xfId="0" applyNumberFormat="1" applyFill="1" applyAlignment="1">
      <alignment horizontal="center" vertical="center" wrapText="1"/>
    </xf>
    <xf numFmtId="0" fontId="0" fillId="7" borderId="10" xfId="0" applyFill="1" applyBorder="1"/>
    <xf numFmtId="0" fontId="0" fillId="7" borderId="7" xfId="0" applyFill="1" applyBorder="1" applyAlignment="1">
      <alignment vertical="center"/>
    </xf>
    <xf numFmtId="0" fontId="0" fillId="7" borderId="7" xfId="0" applyFill="1" applyBorder="1"/>
    <xf numFmtId="44" fontId="0" fillId="7" borderId="7" xfId="0" applyNumberFormat="1" applyFill="1" applyBorder="1" applyAlignment="1">
      <alignment vertical="center" wrapText="1"/>
    </xf>
    <xf numFmtId="44" fontId="0" fillId="7" borderId="7" xfId="0" applyNumberFormat="1" applyFill="1" applyBorder="1" applyAlignment="1">
      <alignment horizontal="right" vertical="center" wrapText="1"/>
    </xf>
    <xf numFmtId="0" fontId="9" fillId="2" borderId="7" xfId="0" applyFont="1" applyFill="1" applyBorder="1" applyAlignment="1">
      <alignment horizontal="left"/>
    </xf>
    <xf numFmtId="44" fontId="0" fillId="7" borderId="13" xfId="0" applyNumberFormat="1" applyFill="1" applyBorder="1" applyAlignment="1">
      <alignment vertical="center" wrapText="1"/>
    </xf>
    <xf numFmtId="0" fontId="0" fillId="0" borderId="10" xfId="0" applyBorder="1" applyAlignment="1">
      <alignment horizontal="left"/>
    </xf>
    <xf numFmtId="44" fontId="0" fillId="3" borderId="7" xfId="0" applyNumberFormat="1" applyFill="1" applyBorder="1" applyAlignment="1">
      <alignment horizontal="right" vertical="center" wrapText="1"/>
    </xf>
    <xf numFmtId="0" fontId="0" fillId="0" borderId="7" xfId="0" applyBorder="1" applyAlignment="1">
      <alignment horizontal="left"/>
    </xf>
    <xf numFmtId="0" fontId="0" fillId="0" borderId="12" xfId="0" applyBorder="1" applyAlignment="1">
      <alignment horizontal="left"/>
    </xf>
    <xf numFmtId="44" fontId="0" fillId="0" borderId="12" xfId="0" applyNumberFormat="1" applyBorder="1"/>
    <xf numFmtId="0" fontId="0" fillId="0" borderId="0" xfId="0" applyAlignment="1">
      <alignment horizontal="left"/>
    </xf>
    <xf numFmtId="44" fontId="0" fillId="0" borderId="0" xfId="0" applyNumberFormat="1" applyAlignment="1">
      <alignment horizontal="center" vertical="center" wrapText="1"/>
    </xf>
    <xf numFmtId="0" fontId="0" fillId="7" borderId="13" xfId="0" applyFill="1" applyBorder="1" applyAlignment="1">
      <alignment vertical="center"/>
    </xf>
    <xf numFmtId="0" fontId="0" fillId="2" borderId="7" xfId="0" applyFill="1" applyBorder="1" applyAlignment="1">
      <alignment horizontal="left"/>
    </xf>
    <xf numFmtId="44" fontId="0" fillId="0" borderId="0" xfId="0" applyNumberFormat="1"/>
    <xf numFmtId="0" fontId="11" fillId="2" borderId="7" xfId="0" applyFont="1" applyFill="1" applyBorder="1" applyAlignment="1">
      <alignment horizontal="left"/>
    </xf>
    <xf numFmtId="0" fontId="9" fillId="7" borderId="7" xfId="0" applyFont="1" applyFill="1" applyBorder="1" applyAlignment="1">
      <alignment vertical="center"/>
    </xf>
    <xf numFmtId="0" fontId="9" fillId="7" borderId="7" xfId="0" applyFont="1" applyFill="1" applyBorder="1"/>
    <xf numFmtId="44" fontId="9" fillId="7" borderId="7" xfId="0" applyNumberFormat="1" applyFont="1" applyFill="1" applyBorder="1" applyAlignment="1">
      <alignment vertical="center" wrapText="1"/>
    </xf>
    <xf numFmtId="44" fontId="9" fillId="7" borderId="13" xfId="0" applyNumberFormat="1" applyFont="1" applyFill="1" applyBorder="1" applyAlignment="1">
      <alignment vertical="center" wrapText="1"/>
    </xf>
    <xf numFmtId="0" fontId="9" fillId="2" borderId="10" xfId="0" applyFont="1" applyFill="1" applyBorder="1"/>
    <xf numFmtId="0" fontId="9" fillId="0" borderId="7" xfId="0" applyFont="1" applyBorder="1"/>
    <xf numFmtId="0" fontId="9" fillId="2" borderId="7" xfId="0" applyFont="1" applyFill="1" applyBorder="1"/>
    <xf numFmtId="0" fontId="13" fillId="7" borderId="10" xfId="0" applyFont="1" applyFill="1" applyBorder="1"/>
    <xf numFmtId="0" fontId="0" fillId="2" borderId="10" xfId="0" applyFill="1" applyBorder="1" applyAlignment="1">
      <alignment horizontal="left"/>
    </xf>
    <xf numFmtId="0" fontId="11" fillId="2" borderId="7" xfId="0" applyFont="1" applyFill="1" applyBorder="1"/>
    <xf numFmtId="0" fontId="11" fillId="7" borderId="7" xfId="0" applyFont="1" applyFill="1" applyBorder="1"/>
    <xf numFmtId="0" fontId="9" fillId="2" borderId="7" xfId="0" applyFont="1" applyFill="1" applyBorder="1" applyAlignment="1">
      <alignment vertical="center"/>
    </xf>
    <xf numFmtId="0" fontId="14" fillId="2" borderId="8" xfId="0" applyFont="1" applyFill="1" applyBorder="1"/>
    <xf numFmtId="0" fontId="11" fillId="2" borderId="8" xfId="0" applyFont="1" applyFill="1" applyBorder="1"/>
    <xf numFmtId="0" fontId="11" fillId="2" borderId="36" xfId="0" applyFont="1" applyFill="1" applyBorder="1"/>
    <xf numFmtId="0" fontId="0" fillId="2" borderId="50" xfId="0" applyFill="1" applyBorder="1"/>
    <xf numFmtId="0" fontId="0" fillId="7" borderId="47" xfId="0" applyFill="1" applyBorder="1"/>
    <xf numFmtId="0" fontId="0" fillId="2" borderId="0" xfId="0" applyFill="1" applyAlignment="1">
      <alignment horizontal="center" wrapText="1"/>
    </xf>
    <xf numFmtId="0" fontId="11" fillId="2" borderId="0" xfId="0" applyFont="1" applyFill="1" applyAlignment="1">
      <alignment wrapText="1"/>
    </xf>
    <xf numFmtId="0" fontId="2" fillId="2" borderId="17" xfId="0" applyFont="1" applyFill="1" applyBorder="1" applyAlignment="1">
      <alignment horizontal="center" wrapText="1"/>
    </xf>
    <xf numFmtId="0" fontId="2" fillId="2" borderId="17" xfId="0" applyFont="1" applyFill="1" applyBorder="1" applyAlignment="1">
      <alignment vertical="top" wrapText="1"/>
    </xf>
    <xf numFmtId="0" fontId="2" fillId="2" borderId="14" xfId="0" applyFont="1" applyFill="1" applyBorder="1" applyAlignment="1">
      <alignment vertical="top" wrapText="1"/>
    </xf>
    <xf numFmtId="0" fontId="2" fillId="2" borderId="41" xfId="0" applyFont="1" applyFill="1" applyBorder="1" applyAlignment="1">
      <alignment horizontal="center" vertical="top" wrapText="1"/>
    </xf>
    <xf numFmtId="44" fontId="2" fillId="2" borderId="42" xfId="0" applyNumberFormat="1" applyFont="1" applyFill="1" applyBorder="1" applyAlignment="1">
      <alignment horizontal="center" vertical="top" wrapText="1"/>
    </xf>
    <xf numFmtId="0" fontId="2" fillId="2" borderId="42" xfId="0" applyFont="1" applyFill="1" applyBorder="1" applyAlignment="1">
      <alignment horizontal="center" vertical="top" wrapText="1"/>
    </xf>
    <xf numFmtId="0" fontId="2" fillId="2" borderId="43" xfId="0" applyFont="1" applyFill="1" applyBorder="1" applyAlignment="1">
      <alignment horizontal="center" vertical="top" wrapText="1"/>
    </xf>
    <xf numFmtId="0" fontId="2" fillId="2" borderId="44" xfId="0" applyFont="1" applyFill="1" applyBorder="1" applyAlignment="1">
      <alignment horizontal="center" vertical="top" wrapText="1"/>
    </xf>
    <xf numFmtId="0" fontId="2" fillId="2" borderId="55" xfId="0" applyFont="1" applyFill="1" applyBorder="1" applyAlignment="1">
      <alignment horizontal="center" vertical="top" wrapText="1"/>
    </xf>
    <xf numFmtId="44" fontId="2" fillId="2" borderId="9" xfId="0" applyNumberFormat="1"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50" xfId="0" applyFont="1" applyFill="1" applyBorder="1" applyAlignment="1">
      <alignment horizontal="center" vertical="top" wrapText="1"/>
    </xf>
    <xf numFmtId="0" fontId="2" fillId="2" borderId="56" xfId="0" applyFont="1" applyFill="1" applyBorder="1" applyAlignment="1">
      <alignment horizontal="center" vertical="top" wrapText="1"/>
    </xf>
    <xf numFmtId="0" fontId="2" fillId="2" borderId="21" xfId="0" applyFont="1" applyFill="1" applyBorder="1" applyAlignment="1">
      <alignment horizontal="center" wrapText="1"/>
    </xf>
    <xf numFmtId="0" fontId="2" fillId="2" borderId="0" xfId="0" applyFont="1" applyFill="1" applyAlignment="1">
      <alignment horizontal="center" wrapText="1"/>
    </xf>
    <xf numFmtId="0" fontId="0" fillId="2" borderId="21" xfId="0" applyFill="1" applyBorder="1" applyAlignment="1">
      <alignment wrapText="1"/>
    </xf>
    <xf numFmtId="0" fontId="0" fillId="2" borderId="57" xfId="0" applyFill="1" applyBorder="1" applyAlignment="1">
      <alignment wrapText="1"/>
    </xf>
    <xf numFmtId="0" fontId="0" fillId="2" borderId="18" xfId="0" applyFill="1" applyBorder="1" applyAlignment="1">
      <alignment horizontal="left" wrapText="1"/>
    </xf>
    <xf numFmtId="0" fontId="0" fillId="2" borderId="19" xfId="0" applyFill="1" applyBorder="1" applyAlignment="1">
      <alignment horizontal="left" wrapText="1"/>
    </xf>
    <xf numFmtId="0" fontId="0" fillId="2" borderId="20" xfId="0" applyFill="1" applyBorder="1" applyAlignment="1">
      <alignment horizontal="left" wrapText="1"/>
    </xf>
    <xf numFmtId="44" fontId="0" fillId="2" borderId="40" xfId="0" applyNumberFormat="1" applyFill="1" applyBorder="1" applyAlignment="1">
      <alignment horizontal="left" wrapText="1"/>
    </xf>
    <xf numFmtId="44" fontId="0" fillId="2" borderId="19" xfId="0" applyNumberFormat="1" applyFill="1" applyBorder="1" applyAlignment="1">
      <alignment horizontal="left" wrapText="1"/>
    </xf>
    <xf numFmtId="44" fontId="0" fillId="2" borderId="37" xfId="0" applyNumberFormat="1" applyFill="1" applyBorder="1" applyAlignment="1">
      <alignment horizontal="left" wrapText="1"/>
    </xf>
    <xf numFmtId="44" fontId="0" fillId="2" borderId="20" xfId="0" applyNumberFormat="1" applyFill="1" applyBorder="1" applyAlignment="1">
      <alignment horizontal="left" wrapText="1"/>
    </xf>
    <xf numFmtId="44" fontId="2" fillId="2" borderId="24" xfId="0" applyNumberFormat="1" applyFont="1" applyFill="1" applyBorder="1" applyAlignment="1">
      <alignment horizontal="left" wrapText="1"/>
    </xf>
    <xf numFmtId="0" fontId="0" fillId="2" borderId="25" xfId="0" applyFill="1" applyBorder="1" applyAlignment="1">
      <alignment wrapText="1"/>
    </xf>
    <xf numFmtId="0" fontId="0" fillId="2" borderId="26" xfId="0" applyFill="1" applyBorder="1" applyAlignment="1">
      <alignment wrapText="1"/>
    </xf>
    <xf numFmtId="0" fontId="0" fillId="2" borderId="22" xfId="0" applyFill="1" applyBorder="1" applyAlignment="1">
      <alignment horizontal="left" wrapText="1"/>
    </xf>
    <xf numFmtId="0" fontId="0" fillId="2" borderId="7" xfId="0" applyFill="1" applyBorder="1" applyAlignment="1">
      <alignment horizontal="left" wrapText="1"/>
    </xf>
    <xf numFmtId="0" fontId="0" fillId="2" borderId="23" xfId="0" applyFill="1" applyBorder="1" applyAlignment="1">
      <alignment horizontal="left" wrapText="1"/>
    </xf>
    <xf numFmtId="44" fontId="0" fillId="2" borderId="13" xfId="0" applyNumberFormat="1" applyFill="1" applyBorder="1" applyAlignment="1">
      <alignment horizontal="left" wrapText="1"/>
    </xf>
    <xf numFmtId="44" fontId="0" fillId="2" borderId="7" xfId="0" applyNumberFormat="1" applyFill="1" applyBorder="1" applyAlignment="1">
      <alignment horizontal="left" wrapText="1"/>
    </xf>
    <xf numFmtId="44" fontId="0" fillId="2" borderId="11" xfId="0" applyNumberFormat="1" applyFill="1" applyBorder="1" applyAlignment="1">
      <alignment horizontal="left" wrapText="1"/>
    </xf>
    <xf numFmtId="44" fontId="0" fillId="2" borderId="23" xfId="0" applyNumberFormat="1" applyFill="1" applyBorder="1" applyAlignment="1">
      <alignment horizontal="left" wrapText="1"/>
    </xf>
    <xf numFmtId="44" fontId="0" fillId="2" borderId="45" xfId="0" applyNumberFormat="1" applyFill="1" applyBorder="1" applyAlignment="1">
      <alignment horizontal="left" wrapText="1"/>
    </xf>
    <xf numFmtId="44" fontId="0" fillId="2" borderId="0" xfId="0" applyNumberFormat="1" applyFill="1" applyAlignment="1">
      <alignment horizontal="left" wrapText="1"/>
    </xf>
    <xf numFmtId="0" fontId="0" fillId="0" borderId="25" xfId="0" applyBorder="1" applyAlignment="1">
      <alignment horizontal="left"/>
    </xf>
    <xf numFmtId="0" fontId="0" fillId="2" borderId="25" xfId="0" applyFill="1" applyBorder="1" applyAlignment="1">
      <alignment horizontal="left"/>
    </xf>
    <xf numFmtId="44" fontId="0" fillId="2" borderId="8" xfId="0" applyNumberFormat="1" applyFill="1" applyBorder="1" applyAlignment="1">
      <alignment horizontal="left" wrapText="1"/>
    </xf>
    <xf numFmtId="44" fontId="0" fillId="2" borderId="36" xfId="0" applyNumberFormat="1" applyFill="1" applyBorder="1" applyAlignment="1">
      <alignment horizontal="left" wrapText="1"/>
    </xf>
    <xf numFmtId="44" fontId="0" fillId="2" borderId="38" xfId="0" applyNumberFormat="1" applyFill="1" applyBorder="1" applyAlignment="1">
      <alignment horizontal="left" wrapText="1"/>
    </xf>
    <xf numFmtId="44" fontId="0" fillId="2" borderId="39" xfId="0" applyNumberFormat="1" applyFill="1" applyBorder="1" applyAlignment="1">
      <alignment horizontal="left" wrapText="1"/>
    </xf>
    <xf numFmtId="0" fontId="0" fillId="2" borderId="27" xfId="0" applyFill="1" applyBorder="1" applyAlignment="1">
      <alignment wrapText="1"/>
    </xf>
    <xf numFmtId="0" fontId="0" fillId="2" borderId="29" xfId="0" applyFill="1" applyBorder="1" applyAlignment="1">
      <alignment horizontal="left" wrapText="1"/>
    </xf>
    <xf numFmtId="0" fontId="0" fillId="2" borderId="30" xfId="0" applyFill="1" applyBorder="1" applyAlignment="1">
      <alignment horizontal="left" wrapText="1"/>
    </xf>
    <xf numFmtId="43" fontId="0" fillId="2" borderId="33" xfId="0" applyNumberFormat="1" applyFill="1" applyBorder="1" applyAlignment="1">
      <alignment horizontal="left" wrapText="1"/>
    </xf>
    <xf numFmtId="43" fontId="0" fillId="2" borderId="30" xfId="0" applyNumberFormat="1" applyFill="1" applyBorder="1" applyAlignment="1">
      <alignment horizontal="left" wrapText="1"/>
    </xf>
    <xf numFmtId="0" fontId="0" fillId="2" borderId="31" xfId="0" applyFill="1" applyBorder="1" applyAlignment="1">
      <alignment horizontal="left" wrapText="1"/>
    </xf>
    <xf numFmtId="44" fontId="0" fillId="2" borderId="32" xfId="0" applyNumberFormat="1" applyFill="1" applyBorder="1" applyAlignment="1">
      <alignment horizontal="left" wrapText="1"/>
    </xf>
    <xf numFmtId="44" fontId="0" fillId="2" borderId="30" xfId="0" applyNumberFormat="1" applyFill="1" applyBorder="1" applyAlignment="1">
      <alignment horizontal="left" wrapText="1"/>
    </xf>
    <xf numFmtId="44" fontId="0" fillId="2" borderId="31" xfId="0" applyNumberFormat="1" applyFill="1" applyBorder="1" applyAlignment="1">
      <alignment horizontal="left" wrapText="1"/>
    </xf>
    <xf numFmtId="44" fontId="0" fillId="2" borderId="33" xfId="0" applyNumberFormat="1" applyFill="1" applyBorder="1" applyAlignment="1">
      <alignment horizontal="left" wrapText="1"/>
    </xf>
    <xf numFmtId="44" fontId="0" fillId="2" borderId="46" xfId="0" applyNumberFormat="1" applyFill="1" applyBorder="1" applyAlignment="1">
      <alignment horizontal="left" wrapText="1"/>
    </xf>
    <xf numFmtId="44" fontId="0" fillId="2" borderId="0" xfId="0" applyNumberFormat="1" applyFill="1" applyAlignment="1">
      <alignment wrapText="1"/>
    </xf>
    <xf numFmtId="44" fontId="0" fillId="2" borderId="0" xfId="0" applyNumberFormat="1" applyFill="1" applyAlignment="1">
      <alignment horizontal="center" wrapText="1"/>
    </xf>
    <xf numFmtId="44" fontId="0" fillId="3" borderId="17" xfId="0" applyNumberFormat="1" applyFill="1" applyBorder="1" applyAlignment="1">
      <alignment wrapText="1"/>
    </xf>
    <xf numFmtId="44" fontId="0" fillId="0" borderId="0" xfId="0" applyNumberFormat="1" applyAlignment="1">
      <alignment wrapText="1"/>
    </xf>
    <xf numFmtId="0" fontId="2" fillId="2" borderId="14"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0" borderId="42" xfId="0" applyFont="1" applyBorder="1" applyAlignment="1">
      <alignment horizontal="center" vertical="top" wrapText="1"/>
    </xf>
    <xf numFmtId="0" fontId="0" fillId="2" borderId="44" xfId="0" applyFill="1" applyBorder="1" applyAlignment="1">
      <alignment horizontal="center" vertical="top" wrapText="1"/>
    </xf>
    <xf numFmtId="0" fontId="0" fillId="2" borderId="42" xfId="0" applyFill="1" applyBorder="1" applyAlignment="1">
      <alignment horizontal="center" vertical="top" wrapText="1"/>
    </xf>
    <xf numFmtId="0" fontId="2" fillId="2" borderId="48" xfId="0" applyFont="1" applyFill="1" applyBorder="1" applyAlignment="1">
      <alignment horizontal="center" vertical="top" wrapText="1"/>
    </xf>
    <xf numFmtId="0" fontId="0" fillId="2" borderId="17" xfId="0" applyFill="1" applyBorder="1" applyAlignment="1">
      <alignment horizontal="center" vertical="top" wrapText="1"/>
    </xf>
    <xf numFmtId="0" fontId="0" fillId="2" borderId="0" xfId="0" applyFill="1" applyAlignment="1">
      <alignment horizontal="center" vertical="top" wrapText="1"/>
    </xf>
    <xf numFmtId="1" fontId="0" fillId="2" borderId="19" xfId="0" applyNumberFormat="1" applyFill="1" applyBorder="1" applyAlignment="1">
      <alignment horizontal="left" wrapText="1"/>
    </xf>
    <xf numFmtId="0" fontId="0" fillId="2" borderId="37" xfId="0" applyFill="1" applyBorder="1" applyAlignment="1">
      <alignment horizontal="left" wrapText="1"/>
    </xf>
    <xf numFmtId="44" fontId="0" fillId="2" borderId="18" xfId="0" applyNumberFormat="1" applyFill="1" applyBorder="1" applyAlignment="1">
      <alignment horizontal="left" wrapText="1"/>
    </xf>
    <xf numFmtId="0" fontId="0" fillId="2" borderId="40" xfId="0" applyFill="1" applyBorder="1" applyAlignment="1">
      <alignment horizontal="left" wrapText="1"/>
    </xf>
    <xf numFmtId="44" fontId="0" fillId="2" borderId="43" xfId="0" applyNumberFormat="1" applyFill="1" applyBorder="1" applyAlignment="1">
      <alignment wrapText="1"/>
    </xf>
    <xf numFmtId="44" fontId="0" fillId="2" borderId="49" xfId="0" applyNumberFormat="1" applyFill="1" applyBorder="1" applyAlignment="1">
      <alignment wrapText="1"/>
    </xf>
    <xf numFmtId="44" fontId="0" fillId="2" borderId="53" xfId="0" applyNumberFormat="1" applyFill="1" applyBorder="1" applyAlignment="1">
      <alignment horizontal="left" wrapText="1"/>
    </xf>
    <xf numFmtId="1" fontId="0" fillId="2" borderId="7" xfId="0" applyNumberFormat="1" applyFill="1" applyBorder="1" applyAlignment="1">
      <alignment horizontal="left" wrapText="1"/>
    </xf>
    <xf numFmtId="0" fontId="0" fillId="2" borderId="11" xfId="0" applyFill="1" applyBorder="1" applyAlignment="1">
      <alignment horizontal="left" wrapText="1"/>
    </xf>
    <xf numFmtId="44" fontId="0" fillId="2" borderId="22" xfId="0" applyNumberFormat="1" applyFill="1" applyBorder="1" applyAlignment="1">
      <alignment horizontal="left" wrapText="1"/>
    </xf>
    <xf numFmtId="0" fontId="0" fillId="2" borderId="13" xfId="0" applyFill="1" applyBorder="1" applyAlignment="1">
      <alignment horizontal="left" wrapText="1"/>
    </xf>
    <xf numFmtId="44" fontId="0" fillId="2" borderId="50" xfId="0" applyNumberFormat="1" applyFill="1" applyBorder="1" applyAlignment="1">
      <alignment wrapText="1"/>
    </xf>
    <xf numFmtId="44" fontId="0" fillId="2" borderId="34" xfId="0" applyNumberFormat="1" applyFill="1" applyBorder="1" applyAlignment="1">
      <alignment wrapText="1"/>
    </xf>
    <xf numFmtId="44" fontId="0" fillId="0" borderId="7" xfId="0" applyNumberFormat="1" applyBorder="1" applyAlignment="1">
      <alignment horizontal="left" wrapText="1"/>
    </xf>
    <xf numFmtId="0" fontId="9" fillId="0" borderId="25" xfId="0" applyFont="1" applyBorder="1"/>
    <xf numFmtId="0" fontId="9" fillId="2" borderId="25" xfId="0" applyFont="1" applyFill="1" applyBorder="1"/>
    <xf numFmtId="0" fontId="9" fillId="2" borderId="27" xfId="0" applyFont="1" applyFill="1" applyBorder="1" applyAlignment="1">
      <alignment horizontal="left"/>
    </xf>
    <xf numFmtId="1" fontId="0" fillId="2" borderId="30" xfId="0" applyNumberFormat="1" applyFill="1" applyBorder="1" applyAlignment="1">
      <alignment horizontal="left" wrapText="1"/>
    </xf>
    <xf numFmtId="0" fontId="0" fillId="2" borderId="33" xfId="0" applyFill="1" applyBorder="1" applyAlignment="1">
      <alignment horizontal="left" wrapText="1"/>
    </xf>
    <xf numFmtId="44" fontId="0" fillId="2" borderId="29" xfId="0" applyNumberFormat="1" applyFill="1" applyBorder="1" applyAlignment="1">
      <alignment horizontal="left" wrapText="1"/>
    </xf>
    <xf numFmtId="0" fontId="0" fillId="2" borderId="32" xfId="0" applyFill="1" applyBorder="1" applyAlignment="1">
      <alignment horizontal="left" wrapText="1"/>
    </xf>
    <xf numFmtId="44" fontId="0" fillId="2" borderId="51" xfId="0" applyNumberFormat="1" applyFill="1" applyBorder="1" applyAlignment="1">
      <alignment wrapText="1"/>
    </xf>
    <xf numFmtId="44" fontId="0" fillId="2" borderId="52" xfId="0" applyNumberFormat="1" applyFill="1" applyBorder="1" applyAlignment="1">
      <alignment wrapText="1"/>
    </xf>
    <xf numFmtId="0" fontId="0" fillId="2" borderId="28" xfId="0" applyFill="1" applyBorder="1" applyAlignment="1">
      <alignment wrapText="1"/>
    </xf>
    <xf numFmtId="0" fontId="0" fillId="2" borderId="35" xfId="0" applyFill="1" applyBorder="1" applyAlignment="1">
      <alignment wrapText="1"/>
    </xf>
    <xf numFmtId="0" fontId="0" fillId="2" borderId="35" xfId="0" applyFill="1" applyBorder="1" applyAlignment="1">
      <alignment horizontal="center" wrapText="1"/>
    </xf>
    <xf numFmtId="44" fontId="0" fillId="2" borderId="35" xfId="0" applyNumberFormat="1" applyFill="1" applyBorder="1" applyAlignment="1">
      <alignment horizontal="center" wrapText="1"/>
    </xf>
    <xf numFmtId="44" fontId="0" fillId="2" borderId="35" xfId="0" applyNumberFormat="1" applyFill="1" applyBorder="1" applyAlignment="1">
      <alignment wrapText="1"/>
    </xf>
    <xf numFmtId="0" fontId="0" fillId="2" borderId="46" xfId="0" applyFill="1" applyBorder="1" applyAlignment="1">
      <alignment horizontal="center" wrapText="1"/>
    </xf>
    <xf numFmtId="0" fontId="0" fillId="2" borderId="0" xfId="0" applyFill="1" applyAlignment="1">
      <alignment horizontal="left" wrapText="1"/>
    </xf>
    <xf numFmtId="164" fontId="0" fillId="2" borderId="0" xfId="1" applyNumberFormat="1" applyFont="1" applyFill="1" applyBorder="1" applyAlignment="1" applyProtection="1">
      <alignment horizontal="center" wrapText="1"/>
    </xf>
    <xf numFmtId="44" fontId="0" fillId="2" borderId="0" xfId="2" applyFont="1" applyFill="1" applyBorder="1" applyAlignment="1" applyProtection="1">
      <alignment wrapText="1"/>
    </xf>
    <xf numFmtId="44" fontId="12" fillId="4" borderId="17" xfId="0" applyNumberFormat="1" applyFont="1" applyFill="1" applyBorder="1" applyAlignment="1">
      <alignment wrapText="1"/>
    </xf>
    <xf numFmtId="0" fontId="0" fillId="2" borderId="0" xfId="0" applyFill="1" applyProtection="1">
      <protection locked="0"/>
    </xf>
    <xf numFmtId="44" fontId="0" fillId="0" borderId="8" xfId="0" applyNumberFormat="1" applyBorder="1" applyAlignment="1">
      <alignment horizontal="left" wrapText="1"/>
    </xf>
    <xf numFmtId="44" fontId="0" fillId="7" borderId="7" xfId="0" applyNumberFormat="1" applyFill="1" applyBorder="1" applyAlignment="1">
      <alignment horizontal="center" wrapText="1"/>
    </xf>
    <xf numFmtId="0" fontId="11" fillId="2" borderId="7" xfId="0" applyFont="1" applyFill="1" applyBorder="1" applyAlignment="1">
      <alignment horizontal="left"/>
    </xf>
    <xf numFmtId="0" fontId="2" fillId="7" borderId="7" xfId="0" applyFont="1" applyFill="1" applyBorder="1" applyAlignment="1">
      <alignment horizontal="center"/>
    </xf>
    <xf numFmtId="0" fontId="0" fillId="3" borderId="8" xfId="0" applyFill="1" applyBorder="1"/>
    <xf numFmtId="0" fontId="0" fillId="3" borderId="9" xfId="0" applyFill="1" applyBorder="1"/>
    <xf numFmtId="0" fontId="2" fillId="7" borderId="13" xfId="0" applyFont="1" applyFill="1" applyBorder="1" applyAlignment="1">
      <alignment horizontal="center" vertical="center"/>
    </xf>
    <xf numFmtId="0" fontId="2" fillId="7" borderId="7" xfId="0" applyFont="1" applyFill="1" applyBorder="1" applyAlignment="1">
      <alignment horizontal="center" vertical="center"/>
    </xf>
    <xf numFmtId="44" fontId="0" fillId="7" borderId="13" xfId="0" applyNumberFormat="1" applyFill="1" applyBorder="1" applyAlignment="1">
      <alignment horizontal="center" wrapText="1"/>
    </xf>
    <xf numFmtId="0" fontId="14" fillId="2" borderId="7" xfId="0" applyFont="1" applyFill="1" applyBorder="1" applyAlignment="1">
      <alignment horizontal="left"/>
    </xf>
    <xf numFmtId="0" fontId="0" fillId="7" borderId="8" xfId="0" applyFill="1" applyBorder="1"/>
    <xf numFmtId="0" fontId="0" fillId="7" borderId="9" xfId="0" applyFill="1" applyBorder="1"/>
    <xf numFmtId="0" fontId="10" fillId="7" borderId="36" xfId="0" applyFont="1" applyFill="1" applyBorder="1" applyAlignment="1">
      <alignment horizontal="center" vertical="top"/>
    </xf>
    <xf numFmtId="0" fontId="10" fillId="7" borderId="7" xfId="0" applyFont="1" applyFill="1" applyBorder="1" applyAlignment="1">
      <alignment horizontal="center" vertical="center"/>
    </xf>
    <xf numFmtId="0" fontId="10" fillId="7" borderId="13" xfId="0" applyFont="1" applyFill="1" applyBorder="1" applyAlignment="1">
      <alignment horizontal="center" vertical="center"/>
    </xf>
    <xf numFmtId="44" fontId="9" fillId="7" borderId="7" xfId="0" applyNumberFormat="1" applyFont="1" applyFill="1" applyBorder="1" applyAlignment="1">
      <alignment horizontal="center" vertical="center" wrapText="1"/>
    </xf>
    <xf numFmtId="44" fontId="9" fillId="7" borderId="13" xfId="0" applyNumberFormat="1" applyFont="1" applyFill="1" applyBorder="1" applyAlignment="1">
      <alignment horizontal="center" vertical="center" wrapText="1"/>
    </xf>
    <xf numFmtId="0" fontId="14" fillId="2" borderId="8" xfId="0" applyFont="1" applyFill="1" applyBorder="1" applyAlignment="1">
      <alignment horizontal="left"/>
    </xf>
    <xf numFmtId="0" fontId="11" fillId="2" borderId="11" xfId="0" applyFont="1" applyFill="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2" fillId="3" borderId="11" xfId="0" applyFont="1" applyFill="1" applyBorder="1" applyAlignment="1">
      <alignment horizontal="center"/>
    </xf>
    <xf numFmtId="0" fontId="2" fillId="3" borderId="12" xfId="0" applyFont="1" applyFill="1" applyBorder="1" applyAlignment="1">
      <alignment horizontal="center"/>
    </xf>
    <xf numFmtId="0" fontId="2" fillId="3" borderId="13" xfId="0" applyFont="1" applyFill="1" applyBorder="1" applyAlignment="1">
      <alignment horizontal="center"/>
    </xf>
    <xf numFmtId="0" fontId="0" fillId="3" borderId="36" xfId="0" applyFill="1" applyBorder="1"/>
    <xf numFmtId="0" fontId="0" fillId="3" borderId="50" xfId="0" applyFill="1" applyBorder="1"/>
    <xf numFmtId="0" fontId="2" fillId="3" borderId="7" xfId="0" applyFont="1" applyFill="1" applyBorder="1" applyAlignment="1">
      <alignment horizontal="center"/>
    </xf>
    <xf numFmtId="44" fontId="0" fillId="3" borderId="7" xfId="0" applyNumberFormat="1" applyFill="1" applyBorder="1" applyAlignment="1">
      <alignment horizontal="center" vertical="center" wrapText="1"/>
    </xf>
    <xf numFmtId="0" fontId="0" fillId="3" borderId="7" xfId="0" applyFill="1" applyBorder="1" applyAlignment="1">
      <alignment horizontal="center" vertical="center" wrapText="1"/>
    </xf>
    <xf numFmtId="0" fontId="11" fillId="2" borderId="8" xfId="0" applyFont="1" applyFill="1" applyBorder="1" applyAlignment="1">
      <alignment horizontal="left"/>
    </xf>
    <xf numFmtId="44" fontId="0" fillId="3" borderId="9" xfId="0" applyNumberFormat="1" applyFill="1" applyBorder="1" applyAlignment="1">
      <alignment horizontal="center" vertical="center" wrapText="1"/>
    </xf>
    <xf numFmtId="44" fontId="0" fillId="3" borderId="10"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44" fontId="0" fillId="3" borderId="13" xfId="0" applyNumberFormat="1" applyFill="1" applyBorder="1" applyAlignment="1">
      <alignment horizontal="center" vertical="center" wrapText="1"/>
    </xf>
    <xf numFmtId="0" fontId="2" fillId="6" borderId="13" xfId="0" applyFont="1" applyFill="1" applyBorder="1" applyAlignment="1">
      <alignment horizontal="center"/>
    </xf>
    <xf numFmtId="0" fontId="2" fillId="6" borderId="7" xfId="0" applyFont="1" applyFill="1" applyBorder="1" applyAlignment="1">
      <alignment horizontal="center"/>
    </xf>
    <xf numFmtId="0" fontId="0" fillId="3" borderId="7" xfId="0" applyFill="1" applyBorder="1"/>
    <xf numFmtId="0" fontId="0" fillId="0" borderId="54" xfId="0" applyBorder="1" applyAlignment="1">
      <alignment horizontal="left"/>
    </xf>
    <xf numFmtId="0" fontId="16" fillId="2" borderId="0" xfId="0" applyFont="1" applyFill="1" applyAlignment="1">
      <alignment horizontal="right" wrapText="1"/>
    </xf>
    <xf numFmtId="0" fontId="2" fillId="2" borderId="14" xfId="0" applyFont="1" applyFill="1" applyBorder="1" applyAlignment="1">
      <alignment horizontal="center" wrapText="1"/>
    </xf>
    <xf numFmtId="0" fontId="2" fillId="2" borderId="15" xfId="0" applyFont="1" applyFill="1" applyBorder="1" applyAlignment="1">
      <alignment horizontal="center" wrapText="1"/>
    </xf>
    <xf numFmtId="0" fontId="2" fillId="2" borderId="16" xfId="0" applyFont="1" applyFill="1" applyBorder="1" applyAlignment="1">
      <alignment horizontal="center" wrapText="1"/>
    </xf>
    <xf numFmtId="0" fontId="2" fillId="2" borderId="17" xfId="0" applyFont="1" applyFill="1" applyBorder="1" applyAlignment="1">
      <alignment horizontal="center" wrapText="1"/>
    </xf>
    <xf numFmtId="0" fontId="2" fillId="2" borderId="21" xfId="0" applyFont="1" applyFill="1" applyBorder="1" applyAlignment="1">
      <alignment horizontal="center" wrapText="1"/>
    </xf>
    <xf numFmtId="0" fontId="9" fillId="5" borderId="6" xfId="3" applyFont="1" applyFill="1" applyBorder="1" applyProtection="1">
      <protection locked="0"/>
    </xf>
  </cellXfs>
  <cellStyles count="4">
    <cellStyle name="Komma" xfId="1" builtinId="3"/>
    <cellStyle name="Standaard" xfId="0" builtinId="0"/>
    <cellStyle name="Standaard 2" xfId="3" xr:uid="{D4E18E1B-DF46-494F-B4F1-EBBA6AB17AF6}"/>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dimension ref="A2:AB27"/>
  <sheetViews>
    <sheetView tabSelected="1" zoomScaleNormal="100" workbookViewId="0">
      <selection activeCell="A4" sqref="A4"/>
    </sheetView>
  </sheetViews>
  <sheetFormatPr defaultColWidth="8.86328125" defaultRowHeight="14.25"/>
  <cols>
    <col min="1" max="1" width="148.86328125" style="15" customWidth="1"/>
    <col min="2" max="16384" width="8.86328125" style="9"/>
  </cols>
  <sheetData>
    <row r="2" spans="1:28" ht="15.75">
      <c r="A2" s="14" t="s">
        <v>132</v>
      </c>
    </row>
    <row r="3" spans="1:28">
      <c r="A3" s="15" t="s">
        <v>0</v>
      </c>
    </row>
    <row r="5" spans="1:28">
      <c r="A5" s="16" t="s">
        <v>1</v>
      </c>
    </row>
    <row r="6" spans="1:28" ht="39.4">
      <c r="A6" s="17" t="s">
        <v>109</v>
      </c>
      <c r="B6" s="18"/>
    </row>
    <row r="7" spans="1:28">
      <c r="A7" s="17"/>
      <c r="B7" s="18"/>
    </row>
    <row r="8" spans="1:28">
      <c r="A8" s="19" t="s">
        <v>106</v>
      </c>
    </row>
    <row r="9" spans="1:28" ht="26.25">
      <c r="A9" s="20" t="s">
        <v>110</v>
      </c>
      <c r="B9" s="18"/>
    </row>
    <row r="10" spans="1:28">
      <c r="A10" s="21"/>
    </row>
    <row r="11" spans="1:28">
      <c r="A11" s="22" t="s">
        <v>111</v>
      </c>
      <c r="B11" s="18"/>
    </row>
    <row r="12" spans="1:28">
      <c r="A12" s="20" t="s">
        <v>117</v>
      </c>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row>
    <row r="13" spans="1:28" ht="39.4">
      <c r="A13" s="25" t="s">
        <v>114</v>
      </c>
      <c r="B13" s="23"/>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row>
    <row r="14" spans="1:28">
      <c r="A14" s="25"/>
      <c r="B14" s="23"/>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row>
    <row r="15" spans="1:28">
      <c r="A15" s="22" t="s">
        <v>112</v>
      </c>
      <c r="B15" s="2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row>
    <row r="16" spans="1:28">
      <c r="A16" s="25" t="s">
        <v>118</v>
      </c>
      <c r="B16" s="25"/>
      <c r="C16" s="25"/>
      <c r="D16" s="25"/>
      <c r="E16" s="25"/>
      <c r="F16" s="25"/>
      <c r="G16" s="24"/>
      <c r="H16" s="24"/>
      <c r="I16" s="24"/>
      <c r="J16" s="24"/>
      <c r="K16" s="24"/>
      <c r="L16" s="24"/>
      <c r="M16" s="24"/>
      <c r="N16" s="24"/>
      <c r="O16" s="24"/>
      <c r="P16" s="24"/>
      <c r="Q16" s="24"/>
      <c r="R16" s="24"/>
      <c r="S16" s="24"/>
      <c r="T16" s="24"/>
      <c r="U16" s="24"/>
      <c r="V16" s="24"/>
      <c r="W16" s="24"/>
      <c r="X16" s="24"/>
      <c r="Y16" s="24"/>
      <c r="Z16" s="24"/>
      <c r="AA16" s="24"/>
      <c r="AB16" s="24"/>
    </row>
    <row r="17" spans="1:28">
      <c r="A17" s="25" t="s">
        <v>116</v>
      </c>
      <c r="B17" s="25"/>
      <c r="C17" s="25"/>
      <c r="D17" s="25"/>
      <c r="E17" s="25"/>
      <c r="F17" s="25"/>
      <c r="G17" s="24"/>
      <c r="H17" s="24"/>
      <c r="I17" s="24"/>
      <c r="J17" s="24"/>
      <c r="K17" s="24"/>
      <c r="L17" s="24"/>
      <c r="M17" s="24"/>
      <c r="N17" s="24"/>
      <c r="O17" s="24"/>
      <c r="P17" s="24"/>
      <c r="Q17" s="24"/>
      <c r="R17" s="24"/>
      <c r="S17" s="24"/>
      <c r="T17" s="24"/>
      <c r="U17" s="24"/>
      <c r="V17" s="24"/>
      <c r="W17" s="24"/>
      <c r="X17" s="24"/>
      <c r="Y17" s="24"/>
      <c r="Z17" s="24"/>
      <c r="AA17" s="24"/>
      <c r="AB17" s="24"/>
    </row>
    <row r="18" spans="1:28">
      <c r="A18" s="25" t="s">
        <v>4</v>
      </c>
      <c r="B18" s="25"/>
      <c r="C18" s="25"/>
      <c r="D18" s="25"/>
      <c r="E18" s="25"/>
      <c r="F18" s="25"/>
      <c r="G18" s="24"/>
      <c r="H18" s="24"/>
      <c r="I18" s="24"/>
      <c r="J18" s="24"/>
      <c r="K18" s="24"/>
      <c r="L18" s="24"/>
      <c r="M18" s="24"/>
      <c r="N18" s="24"/>
      <c r="O18" s="24"/>
      <c r="P18" s="24"/>
      <c r="Q18" s="24"/>
      <c r="R18" s="24"/>
      <c r="S18" s="24"/>
      <c r="T18" s="24"/>
      <c r="U18" s="24"/>
      <c r="V18" s="24"/>
      <c r="W18" s="24"/>
      <c r="X18" s="24"/>
      <c r="Y18" s="24"/>
      <c r="Z18" s="24"/>
      <c r="AA18" s="24"/>
      <c r="AB18" s="24"/>
    </row>
    <row r="19" spans="1:28">
      <c r="A19" s="25" t="s">
        <v>5</v>
      </c>
      <c r="B19" s="25"/>
      <c r="C19" s="25"/>
      <c r="D19" s="25"/>
      <c r="E19" s="25"/>
      <c r="F19" s="25"/>
      <c r="G19" s="24"/>
      <c r="H19" s="24"/>
      <c r="I19" s="24"/>
      <c r="J19" s="24"/>
      <c r="K19" s="24"/>
      <c r="L19" s="24"/>
      <c r="M19" s="24"/>
      <c r="N19" s="24"/>
      <c r="O19" s="24"/>
      <c r="P19" s="24"/>
      <c r="Q19" s="24"/>
      <c r="R19" s="24"/>
      <c r="S19" s="24"/>
      <c r="T19" s="24"/>
      <c r="U19" s="24"/>
      <c r="V19" s="24"/>
      <c r="W19" s="24"/>
      <c r="X19" s="24"/>
      <c r="Y19" s="24"/>
      <c r="Z19" s="24"/>
      <c r="AA19" s="24"/>
      <c r="AB19" s="24"/>
    </row>
    <row r="20" spans="1:28">
      <c r="A20" s="25" t="s">
        <v>6</v>
      </c>
      <c r="B20" s="25"/>
      <c r="C20" s="25"/>
      <c r="D20" s="25"/>
      <c r="E20" s="25"/>
      <c r="F20" s="25"/>
      <c r="G20" s="24"/>
      <c r="H20" s="24"/>
      <c r="I20" s="24"/>
      <c r="J20" s="24"/>
      <c r="K20" s="24"/>
      <c r="L20" s="24"/>
      <c r="M20" s="24"/>
      <c r="N20" s="24"/>
      <c r="O20" s="24"/>
      <c r="P20" s="24"/>
      <c r="Q20" s="24"/>
      <c r="R20" s="24"/>
      <c r="S20" s="24"/>
      <c r="T20" s="24"/>
      <c r="U20" s="24"/>
      <c r="V20" s="24"/>
      <c r="W20" s="24"/>
      <c r="X20" s="24"/>
      <c r="Y20" s="24"/>
      <c r="Z20" s="24"/>
      <c r="AA20" s="24"/>
      <c r="AB20" s="24"/>
    </row>
    <row r="21" spans="1:28">
      <c r="A21" s="25" t="s">
        <v>7</v>
      </c>
      <c r="B21" s="25"/>
      <c r="C21" s="25"/>
      <c r="D21" s="25"/>
      <c r="E21" s="25"/>
      <c r="F21" s="25"/>
    </row>
    <row r="22" spans="1:28">
      <c r="A22" s="25" t="s">
        <v>113</v>
      </c>
      <c r="B22" s="25"/>
      <c r="C22" s="25"/>
      <c r="D22" s="25"/>
      <c r="E22" s="25"/>
      <c r="F22" s="25"/>
    </row>
    <row r="23" spans="1:28">
      <c r="A23" s="25" t="s">
        <v>8</v>
      </c>
      <c r="B23" s="25"/>
      <c r="C23" s="25"/>
      <c r="D23" s="25"/>
      <c r="E23" s="25"/>
      <c r="F23" s="25"/>
    </row>
    <row r="24" spans="1:28" s="26" customFormat="1" ht="13.15">
      <c r="A24" s="25" t="s">
        <v>115</v>
      </c>
      <c r="B24" s="25"/>
      <c r="C24" s="25"/>
      <c r="D24" s="25"/>
      <c r="E24" s="25"/>
      <c r="F24" s="25"/>
      <c r="Z24" s="27"/>
      <c r="AA24" s="28"/>
    </row>
    <row r="25" spans="1:28">
      <c r="A25" s="25"/>
      <c r="B25" s="23"/>
      <c r="C25" s="24"/>
      <c r="D25" s="24"/>
      <c r="E25" s="24"/>
      <c r="F25" s="24"/>
      <c r="G25" s="24"/>
      <c r="H25" s="24"/>
      <c r="I25" s="24"/>
      <c r="J25" s="24"/>
      <c r="K25" s="24"/>
    </row>
    <row r="26" spans="1:28">
      <c r="A26" s="25"/>
      <c r="B26" s="23"/>
      <c r="C26" s="24"/>
      <c r="D26" s="24"/>
      <c r="E26" s="24"/>
      <c r="F26" s="24"/>
      <c r="G26" s="24"/>
      <c r="H26" s="24"/>
      <c r="I26" s="24"/>
      <c r="J26" s="24"/>
      <c r="K26" s="24"/>
    </row>
    <row r="27" spans="1:28">
      <c r="A27" s="25"/>
      <c r="B27" s="23"/>
      <c r="C27" s="24"/>
      <c r="D27" s="24"/>
      <c r="E27" s="24"/>
      <c r="F27" s="24"/>
      <c r="G27" s="24"/>
      <c r="H27" s="24"/>
      <c r="I27" s="24"/>
      <c r="J27" s="24"/>
      <c r="K27" s="24"/>
    </row>
  </sheetData>
  <sheetProtection algorithmName="SHA-512" hashValue="7uhqOJPKgnvOgpkwV6B4dMoPvByR4ARsAgWhn2kVStaXovqmA8nkDbRUWoPD4T8zg1/85SiljIxC0QWjlKm1/Q==" saltValue="rUEs24hGSFiMXdYj6CWpsQ==" spinCount="100000" sheet="1" objects="1" scenarios="1"/>
  <pageMargins left="0.7" right="0.7" top="0.75" bottom="0.75" header="0.3" footer="0.3"/>
  <pageSetup paperSize="9" orientation="landscape" r:id="rId1"/>
  <headerFooter>
    <oddFooter>&amp;L IA2024.07.12&amp;RTarievenblad - Versie 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7AD4E-DEE4-45A6-87E1-F906CD83F029}">
  <dimension ref="A2:G12"/>
  <sheetViews>
    <sheetView zoomScaleNormal="100" workbookViewId="0">
      <selection activeCell="B17" sqref="B17"/>
    </sheetView>
  </sheetViews>
  <sheetFormatPr defaultColWidth="8.86328125" defaultRowHeight="14.25"/>
  <cols>
    <col min="1" max="1" width="28.1328125" style="9" customWidth="1"/>
    <col min="2" max="2" width="94.3984375" style="9" customWidth="1"/>
    <col min="3" max="16384" width="8.86328125" style="9"/>
  </cols>
  <sheetData>
    <row r="2" spans="1:7" ht="21">
      <c r="A2" s="10" t="s">
        <v>3</v>
      </c>
      <c r="B2" s="11"/>
      <c r="C2" s="12"/>
      <c r="D2" s="12"/>
      <c r="E2" s="12"/>
      <c r="F2" s="12"/>
      <c r="G2" s="12"/>
    </row>
    <row r="3" spans="1:7" ht="21">
      <c r="A3" s="12"/>
      <c r="B3" s="12"/>
      <c r="C3" s="12"/>
      <c r="D3" s="12"/>
      <c r="E3" s="12"/>
      <c r="F3" s="12"/>
      <c r="G3" s="12"/>
    </row>
    <row r="4" spans="1:7" ht="21">
      <c r="A4" s="12" t="s">
        <v>48</v>
      </c>
      <c r="B4" s="13">
        <f>Inschrijflijst</f>
        <v>0</v>
      </c>
      <c r="C4" s="12"/>
      <c r="D4" s="12"/>
      <c r="E4" s="12"/>
      <c r="F4" s="12"/>
      <c r="G4" s="12"/>
    </row>
    <row r="6" spans="1:7" ht="14.65" thickBot="1"/>
    <row r="7" spans="1:7" ht="14.65" thickTop="1">
      <c r="A7" s="1" t="s">
        <v>9</v>
      </c>
      <c r="B7" s="5"/>
    </row>
    <row r="8" spans="1:7">
      <c r="A8" s="2" t="s">
        <v>10</v>
      </c>
      <c r="B8" s="6"/>
    </row>
    <row r="9" spans="1:7">
      <c r="A9" s="2" t="s">
        <v>11</v>
      </c>
      <c r="B9" s="6"/>
    </row>
    <row r="10" spans="1:7">
      <c r="A10" s="2" t="s">
        <v>12</v>
      </c>
      <c r="B10" s="6"/>
    </row>
    <row r="11" spans="1:7" ht="75.95" customHeight="1" thickBot="1">
      <c r="A11" s="3" t="s">
        <v>13</v>
      </c>
      <c r="B11" s="219"/>
    </row>
    <row r="12" spans="1:7" ht="14.65" thickTop="1"/>
  </sheetData>
  <sheetProtection algorithmName="SHA-512" hashValue="Mmwq+QZ6WKbZ/isTnO9f0kdU7NDZDUUUOI4sI+7mg1AV4d3lqgddwv/DHWKcfXnfMIDBrzF6C96YmnpGQljKSQ==" saltValue="n6Mnh2tQI0wgTuqxGNgyN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604A-A580-416D-B378-668E212860D4}">
  <dimension ref="A1:CQ1258"/>
  <sheetViews>
    <sheetView zoomScale="85" zoomScaleNormal="85" workbookViewId="0">
      <selection activeCell="H70" sqref="H70"/>
    </sheetView>
  </sheetViews>
  <sheetFormatPr defaultRowHeight="15" customHeight="1"/>
  <cols>
    <col min="1" max="1" width="3.59765625" style="9" customWidth="1"/>
    <col min="2" max="2" width="25.3984375" customWidth="1"/>
    <col min="3" max="7" width="24.59765625" customWidth="1"/>
    <col min="8" max="8" width="24.59765625" style="9" customWidth="1"/>
    <col min="9" max="9" width="29.1328125" style="9" customWidth="1"/>
    <col min="10" max="11" width="29.265625" style="9" customWidth="1"/>
    <col min="12" max="12" width="17.265625" style="9" customWidth="1"/>
    <col min="13" max="94" width="9" style="9"/>
  </cols>
  <sheetData>
    <row r="1" spans="1:94" ht="21">
      <c r="B1" s="173" t="s">
        <v>107</v>
      </c>
      <c r="C1" s="173"/>
      <c r="D1" s="173"/>
      <c r="E1" s="173"/>
      <c r="F1" s="173"/>
      <c r="G1" s="173"/>
      <c r="H1" s="173"/>
    </row>
    <row r="2" spans="1:94" ht="14.25">
      <c r="B2" s="9"/>
      <c r="C2" s="9"/>
      <c r="D2" s="9"/>
      <c r="E2" s="9"/>
      <c r="F2" s="9"/>
      <c r="G2" s="9"/>
    </row>
    <row r="3" spans="1:94" ht="21">
      <c r="B3" s="173" t="s">
        <v>14</v>
      </c>
      <c r="C3" s="173"/>
      <c r="D3" s="173"/>
      <c r="E3" s="173"/>
      <c r="F3" s="173"/>
      <c r="G3" s="173"/>
      <c r="H3" s="173"/>
      <c r="CO3"/>
      <c r="CP3"/>
    </row>
    <row r="4" spans="1:94" ht="14.25">
      <c r="B4" s="183" t="s">
        <v>15</v>
      </c>
      <c r="C4" s="184" t="s">
        <v>16</v>
      </c>
      <c r="D4" s="185"/>
      <c r="E4" s="185"/>
      <c r="F4" s="185"/>
      <c r="G4" s="185"/>
      <c r="H4" s="185"/>
      <c r="CO4"/>
      <c r="CP4"/>
    </row>
    <row r="5" spans="1:94" ht="14.25">
      <c r="B5" s="183"/>
      <c r="C5" s="186" t="s">
        <v>17</v>
      </c>
      <c r="D5" s="187"/>
      <c r="E5" s="187"/>
      <c r="F5" s="187"/>
      <c r="G5" s="187"/>
      <c r="H5" s="187"/>
      <c r="CO5"/>
      <c r="CP5"/>
    </row>
    <row r="6" spans="1:94" ht="14.25">
      <c r="B6" s="183"/>
      <c r="C6" s="53" t="s">
        <v>22</v>
      </c>
      <c r="D6" s="54" t="s">
        <v>21</v>
      </c>
      <c r="E6" s="55" t="s">
        <v>19</v>
      </c>
      <c r="F6" s="56" t="s">
        <v>18</v>
      </c>
      <c r="G6" s="55" t="s">
        <v>20</v>
      </c>
      <c r="H6" s="53" t="s">
        <v>49</v>
      </c>
      <c r="CP6"/>
    </row>
    <row r="7" spans="1:94" ht="14.25">
      <c r="B7" s="44">
        <v>240</v>
      </c>
      <c r="C7" s="4"/>
      <c r="D7" s="4"/>
      <c r="E7" s="4"/>
      <c r="F7" s="4"/>
      <c r="G7" s="4"/>
      <c r="H7" s="4"/>
      <c r="CP7"/>
    </row>
    <row r="8" spans="1:94" ht="14.25">
      <c r="B8" s="44">
        <v>500</v>
      </c>
      <c r="C8" s="4"/>
      <c r="D8" s="4"/>
      <c r="E8" s="4"/>
      <c r="F8" s="4"/>
      <c r="G8" s="4"/>
      <c r="H8" s="4"/>
      <c r="CP8"/>
    </row>
    <row r="9" spans="1:94" ht="14.25">
      <c r="B9" s="44">
        <v>660</v>
      </c>
      <c r="C9" s="4"/>
      <c r="D9" s="4"/>
      <c r="E9" s="4"/>
      <c r="F9" s="4"/>
      <c r="G9" s="4"/>
      <c r="H9" s="4"/>
    </row>
    <row r="10" spans="1:94" ht="14.25">
      <c r="B10" s="44" t="s">
        <v>23</v>
      </c>
      <c r="C10" s="4"/>
      <c r="D10" s="4"/>
      <c r="E10" s="4"/>
      <c r="F10" s="4"/>
      <c r="G10" s="4"/>
      <c r="H10" s="4"/>
    </row>
    <row r="11" spans="1:94" ht="14.25">
      <c r="B11" s="44">
        <v>1000</v>
      </c>
      <c r="C11" s="4"/>
      <c r="D11" s="4"/>
      <c r="E11" s="4"/>
      <c r="F11" s="4"/>
      <c r="G11" s="4"/>
      <c r="H11" s="4"/>
    </row>
    <row r="12" spans="1:94" ht="14.25">
      <c r="B12" s="44">
        <v>1100</v>
      </c>
      <c r="C12" s="4"/>
      <c r="D12" s="4"/>
      <c r="E12" s="4"/>
      <c r="F12" s="4"/>
      <c r="G12" s="4"/>
      <c r="H12" s="4"/>
    </row>
    <row r="13" spans="1:94" ht="14.25">
      <c r="B13" s="44">
        <v>1300</v>
      </c>
      <c r="C13" s="4"/>
      <c r="D13" s="4"/>
      <c r="E13" s="4"/>
      <c r="F13" s="4"/>
      <c r="G13" s="4"/>
      <c r="H13" s="4"/>
    </row>
    <row r="14" spans="1:94" ht="14.25">
      <c r="B14" s="44">
        <v>1600</v>
      </c>
      <c r="C14" s="4"/>
      <c r="D14" s="4"/>
      <c r="E14" s="4"/>
      <c r="F14" s="4"/>
      <c r="G14" s="4"/>
      <c r="H14" s="4"/>
    </row>
    <row r="15" spans="1:94" ht="14.25">
      <c r="B15" s="50">
        <v>2500</v>
      </c>
      <c r="C15" s="4"/>
      <c r="D15" s="4"/>
      <c r="E15" s="4"/>
      <c r="F15" s="4"/>
      <c r="G15" s="4"/>
      <c r="H15" s="4"/>
    </row>
    <row r="16" spans="1:94" ht="14.25">
      <c r="A16"/>
      <c r="B16" s="47"/>
      <c r="C16" s="51"/>
      <c r="D16" s="51"/>
      <c r="E16" s="51"/>
      <c r="F16" s="51"/>
      <c r="G16" s="51"/>
      <c r="H16" s="51"/>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row>
    <row r="17" spans="1:95" ht="21">
      <c r="B17" s="173" t="s">
        <v>51</v>
      </c>
      <c r="C17" s="173"/>
      <c r="D17" s="173"/>
      <c r="E17" s="173"/>
      <c r="F17" s="173"/>
      <c r="G17" s="173"/>
      <c r="H17" s="173"/>
      <c r="I17" s="33"/>
      <c r="J17" s="34"/>
      <c r="K17" s="34"/>
      <c r="L17" s="34"/>
      <c r="CQ17" s="9"/>
    </row>
    <row r="18" spans="1:95" ht="14.25">
      <c r="B18" s="181" t="s">
        <v>25</v>
      </c>
      <c r="C18" s="174" t="s">
        <v>16</v>
      </c>
      <c r="D18" s="174"/>
      <c r="E18" s="174"/>
      <c r="F18" s="174"/>
      <c r="G18" s="174"/>
      <c r="H18" s="174"/>
      <c r="I18" s="33"/>
      <c r="J18" s="34"/>
      <c r="K18" s="34"/>
      <c r="L18" s="34"/>
      <c r="CQ18" s="9"/>
    </row>
    <row r="19" spans="1:95" ht="14.25">
      <c r="B19" s="182"/>
      <c r="C19" s="172" t="s">
        <v>17</v>
      </c>
      <c r="D19" s="172"/>
      <c r="E19" s="172"/>
      <c r="F19" s="172"/>
      <c r="G19" s="172"/>
      <c r="H19" s="172"/>
      <c r="I19" s="33"/>
      <c r="J19" s="34"/>
      <c r="K19" s="34"/>
      <c r="L19" s="34"/>
      <c r="CQ19" s="9"/>
    </row>
    <row r="20" spans="1:95" ht="14.25">
      <c r="B20" s="35" t="s">
        <v>28</v>
      </c>
      <c r="C20" s="36" t="s">
        <v>22</v>
      </c>
      <c r="D20" s="37" t="s">
        <v>21</v>
      </c>
      <c r="E20" s="38" t="s">
        <v>19</v>
      </c>
      <c r="F20" s="41" t="s">
        <v>18</v>
      </c>
      <c r="G20" s="38" t="s">
        <v>20</v>
      </c>
      <c r="H20" s="36" t="s">
        <v>49</v>
      </c>
      <c r="I20" s="33"/>
      <c r="J20" s="34"/>
      <c r="K20" s="34"/>
      <c r="L20" s="34"/>
      <c r="CQ20" s="9"/>
    </row>
    <row r="21" spans="1:95" ht="14.25">
      <c r="B21" s="50">
        <v>240</v>
      </c>
      <c r="C21" s="4"/>
      <c r="D21" s="4"/>
      <c r="E21" s="4"/>
      <c r="F21" s="4"/>
      <c r="G21" s="39" t="s">
        <v>47</v>
      </c>
      <c r="H21" s="4"/>
      <c r="I21" s="33"/>
      <c r="J21" s="34"/>
      <c r="K21" s="34"/>
      <c r="L21" s="34"/>
      <c r="CQ21" s="9"/>
    </row>
    <row r="22" spans="1:95" ht="14.25">
      <c r="B22" s="50">
        <v>500</v>
      </c>
      <c r="C22" s="4"/>
      <c r="D22" s="4"/>
      <c r="E22" s="4"/>
      <c r="F22" s="4"/>
      <c r="G22" s="39" t="s">
        <v>47</v>
      </c>
      <c r="H22" s="4"/>
      <c r="I22" s="33"/>
      <c r="J22" s="34"/>
      <c r="K22" s="34"/>
      <c r="L22" s="34"/>
      <c r="CQ22" s="9"/>
    </row>
    <row r="23" spans="1:95" ht="14.25">
      <c r="B23" s="50">
        <v>660</v>
      </c>
      <c r="C23" s="4"/>
      <c r="D23" s="4"/>
      <c r="E23" s="4"/>
      <c r="F23" s="4"/>
      <c r="G23" s="39" t="s">
        <v>47</v>
      </c>
      <c r="H23" s="4"/>
      <c r="I23" s="33"/>
      <c r="J23" s="34"/>
      <c r="K23" s="34"/>
      <c r="L23" s="34"/>
      <c r="CQ23" s="9"/>
    </row>
    <row r="24" spans="1:95" ht="14.25">
      <c r="B24" s="50" t="s">
        <v>23</v>
      </c>
      <c r="C24" s="4"/>
      <c r="D24" s="4"/>
      <c r="E24" s="4"/>
      <c r="F24" s="4"/>
      <c r="G24" s="39" t="s">
        <v>47</v>
      </c>
      <c r="H24" s="4"/>
      <c r="I24" s="33"/>
      <c r="J24" s="34"/>
      <c r="K24" s="34"/>
      <c r="L24" s="34"/>
      <c r="CQ24" s="9"/>
    </row>
    <row r="25" spans="1:95" ht="14.25">
      <c r="B25" s="50">
        <v>1000</v>
      </c>
      <c r="C25" s="4"/>
      <c r="D25" s="4"/>
      <c r="E25" s="4"/>
      <c r="F25" s="4"/>
      <c r="G25" s="39" t="s">
        <v>47</v>
      </c>
      <c r="H25" s="4"/>
      <c r="I25" s="33"/>
      <c r="J25" s="34"/>
      <c r="K25" s="34"/>
      <c r="L25" s="34"/>
      <c r="CQ25" s="9"/>
    </row>
    <row r="26" spans="1:95" ht="14.25">
      <c r="B26" s="50">
        <v>1100</v>
      </c>
      <c r="C26" s="4"/>
      <c r="D26" s="4"/>
      <c r="E26" s="4"/>
      <c r="F26" s="4"/>
      <c r="G26" s="39" t="s">
        <v>47</v>
      </c>
      <c r="H26" s="4"/>
      <c r="I26" s="33"/>
      <c r="J26" s="34"/>
      <c r="K26" s="34"/>
      <c r="L26" s="34"/>
      <c r="CQ26" s="9"/>
    </row>
    <row r="27" spans="1:95" ht="14.25">
      <c r="B27" s="50">
        <v>1300</v>
      </c>
      <c r="C27" s="4"/>
      <c r="D27" s="4"/>
      <c r="E27" s="4"/>
      <c r="F27" s="4"/>
      <c r="G27" s="39" t="s">
        <v>47</v>
      </c>
      <c r="H27" s="4"/>
      <c r="I27" s="33"/>
      <c r="J27" s="34"/>
      <c r="K27" s="34"/>
      <c r="L27" s="34"/>
      <c r="CQ27" s="9"/>
    </row>
    <row r="28" spans="1:95" ht="14.25">
      <c r="A28"/>
      <c r="B28" s="45"/>
      <c r="C28" s="46"/>
      <c r="D28" s="46"/>
      <c r="E28" s="46"/>
      <c r="F28" s="46"/>
      <c r="G28" s="46"/>
      <c r="H28" s="46"/>
      <c r="I28" s="47"/>
      <c r="J28" s="48"/>
      <c r="K28" s="48"/>
      <c r="L28" s="4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row>
    <row r="29" spans="1:95" s="9" customFormat="1" ht="21">
      <c r="B29" s="180" t="s">
        <v>55</v>
      </c>
      <c r="C29" s="180"/>
      <c r="D29" s="180"/>
      <c r="E29" s="180"/>
      <c r="F29" s="180"/>
      <c r="G29" s="180"/>
      <c r="H29" s="180"/>
    </row>
    <row r="30" spans="1:95" s="9" customFormat="1" ht="14.25">
      <c r="B30" s="181" t="s">
        <v>25</v>
      </c>
      <c r="C30" s="178" t="s">
        <v>16</v>
      </c>
      <c r="D30" s="178"/>
      <c r="E30" s="178"/>
      <c r="F30" s="178"/>
      <c r="G30" s="178"/>
      <c r="H30" s="178"/>
    </row>
    <row r="31" spans="1:95" s="9" customFormat="1" ht="14.25">
      <c r="B31" s="182"/>
      <c r="C31" s="172" t="s">
        <v>17</v>
      </c>
      <c r="D31" s="172"/>
      <c r="E31" s="172"/>
      <c r="F31" s="172"/>
      <c r="G31" s="172"/>
      <c r="H31" s="172"/>
    </row>
    <row r="32" spans="1:95" s="9" customFormat="1" ht="12" customHeight="1">
      <c r="B32" s="35" t="s">
        <v>28</v>
      </c>
      <c r="C32" s="36" t="s">
        <v>22</v>
      </c>
      <c r="D32" s="37" t="s">
        <v>21</v>
      </c>
      <c r="E32" s="38" t="s">
        <v>19</v>
      </c>
      <c r="F32" s="41" t="s">
        <v>18</v>
      </c>
      <c r="G32" s="38" t="s">
        <v>20</v>
      </c>
      <c r="H32" s="36" t="s">
        <v>49</v>
      </c>
    </row>
    <row r="33" spans="1:95" ht="14.25">
      <c r="B33" s="50">
        <v>240</v>
      </c>
      <c r="C33" s="4"/>
      <c r="D33" s="4"/>
      <c r="E33" s="4"/>
      <c r="F33" s="4"/>
      <c r="G33" s="39" t="s">
        <v>47</v>
      </c>
      <c r="H33" s="4"/>
      <c r="I33" s="33"/>
      <c r="J33" s="34"/>
      <c r="K33" s="34"/>
      <c r="L33" s="34"/>
      <c r="CQ33" s="9"/>
    </row>
    <row r="34" spans="1:95" ht="14.25">
      <c r="B34" s="50">
        <v>500</v>
      </c>
      <c r="C34" s="4"/>
      <c r="D34" s="4"/>
      <c r="E34" s="4"/>
      <c r="F34" s="4"/>
      <c r="G34" s="39" t="s">
        <v>47</v>
      </c>
      <c r="H34" s="4"/>
      <c r="I34" s="33"/>
      <c r="J34" s="34"/>
      <c r="K34" s="34"/>
      <c r="L34" s="34"/>
      <c r="CQ34" s="9"/>
    </row>
    <row r="35" spans="1:95" ht="14.25">
      <c r="B35" s="50">
        <v>660</v>
      </c>
      <c r="C35" s="4"/>
      <c r="D35" s="4"/>
      <c r="E35" s="4"/>
      <c r="F35" s="4"/>
      <c r="G35" s="39" t="s">
        <v>47</v>
      </c>
      <c r="H35" s="4"/>
      <c r="I35" s="33"/>
      <c r="J35" s="34"/>
      <c r="K35" s="34"/>
      <c r="L35" s="34"/>
      <c r="CQ35" s="9"/>
    </row>
    <row r="36" spans="1:95" ht="14.25">
      <c r="B36" s="50" t="s">
        <v>23</v>
      </c>
      <c r="C36" s="4"/>
      <c r="D36" s="4"/>
      <c r="E36" s="4"/>
      <c r="F36" s="4"/>
      <c r="G36" s="39" t="s">
        <v>47</v>
      </c>
      <c r="H36" s="4"/>
      <c r="I36" s="33"/>
      <c r="J36" s="34"/>
      <c r="K36" s="34"/>
      <c r="L36" s="34"/>
      <c r="CQ36" s="9"/>
    </row>
    <row r="37" spans="1:95" ht="14.25">
      <c r="B37" s="50">
        <v>1000</v>
      </c>
      <c r="C37" s="4"/>
      <c r="D37" s="4"/>
      <c r="E37" s="4"/>
      <c r="F37" s="4"/>
      <c r="G37" s="39" t="s">
        <v>47</v>
      </c>
      <c r="H37" s="4"/>
      <c r="I37" s="33"/>
      <c r="J37" s="34"/>
      <c r="K37" s="34"/>
      <c r="L37" s="34"/>
      <c r="CQ37" s="9"/>
    </row>
    <row r="38" spans="1:95" ht="14.25">
      <c r="B38" s="50">
        <v>1100</v>
      </c>
      <c r="C38" s="4"/>
      <c r="D38" s="4"/>
      <c r="E38" s="4"/>
      <c r="F38" s="4"/>
      <c r="G38" s="39" t="s">
        <v>47</v>
      </c>
      <c r="H38" s="4"/>
      <c r="I38" s="33"/>
      <c r="J38" s="34"/>
      <c r="K38" s="34"/>
      <c r="L38" s="34"/>
      <c r="CQ38" s="9"/>
    </row>
    <row r="39" spans="1:95" ht="14.25">
      <c r="A39"/>
      <c r="B39" s="45"/>
      <c r="C39" s="46"/>
      <c r="D39" s="46"/>
      <c r="E39" s="46"/>
      <c r="F39" s="46"/>
      <c r="G39" s="46"/>
      <c r="H39" s="46"/>
      <c r="I39" s="47"/>
      <c r="J39" s="48"/>
      <c r="K39" s="48"/>
      <c r="L39" s="48"/>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row>
    <row r="40" spans="1:95" s="9" customFormat="1" ht="21">
      <c r="B40" s="180" t="s">
        <v>124</v>
      </c>
      <c r="C40" s="180"/>
      <c r="D40" s="180"/>
      <c r="E40" s="180"/>
      <c r="F40" s="180"/>
      <c r="G40" s="180"/>
      <c r="H40" s="180"/>
    </row>
    <row r="41" spans="1:95" s="9" customFormat="1" ht="14.25">
      <c r="B41" s="181" t="s">
        <v>25</v>
      </c>
      <c r="C41" s="178" t="s">
        <v>16</v>
      </c>
      <c r="D41" s="178"/>
      <c r="E41" s="178"/>
      <c r="F41" s="178"/>
      <c r="G41" s="178"/>
      <c r="H41" s="178"/>
    </row>
    <row r="42" spans="1:95" s="9" customFormat="1" ht="14.25">
      <c r="B42" s="182"/>
      <c r="C42" s="172" t="s">
        <v>17</v>
      </c>
      <c r="D42" s="172"/>
      <c r="E42" s="172"/>
      <c r="F42" s="172"/>
      <c r="G42" s="172"/>
      <c r="H42" s="172"/>
    </row>
    <row r="43" spans="1:95" s="9" customFormat="1" ht="12" customHeight="1">
      <c r="B43" s="35" t="s">
        <v>28</v>
      </c>
      <c r="C43" s="36" t="s">
        <v>22</v>
      </c>
      <c r="D43" s="37" t="s">
        <v>21</v>
      </c>
      <c r="E43" s="38" t="s">
        <v>19</v>
      </c>
      <c r="F43" s="41" t="s">
        <v>18</v>
      </c>
      <c r="G43" s="38" t="s">
        <v>20</v>
      </c>
      <c r="H43" s="36" t="s">
        <v>49</v>
      </c>
    </row>
    <row r="44" spans="1:95" ht="14.25">
      <c r="B44" s="50">
        <v>240</v>
      </c>
      <c r="C44" s="4"/>
      <c r="D44" s="4"/>
      <c r="E44" s="4"/>
      <c r="F44" s="4"/>
      <c r="G44" s="39" t="s">
        <v>47</v>
      </c>
      <c r="H44" s="4"/>
      <c r="I44" s="33"/>
      <c r="J44" s="34"/>
      <c r="K44" s="34"/>
      <c r="L44" s="34"/>
      <c r="CQ44" s="9"/>
    </row>
    <row r="45" spans="1:95" ht="14.25">
      <c r="B45" s="50">
        <v>500</v>
      </c>
      <c r="C45" s="4"/>
      <c r="D45" s="4"/>
      <c r="E45" s="4"/>
      <c r="F45" s="4"/>
      <c r="G45" s="39" t="s">
        <v>47</v>
      </c>
      <c r="H45" s="4"/>
      <c r="I45" s="33"/>
      <c r="J45" s="34"/>
      <c r="K45" s="34"/>
      <c r="L45" s="34"/>
      <c r="CQ45" s="9"/>
    </row>
    <row r="46" spans="1:95" ht="14.25">
      <c r="B46" s="50">
        <v>660</v>
      </c>
      <c r="C46" s="4"/>
      <c r="D46" s="4"/>
      <c r="E46" s="4"/>
      <c r="F46" s="4"/>
      <c r="G46" s="39" t="s">
        <v>47</v>
      </c>
      <c r="H46" s="4"/>
      <c r="I46" s="33"/>
      <c r="J46" s="34"/>
      <c r="K46" s="34"/>
      <c r="L46" s="34"/>
      <c r="CQ46" s="9"/>
    </row>
    <row r="47" spans="1:95" ht="14.25">
      <c r="B47" s="50" t="s">
        <v>23</v>
      </c>
      <c r="C47" s="4"/>
      <c r="D47" s="4"/>
      <c r="E47" s="4"/>
      <c r="F47" s="4"/>
      <c r="G47" s="39" t="s">
        <v>47</v>
      </c>
      <c r="H47" s="4"/>
      <c r="I47" s="33"/>
      <c r="J47" s="34"/>
      <c r="K47" s="34"/>
      <c r="L47" s="34"/>
      <c r="CQ47" s="9"/>
    </row>
    <row r="48" spans="1:95" ht="14.25">
      <c r="B48" s="50">
        <v>1000</v>
      </c>
      <c r="C48" s="4"/>
      <c r="D48" s="4"/>
      <c r="E48" s="4"/>
      <c r="F48" s="4"/>
      <c r="G48" s="39" t="s">
        <v>47</v>
      </c>
      <c r="H48" s="4"/>
      <c r="I48" s="33"/>
      <c r="J48" s="34"/>
      <c r="K48" s="34"/>
      <c r="L48" s="34"/>
      <c r="CQ48" s="9"/>
    </row>
    <row r="49" spans="1:95" ht="14.25">
      <c r="B49" s="50">
        <v>1100</v>
      </c>
      <c r="C49" s="4"/>
      <c r="D49" s="4"/>
      <c r="E49" s="4"/>
      <c r="F49" s="4"/>
      <c r="G49" s="39" t="s">
        <v>47</v>
      </c>
      <c r="H49" s="4"/>
      <c r="I49" s="33"/>
      <c r="J49" s="34"/>
      <c r="K49" s="34"/>
      <c r="L49" s="34"/>
      <c r="CQ49" s="9"/>
    </row>
    <row r="50" spans="1:95" ht="14.25">
      <c r="A50"/>
      <c r="B50" s="45"/>
      <c r="C50" s="46"/>
      <c r="D50" s="46"/>
      <c r="E50" s="46"/>
      <c r="F50" s="46"/>
      <c r="G50" s="46"/>
      <c r="H50" s="46"/>
      <c r="I50" s="47"/>
      <c r="J50" s="48"/>
      <c r="K50" s="48"/>
      <c r="L50" s="4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row>
    <row r="51" spans="1:95" s="9" customFormat="1" ht="21">
      <c r="B51" s="188" t="s">
        <v>81</v>
      </c>
      <c r="C51" s="180"/>
      <c r="D51" s="180"/>
    </row>
    <row r="52" spans="1:95" s="9" customFormat="1" ht="15.6" customHeight="1">
      <c r="B52" s="175" t="s">
        <v>25</v>
      </c>
      <c r="C52" s="177" t="s">
        <v>16</v>
      </c>
      <c r="D52" s="178"/>
      <c r="E52" s="178"/>
      <c r="F52" s="178"/>
      <c r="G52" s="178"/>
      <c r="H52" s="178"/>
    </row>
    <row r="53" spans="1:95" s="9" customFormat="1" ht="15.6" customHeight="1">
      <c r="B53" s="176"/>
      <c r="C53" s="179" t="s">
        <v>17</v>
      </c>
      <c r="D53" s="172"/>
      <c r="E53" s="172"/>
      <c r="F53" s="172"/>
      <c r="G53" s="172"/>
      <c r="H53" s="172"/>
    </row>
    <row r="54" spans="1:95" s="9" customFormat="1" ht="15.6" customHeight="1">
      <c r="B54" s="35" t="s">
        <v>28</v>
      </c>
      <c r="C54" s="49" t="s">
        <v>22</v>
      </c>
      <c r="D54" s="37" t="s">
        <v>21</v>
      </c>
      <c r="E54" s="38" t="s">
        <v>19</v>
      </c>
      <c r="F54" s="41" t="s">
        <v>18</v>
      </c>
      <c r="G54" s="38" t="s">
        <v>20</v>
      </c>
      <c r="H54" s="36" t="s">
        <v>49</v>
      </c>
    </row>
    <row r="55" spans="1:95" s="9" customFormat="1" ht="15.6" customHeight="1">
      <c r="B55" s="42">
        <v>120</v>
      </c>
      <c r="C55" s="43" t="s">
        <v>47</v>
      </c>
      <c r="D55" s="4"/>
      <c r="E55" s="4"/>
      <c r="F55" s="4"/>
      <c r="G55" s="39" t="s">
        <v>47</v>
      </c>
      <c r="H55" s="4"/>
    </row>
    <row r="56" spans="1:95" s="9" customFormat="1" ht="15.6" customHeight="1">
      <c r="B56" s="44">
        <v>240</v>
      </c>
      <c r="C56" s="43" t="s">
        <v>47</v>
      </c>
      <c r="D56" s="4"/>
      <c r="E56" s="4"/>
      <c r="F56" s="4"/>
      <c r="G56" s="39" t="s">
        <v>47</v>
      </c>
      <c r="H56" s="4"/>
    </row>
    <row r="57" spans="1:95" ht="14.25">
      <c r="B57" s="9"/>
      <c r="C57" s="9"/>
      <c r="D57" s="9"/>
      <c r="E57" s="9"/>
      <c r="F57" s="9"/>
      <c r="G57" s="9"/>
      <c r="I57" s="33"/>
      <c r="J57" s="34"/>
      <c r="K57" s="34"/>
      <c r="L57" s="34"/>
      <c r="CQ57" s="9"/>
    </row>
    <row r="58" spans="1:95" ht="21">
      <c r="B58" s="180" t="s">
        <v>52</v>
      </c>
      <c r="C58" s="180"/>
      <c r="D58" s="180"/>
      <c r="E58" s="180"/>
      <c r="F58" s="180"/>
      <c r="G58" s="180"/>
      <c r="H58" s="180"/>
      <c r="I58" s="33"/>
      <c r="J58" s="34"/>
      <c r="K58" s="34"/>
      <c r="L58" s="34"/>
      <c r="CQ58" s="9"/>
    </row>
    <row r="59" spans="1:95" ht="14.25">
      <c r="B59" s="175" t="s">
        <v>25</v>
      </c>
      <c r="C59" s="174" t="s">
        <v>16</v>
      </c>
      <c r="D59" s="174"/>
      <c r="E59" s="174"/>
      <c r="F59" s="174"/>
      <c r="G59" s="174"/>
      <c r="H59" s="174"/>
      <c r="I59" s="33"/>
      <c r="J59" s="34"/>
      <c r="K59" s="34"/>
      <c r="L59" s="34"/>
      <c r="CQ59" s="9"/>
    </row>
    <row r="60" spans="1:95" ht="14.25">
      <c r="B60" s="176"/>
      <c r="C60" s="172" t="s">
        <v>17</v>
      </c>
      <c r="D60" s="172"/>
      <c r="E60" s="172"/>
      <c r="F60" s="172"/>
      <c r="G60" s="172"/>
      <c r="H60" s="172"/>
      <c r="I60" s="33"/>
      <c r="J60" s="34"/>
      <c r="K60" s="34"/>
      <c r="L60" s="34"/>
      <c r="CQ60" s="9"/>
    </row>
    <row r="61" spans="1:95" ht="14.25">
      <c r="B61" s="35" t="s">
        <v>28</v>
      </c>
      <c r="C61" s="36" t="s">
        <v>22</v>
      </c>
      <c r="D61" s="37" t="s">
        <v>21</v>
      </c>
      <c r="E61" s="38" t="s">
        <v>19</v>
      </c>
      <c r="F61" s="41" t="s">
        <v>18</v>
      </c>
      <c r="G61" s="38" t="s">
        <v>20</v>
      </c>
      <c r="H61" s="36" t="s">
        <v>49</v>
      </c>
      <c r="I61" s="33"/>
      <c r="J61" s="34"/>
      <c r="K61" s="34"/>
      <c r="L61" s="34"/>
      <c r="CQ61" s="9"/>
    </row>
    <row r="62" spans="1:95" ht="14.25">
      <c r="B62" s="40">
        <v>240</v>
      </c>
      <c r="C62" s="4"/>
      <c r="D62" s="4"/>
      <c r="E62" s="4"/>
      <c r="F62" s="4"/>
      <c r="G62" s="39" t="s">
        <v>47</v>
      </c>
      <c r="H62" s="4"/>
      <c r="I62" s="33"/>
      <c r="J62" s="34"/>
      <c r="K62" s="34"/>
      <c r="L62" s="34"/>
      <c r="CQ62" s="9"/>
    </row>
    <row r="63" spans="1:95" ht="14.25">
      <c r="B63" s="40">
        <v>500</v>
      </c>
      <c r="C63" s="4"/>
      <c r="D63" s="4"/>
      <c r="E63" s="4"/>
      <c r="F63" s="4"/>
      <c r="G63" s="39" t="s">
        <v>47</v>
      </c>
      <c r="H63" s="4"/>
      <c r="I63" s="33"/>
      <c r="J63" s="34"/>
      <c r="K63" s="34"/>
      <c r="L63" s="34"/>
      <c r="CQ63" s="9"/>
    </row>
    <row r="64" spans="1:95" ht="14.25">
      <c r="B64" s="40">
        <v>660</v>
      </c>
      <c r="C64" s="4"/>
      <c r="D64" s="4"/>
      <c r="E64" s="4"/>
      <c r="F64" s="4"/>
      <c r="G64" s="39" t="s">
        <v>47</v>
      </c>
      <c r="H64" s="4"/>
      <c r="I64" s="33"/>
      <c r="J64" s="34"/>
      <c r="K64" s="34"/>
      <c r="L64" s="34"/>
      <c r="CQ64" s="9"/>
    </row>
    <row r="65" spans="2:95" ht="14.25">
      <c r="B65" s="9"/>
      <c r="C65" s="9"/>
      <c r="D65" s="9"/>
      <c r="E65" s="9"/>
      <c r="F65" s="9"/>
      <c r="G65" s="9"/>
      <c r="I65" s="33"/>
      <c r="J65" s="34"/>
      <c r="K65" s="34"/>
      <c r="L65" s="34"/>
      <c r="CQ65" s="9"/>
    </row>
    <row r="66" spans="2:95" ht="21">
      <c r="B66" s="180" t="s">
        <v>101</v>
      </c>
      <c r="C66" s="180"/>
      <c r="D66" s="180"/>
      <c r="E66" s="180"/>
      <c r="F66" s="180"/>
      <c r="G66" s="180"/>
      <c r="H66" s="180"/>
    </row>
    <row r="67" spans="2:95" ht="14.25">
      <c r="B67" s="175" t="s">
        <v>25</v>
      </c>
      <c r="C67" s="174" t="s">
        <v>16</v>
      </c>
      <c r="D67" s="174"/>
      <c r="E67" s="174"/>
      <c r="F67" s="174"/>
      <c r="G67" s="174"/>
      <c r="H67" s="174"/>
    </row>
    <row r="68" spans="2:95" ht="14.25">
      <c r="B68" s="176"/>
      <c r="C68" s="172" t="s">
        <v>17</v>
      </c>
      <c r="D68" s="172"/>
      <c r="E68" s="172"/>
      <c r="F68" s="172"/>
      <c r="G68" s="172"/>
      <c r="H68" s="172"/>
    </row>
    <row r="69" spans="2:95" ht="14.25">
      <c r="B69" s="35" t="s">
        <v>28</v>
      </c>
      <c r="C69" s="36" t="s">
        <v>22</v>
      </c>
      <c r="D69" s="37" t="s">
        <v>21</v>
      </c>
      <c r="E69" s="38" t="s">
        <v>19</v>
      </c>
      <c r="F69" s="38" t="s">
        <v>79</v>
      </c>
      <c r="G69" s="38" t="s">
        <v>20</v>
      </c>
      <c r="H69" s="36" t="s">
        <v>49</v>
      </c>
    </row>
    <row r="70" spans="2:95" ht="14.25">
      <c r="B70" s="32">
        <v>240</v>
      </c>
      <c r="C70" s="4"/>
      <c r="D70" s="4"/>
      <c r="E70" s="4"/>
      <c r="F70" s="31" t="s">
        <v>47</v>
      </c>
      <c r="G70" s="31" t="s">
        <v>47</v>
      </c>
      <c r="H70" s="4"/>
    </row>
    <row r="71" spans="2:95" ht="14.25">
      <c r="B71" s="29"/>
      <c r="C71" s="29"/>
      <c r="D71" s="29"/>
      <c r="E71" s="29"/>
      <c r="F71" s="29"/>
      <c r="G71" s="29"/>
      <c r="H71" s="30"/>
    </row>
    <row r="72" spans="2:95" ht="14.25"/>
    <row r="73" spans="2:95" s="9" customFormat="1" ht="14.25"/>
    <row r="74" spans="2:95" s="9" customFormat="1" ht="14.25"/>
    <row r="75" spans="2:95" s="9" customFormat="1" ht="14.25"/>
    <row r="76" spans="2:95" s="9" customFormat="1" ht="14.25"/>
    <row r="77" spans="2:95" s="9" customFormat="1" ht="14.25"/>
    <row r="78" spans="2:95" s="9" customFormat="1" ht="14.25"/>
    <row r="79" spans="2:95" s="9" customFormat="1" ht="14.25"/>
    <row r="80" spans="2:95" s="9" customFormat="1" ht="14.25"/>
    <row r="81" s="9" customFormat="1" ht="14.25"/>
    <row r="82" s="9" customFormat="1" ht="14.25"/>
    <row r="83" s="9" customFormat="1" ht="14.25"/>
    <row r="84" s="9" customFormat="1" ht="14.25"/>
    <row r="85" s="9" customFormat="1" ht="14.25"/>
    <row r="86" s="9" customFormat="1" ht="14.25"/>
    <row r="87" s="9" customFormat="1" ht="14.25"/>
    <row r="88" s="9" customFormat="1" ht="14.25"/>
    <row r="89" s="9" customFormat="1" ht="14.25"/>
    <row r="90" s="9" customFormat="1" ht="14.25"/>
    <row r="91" s="9" customFormat="1" ht="14.25"/>
    <row r="92" s="9" customFormat="1" ht="14.25"/>
    <row r="93" s="9" customFormat="1" ht="14.25"/>
    <row r="94" s="9" customFormat="1" ht="14.25"/>
    <row r="95" s="9" customFormat="1" ht="14.25"/>
    <row r="96" s="9" customFormat="1" ht="14.25"/>
    <row r="97" s="9" customFormat="1" ht="14.25"/>
    <row r="98" s="9" customFormat="1" ht="14.25"/>
    <row r="99" s="9" customFormat="1" ht="14.25"/>
    <row r="100" s="9" customFormat="1" ht="14.25"/>
    <row r="101" s="9" customFormat="1" ht="14.25"/>
    <row r="102" s="9" customFormat="1" ht="14.25"/>
    <row r="103" s="9" customFormat="1" ht="14.25"/>
    <row r="104" s="9" customFormat="1" ht="14.25"/>
    <row r="105" s="9" customFormat="1" ht="14.25"/>
    <row r="106" s="9" customFormat="1" ht="14.25"/>
    <row r="107" s="9" customFormat="1" ht="14.25"/>
    <row r="108" s="9" customFormat="1" ht="14.25"/>
    <row r="109" s="9" customFormat="1" ht="14.25"/>
    <row r="110" s="9" customFormat="1" ht="14.25"/>
    <row r="111" s="9" customFormat="1" ht="14.25"/>
    <row r="112" s="9" customFormat="1" ht="14.25"/>
    <row r="113" s="9" customFormat="1" ht="14.25"/>
    <row r="114" s="9" customFormat="1" ht="14.25"/>
    <row r="115" s="9" customFormat="1" ht="14.25"/>
    <row r="116" s="9" customFormat="1" ht="14.25"/>
    <row r="117" s="9" customFormat="1" ht="14.25"/>
    <row r="118" s="9" customFormat="1" ht="14.25"/>
    <row r="119" s="9" customFormat="1" ht="14.25"/>
    <row r="120" s="9" customFormat="1" ht="14.25"/>
    <row r="121" s="9" customFormat="1" ht="14.25"/>
    <row r="122" s="9" customFormat="1" ht="14.25"/>
    <row r="123" s="9" customFormat="1" ht="14.25"/>
    <row r="124" s="9" customFormat="1" ht="14.25"/>
    <row r="125" s="9" customFormat="1" ht="14.25"/>
    <row r="126" s="9" customFormat="1" ht="14.25"/>
    <row r="127" s="9" customFormat="1" ht="14.25"/>
    <row r="128" s="9" customFormat="1" ht="14.25"/>
    <row r="129" s="9" customFormat="1" ht="14.25"/>
    <row r="130" s="9" customFormat="1" ht="14.25"/>
    <row r="131" s="9" customFormat="1" ht="14.25"/>
    <row r="132" s="9" customFormat="1" ht="14.25"/>
    <row r="133" s="9" customFormat="1" ht="14.25"/>
    <row r="134" s="9" customFormat="1" ht="14.25"/>
    <row r="135" s="9" customFormat="1" ht="14.25"/>
    <row r="136" s="9" customFormat="1" ht="14.25"/>
    <row r="137" s="9" customFormat="1" ht="14.25"/>
    <row r="138" s="9" customFormat="1" ht="14.25"/>
    <row r="139" s="9" customFormat="1" ht="14.25"/>
    <row r="140" s="9" customFormat="1" ht="14.25"/>
    <row r="141" s="9" customFormat="1" ht="14.25"/>
    <row r="142" s="9" customFormat="1" ht="14.25"/>
    <row r="143" s="9" customFormat="1" ht="14.25"/>
    <row r="144" s="9" customFormat="1" ht="14.25"/>
    <row r="145" s="9" customFormat="1" ht="14.25"/>
    <row r="146" s="9" customFormat="1" ht="14.25"/>
    <row r="147" s="9" customFormat="1" ht="14.25"/>
    <row r="148" s="9" customFormat="1" ht="14.25"/>
    <row r="149" s="9" customFormat="1" ht="14.25"/>
    <row r="150" s="9" customFormat="1" ht="14.25"/>
    <row r="151" s="9" customFormat="1" ht="14.25"/>
    <row r="152" s="9" customFormat="1" ht="14.25"/>
    <row r="153" s="9" customFormat="1" ht="14.25"/>
    <row r="154" s="9" customFormat="1" ht="14.25"/>
    <row r="155" s="9" customFormat="1" ht="14.25"/>
    <row r="156" s="9" customFormat="1" ht="14.25"/>
    <row r="157" s="9" customFormat="1" ht="14.25"/>
    <row r="158" s="9" customFormat="1" ht="14.25"/>
    <row r="159" s="9" customFormat="1" ht="14.25"/>
    <row r="160" s="9" customFormat="1" ht="14.25"/>
    <row r="161" s="9" customFormat="1" ht="14.25"/>
    <row r="162" s="9" customFormat="1" ht="14.25"/>
    <row r="163" s="9" customFormat="1" ht="14.25"/>
    <row r="164" s="9" customFormat="1" ht="14.25"/>
    <row r="165" s="9" customFormat="1" ht="14.25"/>
    <row r="166" s="9" customFormat="1" ht="14.25"/>
    <row r="167" s="9" customFormat="1" ht="14.25"/>
    <row r="168" s="9" customFormat="1" ht="14.25"/>
    <row r="169" s="9" customFormat="1" ht="14.25"/>
    <row r="170" s="9" customFormat="1" ht="14.25"/>
    <row r="171" s="9" customFormat="1" ht="14.25"/>
    <row r="172" s="9" customFormat="1" ht="14.25"/>
    <row r="173" s="9" customFormat="1" ht="14.25"/>
    <row r="174" s="9" customFormat="1" ht="14.25"/>
    <row r="175" s="9" customFormat="1" ht="14.25"/>
    <row r="176" s="9" customFormat="1" ht="14.25"/>
    <row r="177" s="9" customFormat="1" ht="14.25"/>
    <row r="178" s="9" customFormat="1" ht="14.25"/>
    <row r="179" s="9" customFormat="1" ht="14.25"/>
    <row r="180" s="9" customFormat="1" ht="14.25"/>
    <row r="181" s="9" customFormat="1" ht="14.25"/>
    <row r="182" s="9" customFormat="1" ht="14.25"/>
    <row r="183" s="9" customFormat="1" ht="14.25"/>
    <row r="184" s="9" customFormat="1" ht="14.25"/>
    <row r="185" s="9" customFormat="1" ht="14.25"/>
    <row r="186" s="9" customFormat="1" ht="14.25"/>
    <row r="187" s="9" customFormat="1" ht="14.25"/>
    <row r="188" s="9" customFormat="1" ht="14.25"/>
    <row r="189" s="9" customFormat="1" ht="14.25"/>
    <row r="190" s="9" customFormat="1" ht="14.25"/>
    <row r="191" s="9" customFormat="1" ht="14.25"/>
    <row r="192" s="9" customFormat="1" ht="14.25"/>
    <row r="193" s="9" customFormat="1" ht="14.25"/>
    <row r="194" s="9" customFormat="1" ht="14.25"/>
    <row r="195" s="9" customFormat="1" ht="14.25"/>
    <row r="196" s="9" customFormat="1" ht="14.25"/>
    <row r="197" s="9" customFormat="1" ht="14.25"/>
    <row r="198" s="9" customFormat="1" ht="14.25"/>
    <row r="199" s="9" customFormat="1" ht="14.25"/>
    <row r="200" s="9" customFormat="1" ht="14.25"/>
    <row r="201" s="9" customFormat="1" ht="14.25"/>
    <row r="202" s="9" customFormat="1" ht="14.25"/>
    <row r="203" s="9" customFormat="1" ht="14.25"/>
    <row r="204" s="9" customFormat="1" ht="14.25"/>
    <row r="205" s="9" customFormat="1" ht="14.25"/>
    <row r="206" s="9" customFormat="1" ht="14.25"/>
    <row r="207" s="9" customFormat="1" ht="14.25"/>
    <row r="208" s="9" customFormat="1" ht="14.25"/>
    <row r="209" s="9" customFormat="1" ht="14.25"/>
    <row r="210" s="9" customFormat="1" ht="14.25"/>
    <row r="211" s="9" customFormat="1" ht="14.25"/>
    <row r="212" s="9" customFormat="1" ht="14.25"/>
    <row r="213" s="9" customFormat="1" ht="14.25"/>
    <row r="214" s="9" customFormat="1" ht="14.25"/>
    <row r="215" s="9" customFormat="1" ht="14.25"/>
    <row r="216" s="9" customFormat="1" ht="14.25"/>
    <row r="217" s="9" customFormat="1" ht="14.25"/>
    <row r="218" s="9" customFormat="1" ht="14.25"/>
    <row r="219" s="9" customFormat="1" ht="14.25"/>
    <row r="220" s="9" customFormat="1" ht="14.25"/>
    <row r="221" s="9" customFormat="1" ht="14.25"/>
    <row r="222" s="9" customFormat="1" ht="14.25"/>
    <row r="223" s="9" customFormat="1" ht="14.25"/>
    <row r="224" s="9" customFormat="1" ht="14.25"/>
    <row r="225" s="9" customFormat="1" ht="14.25"/>
    <row r="226" s="9" customFormat="1" ht="14.25"/>
    <row r="227" s="9" customFormat="1" ht="14.25"/>
    <row r="228" s="9" customFormat="1" ht="14.25"/>
    <row r="229" s="9" customFormat="1" ht="14.25"/>
    <row r="230" s="9" customFormat="1" ht="14.25"/>
    <row r="231" s="9" customFormat="1" ht="14.25"/>
    <row r="232" s="9" customFormat="1" ht="14.25"/>
    <row r="233" s="9" customFormat="1" ht="14.25"/>
    <row r="234" s="9" customFormat="1" ht="14.25"/>
    <row r="235" s="9" customFormat="1" ht="14.25"/>
    <row r="236" s="9" customFormat="1" ht="14.25"/>
    <row r="237" s="9" customFormat="1" ht="14.25"/>
    <row r="238" s="9" customFormat="1" ht="14.25"/>
    <row r="239" s="9" customFormat="1" ht="14.25"/>
    <row r="240" s="9" customFormat="1" ht="14.25"/>
    <row r="241" s="9" customFormat="1" ht="14.25"/>
    <row r="242" s="9" customFormat="1" ht="14.25"/>
    <row r="243" s="9" customFormat="1" ht="14.25"/>
    <row r="244" s="9" customFormat="1" ht="14.25"/>
    <row r="245" s="9" customFormat="1" ht="14.25"/>
    <row r="246" s="9" customFormat="1" ht="14.25"/>
    <row r="247" s="9" customFormat="1" ht="14.25"/>
    <row r="248" s="9" customFormat="1" ht="14.25"/>
    <row r="249" s="9" customFormat="1" ht="14.25"/>
    <row r="250" s="9" customFormat="1" ht="14.25"/>
    <row r="251" s="9" customFormat="1" ht="14.25"/>
    <row r="252" s="9" customFormat="1" ht="14.25"/>
    <row r="253" s="9" customFormat="1" ht="14.25"/>
    <row r="254" s="9" customFormat="1" ht="14.25"/>
    <row r="255" s="9" customFormat="1" ht="14.25"/>
    <row r="256" s="9" customFormat="1" ht="14.25"/>
    <row r="257" s="9" customFormat="1" ht="14.25"/>
    <row r="258" s="9" customFormat="1" ht="14.25"/>
    <row r="259" s="9" customFormat="1" ht="14.25"/>
    <row r="260" s="9" customFormat="1" ht="14.25"/>
    <row r="261" s="9" customFormat="1" ht="14.25"/>
    <row r="262" s="9" customFormat="1" ht="14.25"/>
    <row r="263" s="9" customFormat="1" ht="14.25"/>
    <row r="264" s="9" customFormat="1" ht="14.25"/>
    <row r="265" s="9" customFormat="1" ht="14.25"/>
    <row r="266" s="9" customFormat="1" ht="14.25"/>
    <row r="267" s="9" customFormat="1" ht="14.25"/>
    <row r="268" s="9" customFormat="1" ht="14.25"/>
    <row r="269" s="9" customFormat="1" ht="14.25"/>
    <row r="270" s="9" customFormat="1" ht="14.25"/>
    <row r="271" s="9" customFormat="1" ht="14.25"/>
    <row r="272" s="9" customFormat="1" ht="14.25"/>
    <row r="273" s="9" customFormat="1" ht="14.25"/>
    <row r="274" s="9" customFormat="1" ht="14.25"/>
    <row r="275" s="9" customFormat="1" ht="14.25"/>
    <row r="276" s="9" customFormat="1" ht="14.25"/>
    <row r="277" s="9" customFormat="1" ht="14.25"/>
    <row r="278" s="9" customFormat="1" ht="14.25"/>
    <row r="279" s="9" customFormat="1" ht="14.25"/>
    <row r="280" s="9" customFormat="1" ht="14.25"/>
    <row r="281" s="9" customFormat="1" ht="14.25"/>
    <row r="282" s="9" customFormat="1" ht="14.25"/>
    <row r="283" s="9" customFormat="1" ht="14.25"/>
    <row r="284" s="9" customFormat="1" ht="14.25"/>
    <row r="285" s="9" customFormat="1" ht="14.25"/>
    <row r="286" s="9" customFormat="1" ht="14.25"/>
    <row r="287" s="9" customFormat="1" ht="14.25"/>
    <row r="288" s="9" customFormat="1" ht="14.25"/>
    <row r="289" s="9" customFormat="1" ht="14.25"/>
    <row r="290" s="9" customFormat="1" ht="14.25"/>
    <row r="291" s="9" customFormat="1" ht="14.25"/>
    <row r="292" s="9" customFormat="1" ht="14.25"/>
    <row r="293" s="9" customFormat="1" ht="14.25"/>
    <row r="294" s="9" customFormat="1" ht="14.25"/>
    <row r="295" s="9" customFormat="1" ht="14.25"/>
    <row r="296" s="9" customFormat="1" ht="14.25"/>
    <row r="297" s="9" customFormat="1" ht="14.25"/>
    <row r="298" s="9" customFormat="1" ht="14.25"/>
    <row r="299" s="9" customFormat="1" ht="14.25"/>
    <row r="300" s="9" customFormat="1" ht="14.25"/>
    <row r="301" s="9" customFormat="1" ht="14.25"/>
    <row r="302" s="9" customFormat="1" ht="14.25"/>
    <row r="303" s="9" customFormat="1" ht="14.25"/>
    <row r="304" s="9" customFormat="1" ht="14.25"/>
    <row r="305" s="9" customFormat="1" ht="14.25"/>
    <row r="306" s="9" customFormat="1" ht="14.25"/>
    <row r="307" s="9" customFormat="1" ht="14.25"/>
    <row r="308" s="9" customFormat="1" ht="14.25"/>
    <row r="309" s="9" customFormat="1" ht="14.25"/>
    <row r="310" s="9" customFormat="1" ht="14.25"/>
    <row r="311" s="9" customFormat="1" ht="14.25"/>
    <row r="312" s="9" customFormat="1" ht="14.25"/>
    <row r="313" s="9" customFormat="1" ht="14.25"/>
    <row r="314" s="9" customFormat="1" ht="14.25"/>
    <row r="315" s="9" customFormat="1" ht="14.25"/>
    <row r="316" s="9" customFormat="1" ht="14.25"/>
    <row r="317" s="9" customFormat="1" ht="14.25"/>
    <row r="318" s="9" customFormat="1" ht="14.25"/>
    <row r="319" s="9" customFormat="1" ht="14.25"/>
    <row r="320" s="9" customFormat="1" ht="14.25"/>
    <row r="321" s="9" customFormat="1" ht="14.25"/>
    <row r="322" s="9" customFormat="1" ht="14.25"/>
    <row r="323" s="9" customFormat="1" ht="14.25"/>
    <row r="324" s="9" customFormat="1" ht="14.25"/>
    <row r="325" s="9" customFormat="1" ht="14.25"/>
    <row r="326" s="9" customFormat="1" ht="14.25"/>
    <row r="327" s="9" customFormat="1" ht="14.25"/>
    <row r="328" s="9" customFormat="1" ht="14.25"/>
    <row r="329" s="9" customFormat="1" ht="14.25"/>
    <row r="330" s="9" customFormat="1" ht="14.25"/>
    <row r="331" s="9" customFormat="1" ht="14.25"/>
    <row r="332" s="9" customFormat="1" ht="14.25"/>
    <row r="333" s="9" customFormat="1" ht="14.25"/>
    <row r="334" s="9" customFormat="1" ht="14.25"/>
    <row r="335" s="9" customFormat="1" ht="14.25"/>
    <row r="336" s="9" customFormat="1" ht="14.25"/>
    <row r="337" s="9" customFormat="1" ht="14.25"/>
    <row r="338" s="9" customFormat="1" ht="14.25"/>
    <row r="339" s="9" customFormat="1" ht="14.25"/>
    <row r="340" s="9" customFormat="1" ht="14.25"/>
    <row r="341" s="9" customFormat="1" ht="14.25"/>
    <row r="342" s="9" customFormat="1" ht="14.25"/>
    <row r="343" s="9" customFormat="1" ht="14.25"/>
    <row r="344" s="9" customFormat="1" ht="14.25"/>
    <row r="345" s="9" customFormat="1" ht="14.25"/>
    <row r="346" s="9" customFormat="1" ht="14.25"/>
    <row r="347" s="9" customFormat="1" ht="14.25"/>
    <row r="348" s="9" customFormat="1" ht="14.25"/>
    <row r="349" s="9" customFormat="1" ht="14.25"/>
    <row r="350" s="9" customFormat="1" ht="14.25"/>
    <row r="351" s="9" customFormat="1" ht="14.25"/>
    <row r="352" s="9" customFormat="1" ht="14.25"/>
    <row r="353" s="9" customFormat="1" ht="14.25"/>
    <row r="354" s="9" customFormat="1" ht="14.25"/>
    <row r="355" s="9" customFormat="1" ht="14.25"/>
    <row r="356" s="9" customFormat="1" ht="14.25"/>
    <row r="357" s="9" customFormat="1" ht="14.25"/>
    <row r="358" s="9" customFormat="1" ht="14.25"/>
    <row r="359" s="9" customFormat="1" ht="14.25"/>
    <row r="360" s="9" customFormat="1" ht="14.25"/>
    <row r="361" s="9" customFormat="1" ht="14.25"/>
    <row r="362" s="9" customFormat="1" ht="14.25"/>
    <row r="363" s="9" customFormat="1" ht="14.25"/>
    <row r="364" s="9" customFormat="1" ht="14.25"/>
    <row r="365" s="9" customFormat="1" ht="14.25"/>
    <row r="366" s="9" customFormat="1" ht="14.25"/>
    <row r="367" s="9" customFormat="1" ht="14.25"/>
    <row r="368" s="9" customFormat="1" ht="14.25"/>
    <row r="369" s="9" customFormat="1" ht="14.25"/>
    <row r="370" s="9" customFormat="1" ht="14.25"/>
    <row r="371" s="9" customFormat="1" ht="14.25"/>
    <row r="372" s="9" customFormat="1" ht="14.25"/>
    <row r="373" s="9" customFormat="1" ht="14.25"/>
    <row r="374" s="9" customFormat="1" ht="14.25"/>
    <row r="375" s="9" customFormat="1" ht="14.25"/>
    <row r="376" s="9" customFormat="1" ht="14.25"/>
    <row r="377" s="9" customFormat="1" ht="14.25"/>
    <row r="378" s="9" customFormat="1" ht="14.25"/>
    <row r="379" s="9" customFormat="1" ht="14.25"/>
    <row r="380" s="9" customFormat="1" ht="14.25"/>
    <row r="381" s="9" customFormat="1" ht="14.25"/>
    <row r="382" s="9" customFormat="1" ht="14.25"/>
    <row r="383" s="9" customFormat="1" ht="14.25"/>
    <row r="384" s="9" customFormat="1" ht="14.25"/>
    <row r="385" s="9" customFormat="1" ht="14.25"/>
    <row r="386" s="9" customFormat="1" ht="14.25"/>
    <row r="387" s="9" customFormat="1" ht="14.25"/>
    <row r="388" s="9" customFormat="1" ht="14.25"/>
    <row r="389" s="9" customFormat="1" ht="14.25"/>
    <row r="390" s="9" customFormat="1" ht="14.25"/>
    <row r="391" s="9" customFormat="1" ht="14.25"/>
    <row r="392" s="9" customFormat="1" ht="14.25"/>
    <row r="393" s="9" customFormat="1" ht="14.25"/>
    <row r="394" s="9" customFormat="1" ht="14.25"/>
    <row r="395" s="9" customFormat="1" ht="14.25"/>
    <row r="396" s="9" customFormat="1" ht="14.25"/>
    <row r="397" s="9" customFormat="1" ht="14.25"/>
    <row r="398" s="9" customFormat="1" ht="14.25"/>
    <row r="399" s="9" customFormat="1" ht="14.25"/>
    <row r="400" s="9" customFormat="1" ht="14.25"/>
    <row r="401" s="9" customFormat="1" ht="14.25"/>
    <row r="402" s="9" customFormat="1" ht="14.25"/>
    <row r="403" s="9" customFormat="1" ht="14.25"/>
    <row r="404" s="9" customFormat="1" ht="14.25"/>
    <row r="405" s="9" customFormat="1" ht="14.25"/>
    <row r="406" s="9" customFormat="1" ht="14.25"/>
    <row r="407" s="9" customFormat="1" ht="14.25"/>
    <row r="408" s="9" customFormat="1" ht="14.25"/>
    <row r="409" s="9" customFormat="1" ht="14.25"/>
    <row r="410" s="9" customFormat="1" ht="14.25"/>
    <row r="411" s="9" customFormat="1" ht="14.25"/>
    <row r="412" s="9" customFormat="1" ht="14.25"/>
    <row r="413" s="9" customFormat="1" ht="14.25"/>
    <row r="414" s="9" customFormat="1" ht="14.25"/>
    <row r="415" s="9" customFormat="1" ht="14.25"/>
    <row r="416" s="9" customFormat="1" ht="14.25"/>
    <row r="417" s="9" customFormat="1" ht="14.25"/>
    <row r="418" s="9" customFormat="1" ht="14.25"/>
    <row r="419" s="9" customFormat="1" ht="14.25"/>
    <row r="420" s="9" customFormat="1" ht="14.25"/>
    <row r="421" s="9" customFormat="1" ht="14.25"/>
    <row r="422" s="9" customFormat="1" ht="14.25"/>
    <row r="423" s="9" customFormat="1" ht="14.25"/>
    <row r="424" s="9" customFormat="1" ht="14.25"/>
    <row r="425" s="9" customFormat="1" ht="14.25"/>
    <row r="426" s="9" customFormat="1" ht="14.25"/>
    <row r="427" s="9" customFormat="1" ht="14.25"/>
    <row r="428" s="9" customFormat="1" ht="14.25"/>
    <row r="429" s="9" customFormat="1" ht="14.25"/>
    <row r="430" s="9" customFormat="1" ht="14.25"/>
    <row r="431" s="9" customFormat="1" ht="14.25"/>
    <row r="432" s="9" customFormat="1" ht="14.25"/>
    <row r="433" s="9" customFormat="1" ht="14.25"/>
    <row r="434" s="9" customFormat="1" ht="14.25"/>
    <row r="435" s="9" customFormat="1" ht="14.25"/>
    <row r="436" s="9" customFormat="1" ht="14.25"/>
    <row r="437" s="9" customFormat="1" ht="14.25"/>
    <row r="438" s="9" customFormat="1" ht="14.25"/>
    <row r="439" s="9" customFormat="1" ht="14.25"/>
    <row r="440" s="9" customFormat="1" ht="14.25"/>
    <row r="441" s="9" customFormat="1" ht="14.25"/>
    <row r="442" s="9" customFormat="1" ht="14.25"/>
    <row r="443" s="9" customFormat="1" ht="14.25"/>
    <row r="444" s="9" customFormat="1" ht="14.25"/>
    <row r="445" s="9" customFormat="1" ht="14.25"/>
    <row r="446" s="9" customFormat="1" ht="14.25"/>
    <row r="447" s="9" customFormat="1" ht="14.25"/>
    <row r="448" s="9" customFormat="1" ht="14.25"/>
    <row r="449" s="9" customFormat="1" ht="14.25"/>
    <row r="450" s="9" customFormat="1" ht="14.25"/>
    <row r="451" s="9" customFormat="1" ht="14.25"/>
    <row r="452" s="9" customFormat="1" ht="14.25"/>
    <row r="453" s="9" customFormat="1" ht="14.25"/>
    <row r="454" s="9" customFormat="1" ht="14.25"/>
    <row r="455" s="9" customFormat="1" ht="14.25"/>
    <row r="456" s="9" customFormat="1" ht="14.25"/>
    <row r="457" s="9" customFormat="1" ht="14.25"/>
    <row r="458" s="9" customFormat="1" ht="14.25"/>
    <row r="459" s="9" customFormat="1" ht="14.25"/>
    <row r="460" s="9" customFormat="1" ht="14.25"/>
    <row r="461" s="9" customFormat="1" ht="14.25"/>
    <row r="462" s="9" customFormat="1" ht="14.25"/>
    <row r="463" s="9" customFormat="1" ht="14.25"/>
    <row r="464" s="9" customFormat="1" ht="14.25"/>
    <row r="465" s="9" customFormat="1" ht="14.25"/>
    <row r="466" s="9" customFormat="1" ht="14.25"/>
    <row r="467" s="9" customFormat="1" ht="14.25"/>
    <row r="468" s="9" customFormat="1" ht="14.25"/>
    <row r="469" s="9" customFormat="1" ht="14.25"/>
    <row r="470" s="9" customFormat="1" ht="14.25"/>
    <row r="471" s="9" customFormat="1" ht="14.25"/>
    <row r="472" s="9" customFormat="1" ht="14.25"/>
    <row r="473" s="9" customFormat="1" ht="14.25"/>
    <row r="474" s="9" customFormat="1" ht="14.25"/>
    <row r="475" s="9" customFormat="1" ht="14.25"/>
    <row r="476" s="9" customFormat="1" ht="14.25"/>
    <row r="477" s="9" customFormat="1" ht="14.25"/>
    <row r="478" s="9" customFormat="1" ht="14.25"/>
    <row r="479" s="9" customFormat="1" ht="14.25"/>
    <row r="480" s="9" customFormat="1" ht="14.25"/>
    <row r="481" s="9" customFormat="1" ht="14.25"/>
    <row r="482" s="9" customFormat="1" ht="14.25"/>
    <row r="483" s="9" customFormat="1" ht="14.25"/>
    <row r="484" s="9" customFormat="1" ht="14.25"/>
    <row r="485" s="9" customFormat="1" ht="14.25"/>
    <row r="486" s="9" customFormat="1" ht="14.25"/>
    <row r="487" s="9" customFormat="1" ht="14.25"/>
    <row r="488" s="9" customFormat="1" ht="14.25"/>
    <row r="489" s="9" customFormat="1" ht="14.25"/>
    <row r="490" s="9" customFormat="1" ht="14.25"/>
    <row r="491" s="9" customFormat="1" ht="14.25"/>
    <row r="492" s="9" customFormat="1" ht="14.25"/>
    <row r="493" s="9" customFormat="1" ht="14.25"/>
    <row r="494" s="9" customFormat="1" ht="14.25"/>
    <row r="495" s="9" customFormat="1" ht="14.25"/>
    <row r="496" s="9" customFormat="1" ht="14.25"/>
    <row r="497" s="9" customFormat="1" ht="14.25"/>
    <row r="498" s="9" customFormat="1" ht="14.25"/>
    <row r="499" s="9" customFormat="1" ht="14.25"/>
    <row r="500" s="9" customFormat="1" ht="14.25"/>
    <row r="501" s="9" customFormat="1" ht="14.25"/>
    <row r="502" s="9" customFormat="1" ht="14.25"/>
    <row r="503" s="9" customFormat="1" ht="14.25"/>
    <row r="504" s="9" customFormat="1" ht="14.25"/>
    <row r="505" s="9" customFormat="1" ht="14.25"/>
    <row r="506" s="9" customFormat="1" ht="14.25"/>
    <row r="507" s="9" customFormat="1" ht="14.25"/>
    <row r="508" s="9" customFormat="1" ht="14.25"/>
    <row r="509" s="9" customFormat="1" ht="14.25"/>
    <row r="510" s="9" customFormat="1" ht="14.25"/>
    <row r="511" s="9" customFormat="1" ht="14.25"/>
    <row r="512" s="9" customFormat="1" ht="14.25"/>
    <row r="513" s="9" customFormat="1" ht="14.25"/>
    <row r="514" s="9" customFormat="1" ht="14.25"/>
    <row r="515" s="9" customFormat="1" ht="14.25"/>
    <row r="516" s="9" customFormat="1" ht="14.25"/>
    <row r="517" s="9" customFormat="1" ht="14.25"/>
    <row r="518" s="9" customFormat="1" ht="14.25"/>
    <row r="519" s="9" customFormat="1" ht="14.25"/>
    <row r="520" s="9" customFormat="1" ht="14.25"/>
    <row r="521" s="9" customFormat="1" ht="14.25"/>
    <row r="522" s="9" customFormat="1" ht="14.25"/>
    <row r="523" s="9" customFormat="1" ht="14.25"/>
    <row r="524" s="9" customFormat="1" ht="14.25"/>
    <row r="525" s="9" customFormat="1" ht="14.25"/>
    <row r="526" s="9" customFormat="1" ht="14.25"/>
    <row r="527" s="9" customFormat="1" ht="14.25"/>
    <row r="528" s="9" customFormat="1" ht="14.25"/>
    <row r="529" s="9" customFormat="1" ht="14.25"/>
    <row r="530" s="9" customFormat="1" ht="14.25"/>
    <row r="531" s="9" customFormat="1" ht="14.25"/>
    <row r="532" s="9" customFormat="1" ht="14.25"/>
    <row r="533" s="9" customFormat="1" ht="14.25"/>
    <row r="534" s="9" customFormat="1" ht="14.25"/>
    <row r="535" s="9" customFormat="1" ht="14.25"/>
    <row r="536" s="9" customFormat="1" ht="14.25"/>
    <row r="537" s="9" customFormat="1" ht="14.25"/>
    <row r="538" s="9" customFormat="1" ht="14.25"/>
    <row r="539" s="9" customFormat="1" ht="14.25"/>
    <row r="540" s="9" customFormat="1" ht="14.25"/>
    <row r="541" s="9" customFormat="1" ht="14.25"/>
    <row r="542" s="9" customFormat="1" ht="14.25"/>
    <row r="543" s="9" customFormat="1" ht="14.25"/>
    <row r="544" s="9" customFormat="1" ht="14.25"/>
    <row r="545" s="9" customFormat="1" ht="14.25"/>
    <row r="546" s="9" customFormat="1" ht="14.25"/>
    <row r="547" s="9" customFormat="1" ht="14.25"/>
    <row r="548" s="9" customFormat="1" ht="14.25"/>
    <row r="549" s="9" customFormat="1" ht="14.25"/>
    <row r="550" s="9" customFormat="1" ht="14.25"/>
    <row r="551" s="9" customFormat="1" ht="14.25"/>
    <row r="552" s="9" customFormat="1" ht="14.25"/>
    <row r="553" s="9" customFormat="1" ht="14.25"/>
    <row r="554" s="9" customFormat="1" ht="14.25"/>
    <row r="555" s="9" customFormat="1" ht="14.25"/>
    <row r="556" s="9" customFormat="1" ht="14.25"/>
    <row r="557" s="9" customFormat="1" ht="14.25"/>
    <row r="558" s="9" customFormat="1" ht="14.25"/>
    <row r="559" s="9" customFormat="1" ht="14.25"/>
    <row r="560" s="9" customFormat="1" ht="14.25"/>
    <row r="561" s="9" customFormat="1" ht="14.25"/>
    <row r="562" s="9" customFormat="1" ht="14.25"/>
    <row r="563" s="9" customFormat="1" ht="14.25"/>
    <row r="564" s="9" customFormat="1" ht="14.25"/>
    <row r="565" s="9" customFormat="1" ht="14.25"/>
    <row r="566" s="9" customFormat="1" ht="14.25"/>
    <row r="567" s="9" customFormat="1" ht="14.25"/>
    <row r="568" s="9" customFormat="1" ht="14.25"/>
    <row r="569" s="9" customFormat="1" ht="14.25"/>
    <row r="570" s="9" customFormat="1" ht="14.25"/>
    <row r="571" s="9" customFormat="1" ht="14.25"/>
    <row r="572" s="9" customFormat="1" ht="14.25"/>
    <row r="573" s="9" customFormat="1" ht="14.25"/>
    <row r="574" s="9" customFormat="1" ht="14.25"/>
    <row r="575" s="9" customFormat="1" ht="14.25"/>
    <row r="576" s="9" customFormat="1" ht="14.25"/>
    <row r="577" s="9" customFormat="1" ht="14.25"/>
    <row r="578" s="9" customFormat="1" ht="14.25"/>
    <row r="579" s="9" customFormat="1" ht="14.25"/>
    <row r="580" s="9" customFormat="1" ht="14.25"/>
    <row r="581" s="9" customFormat="1" ht="14.25"/>
    <row r="582" s="9" customFormat="1" ht="14.25"/>
    <row r="583" s="9" customFormat="1" ht="14.25"/>
    <row r="584" s="9" customFormat="1" ht="14.25"/>
    <row r="585" s="9" customFormat="1" ht="14.25"/>
    <row r="586" s="9" customFormat="1" ht="14.25"/>
    <row r="587" s="9" customFormat="1" ht="14.25"/>
    <row r="588" s="9" customFormat="1" ht="14.25"/>
    <row r="589" s="9" customFormat="1" ht="14.25"/>
    <row r="590" s="9" customFormat="1" ht="14.25"/>
    <row r="591" s="9" customFormat="1" ht="14.25"/>
    <row r="592" s="9" customFormat="1" ht="14.25"/>
    <row r="593" s="9" customFormat="1" ht="14.25"/>
    <row r="594" s="9" customFormat="1" ht="14.25"/>
    <row r="595" s="9" customFormat="1" ht="14.25"/>
    <row r="596" s="9" customFormat="1" ht="14.25"/>
    <row r="597" s="9" customFormat="1" ht="14.25"/>
    <row r="598" s="9" customFormat="1" ht="14.25"/>
    <row r="599" s="9" customFormat="1" ht="14.25"/>
    <row r="600" s="9" customFormat="1" ht="14.25"/>
    <row r="601" s="9" customFormat="1" ht="14.25"/>
    <row r="602" s="9" customFormat="1" ht="14.25"/>
    <row r="603" s="9" customFormat="1" ht="14.25"/>
    <row r="604" s="9" customFormat="1" ht="14.25"/>
    <row r="605" s="9" customFormat="1" ht="14.25"/>
    <row r="606" s="9" customFormat="1" ht="14.25"/>
    <row r="607" s="9" customFormat="1" ht="14.25"/>
    <row r="608" s="9" customFormat="1" ht="14.25"/>
    <row r="609" s="9" customFormat="1" ht="14.25"/>
    <row r="610" s="9" customFormat="1" ht="14.25"/>
    <row r="611" s="9" customFormat="1" ht="14.25"/>
    <row r="612" s="9" customFormat="1" ht="14.25"/>
    <row r="613" s="9" customFormat="1" ht="14.25"/>
    <row r="614" s="9" customFormat="1" ht="14.25"/>
    <row r="615" s="9" customFormat="1" ht="14.25"/>
    <row r="616" s="9" customFormat="1" ht="14.25"/>
    <row r="617" s="9" customFormat="1" ht="14.25"/>
    <row r="618" s="9" customFormat="1" ht="14.25"/>
    <row r="619" s="9" customFormat="1" ht="14.25"/>
    <row r="620" s="9" customFormat="1" ht="14.25"/>
    <row r="621" s="9" customFormat="1" ht="14.25"/>
    <row r="622" s="9" customFormat="1" ht="14.25"/>
    <row r="623" s="9" customFormat="1" ht="14.25"/>
    <row r="624" s="9" customFormat="1" ht="14.25"/>
    <row r="625" s="9" customFormat="1" ht="14.25"/>
    <row r="626" s="9" customFormat="1" ht="14.25"/>
    <row r="627" s="9" customFormat="1" ht="14.25"/>
    <row r="628" s="9" customFormat="1" ht="14.25"/>
    <row r="629" s="9" customFormat="1" ht="14.25"/>
    <row r="630" s="9" customFormat="1" ht="14.25"/>
    <row r="631" s="9" customFormat="1" ht="14.25"/>
    <row r="632" s="9" customFormat="1" ht="14.25"/>
    <row r="633" s="9" customFormat="1" ht="14.25"/>
    <row r="634" s="9" customFormat="1" ht="14.25"/>
    <row r="635" s="9" customFormat="1" ht="14.25"/>
    <row r="636" s="9" customFormat="1" ht="14.25"/>
    <row r="637" s="9" customFormat="1" ht="14.25"/>
    <row r="638" s="9" customFormat="1" ht="14.25"/>
    <row r="639" s="9" customFormat="1" ht="14.25"/>
    <row r="640" s="9" customFormat="1" ht="14.25"/>
    <row r="641" s="9" customFormat="1" ht="14.25"/>
    <row r="642" s="9" customFormat="1" ht="14.25"/>
    <row r="643" s="9" customFormat="1" ht="14.25"/>
    <row r="644" s="9" customFormat="1" ht="14.25"/>
    <row r="645" s="9" customFormat="1" ht="14.25"/>
    <row r="646" s="9" customFormat="1" ht="14.25"/>
    <row r="647" s="9" customFormat="1" ht="14.25"/>
    <row r="648" s="9" customFormat="1" ht="14.25"/>
    <row r="649" s="9" customFormat="1" ht="14.25"/>
    <row r="650" s="9" customFormat="1" ht="14.25"/>
    <row r="651" s="9" customFormat="1" ht="14.25"/>
    <row r="652" s="9" customFormat="1" ht="14.25"/>
    <row r="653" s="9" customFormat="1" ht="14.25"/>
    <row r="654" s="9" customFormat="1" ht="14.25"/>
    <row r="655" s="9" customFormat="1" ht="14.25"/>
    <row r="656" s="9" customFormat="1" ht="14.25"/>
    <row r="657" s="9" customFormat="1" ht="14.25"/>
    <row r="658" s="9" customFormat="1" ht="14.25"/>
    <row r="659" s="9" customFormat="1" ht="14.25"/>
    <row r="660" s="9" customFormat="1" ht="14.25"/>
    <row r="661" s="9" customFormat="1" ht="14.25"/>
    <row r="662" s="9" customFormat="1" ht="14.25"/>
    <row r="663" s="9" customFormat="1" ht="14.25"/>
    <row r="664" s="9" customFormat="1" ht="14.25"/>
    <row r="665" s="9" customFormat="1" ht="14.25"/>
    <row r="666" s="9" customFormat="1" ht="14.25"/>
    <row r="667" s="9" customFormat="1" ht="14.25"/>
    <row r="668" s="9" customFormat="1" ht="14.25"/>
    <row r="669" s="9" customFormat="1" ht="14.25"/>
    <row r="670" s="9" customFormat="1" ht="14.25"/>
    <row r="671" s="9" customFormat="1" ht="14.25"/>
    <row r="672" s="9" customFormat="1" ht="14.25"/>
    <row r="673" s="9" customFormat="1" ht="14.25"/>
    <row r="674" s="9" customFormat="1" ht="14.25"/>
    <row r="675" s="9" customFormat="1" ht="14.25"/>
    <row r="676" s="9" customFormat="1" ht="14.25"/>
    <row r="677" s="9" customFormat="1" ht="14.25"/>
    <row r="678" s="9" customFormat="1" ht="14.25"/>
    <row r="679" s="9" customFormat="1" ht="14.25"/>
    <row r="680" s="9" customFormat="1" ht="14.25"/>
    <row r="681" s="9" customFormat="1" ht="14.25"/>
    <row r="682" s="9" customFormat="1" ht="14.25"/>
    <row r="683" s="9" customFormat="1" ht="14.25"/>
    <row r="684" s="9" customFormat="1" ht="14.25"/>
    <row r="685" s="9" customFormat="1" ht="14.25"/>
    <row r="686" s="9" customFormat="1" ht="14.25"/>
    <row r="687" s="9" customFormat="1" ht="14.25"/>
    <row r="688" s="9" customFormat="1" ht="14.25"/>
    <row r="689" s="9" customFormat="1" ht="14.25"/>
    <row r="690" s="9" customFormat="1" ht="14.25"/>
    <row r="691" s="9" customFormat="1" ht="14.25"/>
    <row r="692" s="9" customFormat="1" ht="14.25"/>
    <row r="693" s="9" customFormat="1" ht="14.25"/>
    <row r="694" s="9" customFormat="1" ht="14.25"/>
    <row r="695" s="9" customFormat="1" ht="14.25"/>
    <row r="696" s="9" customFormat="1" ht="14.25"/>
    <row r="697" s="9" customFormat="1" ht="14.25"/>
    <row r="698" s="9" customFormat="1" ht="14.25"/>
    <row r="699" s="9" customFormat="1" ht="14.25"/>
    <row r="700" s="9" customFormat="1" ht="14.25"/>
    <row r="701" s="9" customFormat="1" ht="14.25"/>
    <row r="702" s="9" customFormat="1" ht="14.25"/>
    <row r="703" s="9" customFormat="1" ht="14.25"/>
    <row r="704" s="9" customFormat="1" ht="14.25"/>
    <row r="705" s="9" customFormat="1" ht="14.25"/>
    <row r="706" s="9" customFormat="1" ht="14.25"/>
    <row r="707" s="9" customFormat="1" ht="14.25"/>
    <row r="708" s="9" customFormat="1" ht="14.25"/>
    <row r="709" s="9" customFormat="1" ht="14.25"/>
    <row r="710" s="9" customFormat="1" ht="14.25"/>
    <row r="711" s="9" customFormat="1" ht="14.25"/>
    <row r="712" s="9" customFormat="1" ht="14.25"/>
    <row r="713" s="9" customFormat="1" ht="14.25"/>
    <row r="714" s="9" customFormat="1" ht="14.25"/>
    <row r="715" s="9" customFormat="1" ht="14.25"/>
    <row r="716" s="9" customFormat="1" ht="14.25"/>
    <row r="717" s="9" customFormat="1" ht="14.25"/>
    <row r="718" s="9" customFormat="1" ht="14.25"/>
    <row r="719" s="9" customFormat="1" ht="14.25"/>
    <row r="720" s="9" customFormat="1" ht="14.25"/>
    <row r="721" s="9" customFormat="1" ht="14.25"/>
    <row r="722" s="9" customFormat="1" ht="14.25"/>
    <row r="723" s="9" customFormat="1" ht="14.25"/>
    <row r="724" s="9" customFormat="1" ht="14.25"/>
    <row r="725" s="9" customFormat="1" ht="14.25"/>
    <row r="726" s="9" customFormat="1" ht="14.25"/>
    <row r="727" s="9" customFormat="1" ht="14.25"/>
    <row r="728" s="9" customFormat="1" ht="14.25"/>
    <row r="729" s="9" customFormat="1" ht="14.25"/>
    <row r="730" s="9" customFormat="1" ht="14.25"/>
    <row r="731" s="9" customFormat="1" ht="14.25"/>
    <row r="732" s="9" customFormat="1" ht="14.25"/>
    <row r="733" s="9" customFormat="1" ht="14.25"/>
    <row r="734" s="9" customFormat="1" ht="14.25"/>
    <row r="735" s="9" customFormat="1" ht="14.25"/>
    <row r="736" s="9" customFormat="1" ht="14.25"/>
    <row r="737" s="9" customFormat="1" ht="14.25"/>
    <row r="738" s="9" customFormat="1" ht="14.25"/>
    <row r="739" s="9" customFormat="1" ht="14.25"/>
    <row r="740" s="9" customFormat="1" ht="14.25"/>
    <row r="741" s="9" customFormat="1" ht="14.25"/>
    <row r="742" s="9" customFormat="1" ht="14.25"/>
    <row r="743" s="9" customFormat="1" ht="14.25"/>
    <row r="744" s="9" customFormat="1" ht="14.25"/>
    <row r="745" s="9" customFormat="1" ht="14.25"/>
    <row r="746" s="9" customFormat="1" ht="14.25"/>
    <row r="747" s="9" customFormat="1" ht="14.25"/>
    <row r="748" s="9" customFormat="1" ht="14.25"/>
    <row r="749" s="9" customFormat="1" ht="14.25"/>
    <row r="750" s="9" customFormat="1" ht="14.25"/>
    <row r="751" s="9" customFormat="1" ht="14.25"/>
    <row r="752" s="9" customFormat="1" ht="14.25"/>
    <row r="753" s="9" customFormat="1" ht="14.25"/>
    <row r="754" s="9" customFormat="1" ht="14.25"/>
    <row r="755" s="9" customFormat="1" ht="14.25"/>
    <row r="756" s="9" customFormat="1" ht="14.25"/>
    <row r="757" s="9" customFormat="1" ht="14.25"/>
    <row r="758" s="9" customFormat="1" ht="14.25"/>
    <row r="759" s="9" customFormat="1" ht="14.25"/>
    <row r="760" s="9" customFormat="1" ht="14.25"/>
    <row r="761" s="9" customFormat="1" ht="14.25"/>
    <row r="762" s="9" customFormat="1" ht="14.25"/>
    <row r="763" s="9" customFormat="1" ht="14.25"/>
    <row r="764" s="9" customFormat="1" ht="14.25"/>
    <row r="765" s="9" customFormat="1" ht="14.25"/>
    <row r="766" s="9" customFormat="1" ht="14.25"/>
    <row r="767" s="9" customFormat="1" ht="14.25"/>
    <row r="768" s="9" customFormat="1" ht="14.25"/>
    <row r="769" s="9" customFormat="1" ht="14.25"/>
    <row r="770" s="9" customFormat="1" ht="14.25"/>
    <row r="771" s="9" customFormat="1" ht="14.25"/>
    <row r="772" s="9" customFormat="1" ht="14.25"/>
    <row r="773" s="9" customFormat="1" ht="14.25"/>
    <row r="774" s="9" customFormat="1" ht="14.25"/>
    <row r="775" s="9" customFormat="1" ht="14.25"/>
    <row r="776" s="9" customFormat="1" ht="14.25"/>
    <row r="777" s="9" customFormat="1" ht="14.25"/>
    <row r="778" s="9" customFormat="1" ht="14.25"/>
    <row r="779" s="9" customFormat="1" ht="14.25"/>
    <row r="780" s="9" customFormat="1" ht="14.25"/>
    <row r="781" s="9" customFormat="1" ht="14.25"/>
    <row r="782" s="9" customFormat="1" ht="14.25"/>
    <row r="783" s="9" customFormat="1" ht="14.25"/>
    <row r="784" s="9" customFormat="1" ht="14.25"/>
    <row r="785" s="9" customFormat="1" ht="14.25"/>
    <row r="786" s="9" customFormat="1" ht="14.25"/>
    <row r="787" s="9" customFormat="1" ht="14.25"/>
    <row r="788" s="9" customFormat="1" ht="14.25"/>
    <row r="789" s="9" customFormat="1" ht="14.25"/>
    <row r="790" s="9" customFormat="1" ht="14.25"/>
    <row r="791" s="9" customFormat="1" ht="14.25"/>
    <row r="792" s="9" customFormat="1" ht="14.25"/>
    <row r="793" s="9" customFormat="1" ht="14.25"/>
    <row r="794" s="9" customFormat="1" ht="14.25"/>
    <row r="795" s="9" customFormat="1" ht="14.25"/>
    <row r="796" s="9" customFormat="1" ht="14.25"/>
    <row r="797" s="9" customFormat="1" ht="14.25"/>
    <row r="798" s="9" customFormat="1" ht="14.25"/>
    <row r="799" s="9" customFormat="1" ht="14.25"/>
    <row r="800" s="9" customFormat="1" ht="14.25"/>
    <row r="801" s="9" customFormat="1" ht="14.25"/>
    <row r="802" s="9" customFormat="1" ht="14.25"/>
    <row r="803" s="9" customFormat="1" ht="14.25"/>
    <row r="804" s="9" customFormat="1" ht="14.25"/>
    <row r="805" s="9" customFormat="1" ht="14.25"/>
    <row r="806" s="9" customFormat="1" ht="14.25"/>
    <row r="807" s="9" customFormat="1" ht="14.25"/>
    <row r="808" s="9" customFormat="1" ht="14.25"/>
    <row r="809" s="9" customFormat="1" ht="14.25"/>
    <row r="810" s="9" customFormat="1" ht="14.25"/>
    <row r="811" s="9" customFormat="1" ht="14.25"/>
    <row r="812" s="9" customFormat="1" ht="14.25"/>
    <row r="813" s="9" customFormat="1" ht="14.25"/>
    <row r="814" s="9" customFormat="1" ht="14.25"/>
    <row r="815" s="9" customFormat="1" ht="14.25"/>
    <row r="816" s="9" customFormat="1" ht="14.25"/>
    <row r="817" s="9" customFormat="1" ht="14.25"/>
    <row r="818" s="9" customFormat="1" ht="14.25"/>
    <row r="819" s="9" customFormat="1" ht="14.25"/>
    <row r="820" s="9" customFormat="1" ht="14.25"/>
    <row r="821" s="9" customFormat="1" ht="14.25"/>
    <row r="822" s="9" customFormat="1" ht="14.25"/>
    <row r="823" s="9" customFormat="1" ht="14.25"/>
    <row r="824" s="9" customFormat="1" ht="14.25"/>
    <row r="825" s="9" customFormat="1" ht="14.25"/>
    <row r="826" s="9" customFormat="1" ht="14.25"/>
    <row r="827" s="9" customFormat="1" ht="14.25"/>
    <row r="828" s="9" customFormat="1" ht="14.25"/>
    <row r="829" s="9" customFormat="1" ht="14.25"/>
    <row r="830" s="9" customFormat="1" ht="14.25"/>
    <row r="831" s="9" customFormat="1" ht="14.25"/>
    <row r="832" s="9" customFormat="1" ht="14.25"/>
    <row r="833" s="9" customFormat="1" ht="14.25"/>
    <row r="834" s="9" customFormat="1" ht="14.25"/>
    <row r="835" s="9" customFormat="1" ht="14.25"/>
    <row r="836" s="9" customFormat="1" ht="14.25"/>
    <row r="837" s="9" customFormat="1" ht="14.25"/>
    <row r="838" s="9" customFormat="1" ht="14.25"/>
    <row r="839" s="9" customFormat="1" ht="14.25"/>
    <row r="840" s="9" customFormat="1" ht="14.25"/>
    <row r="841" s="9" customFormat="1" ht="14.25"/>
    <row r="842" s="9" customFormat="1" ht="14.25"/>
    <row r="843" s="9" customFormat="1" ht="14.25"/>
    <row r="844" s="9" customFormat="1" ht="14.25"/>
    <row r="845" s="9" customFormat="1" ht="14.25"/>
    <row r="846" s="9" customFormat="1" ht="14.25"/>
    <row r="847" s="9" customFormat="1" ht="14.25"/>
    <row r="848" s="9" customFormat="1" ht="14.25"/>
    <row r="849" s="9" customFormat="1" ht="14.25"/>
    <row r="850" s="9" customFormat="1" ht="14.25"/>
    <row r="851" s="9" customFormat="1" ht="14.25"/>
    <row r="852" s="9" customFormat="1" ht="14.25"/>
    <row r="853" s="9" customFormat="1" ht="14.25"/>
    <row r="854" s="9" customFormat="1" ht="14.25"/>
    <row r="855" s="9" customFormat="1" ht="14.25"/>
    <row r="856" s="9" customFormat="1" ht="14.25"/>
    <row r="857" s="9" customFormat="1" ht="14.25"/>
    <row r="858" s="9" customFormat="1" ht="14.25"/>
    <row r="859" s="9" customFormat="1" ht="14.25"/>
    <row r="860" s="9" customFormat="1" ht="14.25"/>
    <row r="861" s="9" customFormat="1" ht="14.25"/>
    <row r="862" s="9" customFormat="1" ht="14.25"/>
    <row r="863" s="9" customFormat="1" ht="14.25"/>
    <row r="864" s="9" customFormat="1" ht="14.25"/>
    <row r="865" s="9" customFormat="1" ht="14.25"/>
    <row r="866" s="9" customFormat="1" ht="14.25"/>
    <row r="867" s="9" customFormat="1" ht="14.25"/>
    <row r="868" s="9" customFormat="1" ht="14.25"/>
    <row r="869" s="9" customFormat="1" ht="14.25"/>
    <row r="870" s="9" customFormat="1" ht="14.25"/>
    <row r="871" s="9" customFormat="1" ht="14.25"/>
    <row r="872" s="9" customFormat="1" ht="14.25"/>
    <row r="873" s="9" customFormat="1" ht="14.25"/>
    <row r="874" s="9" customFormat="1" ht="14.25"/>
    <row r="875" s="9" customFormat="1" ht="14.25"/>
    <row r="876" s="9" customFormat="1" ht="14.25"/>
    <row r="877" s="9" customFormat="1" ht="14.25"/>
    <row r="878" s="9" customFormat="1" ht="14.25"/>
    <row r="879" s="9" customFormat="1" ht="14.25"/>
    <row r="880" s="9" customFormat="1" ht="14.25"/>
    <row r="881" s="9" customFormat="1" ht="14.25"/>
    <row r="882" s="9" customFormat="1" ht="14.25"/>
    <row r="883" s="9" customFormat="1" ht="14.25"/>
    <row r="884" s="9" customFormat="1" ht="14.25"/>
    <row r="885" s="9" customFormat="1" ht="14.25"/>
    <row r="886" s="9" customFormat="1" ht="14.25"/>
    <row r="887" s="9" customFormat="1" ht="14.25"/>
    <row r="888" s="9" customFormat="1" ht="14.25"/>
    <row r="889" s="9" customFormat="1" ht="14.25"/>
    <row r="890" s="9" customFormat="1" ht="14.25"/>
    <row r="891" s="9" customFormat="1" ht="14.25"/>
    <row r="892" s="9" customFormat="1" ht="14.25"/>
    <row r="893" s="9" customFormat="1" ht="14.25"/>
    <row r="894" s="9" customFormat="1" ht="14.25"/>
    <row r="895" s="9" customFormat="1" ht="14.25"/>
    <row r="896" s="9" customFormat="1" ht="14.25"/>
    <row r="897" s="9" customFormat="1" ht="14.25"/>
    <row r="898" s="9" customFormat="1" ht="14.25"/>
    <row r="899" s="9" customFormat="1" ht="14.25"/>
    <row r="900" s="9" customFormat="1" ht="14.25"/>
    <row r="901" s="9" customFormat="1" ht="14.25"/>
    <row r="902" s="9" customFormat="1" ht="14.25"/>
    <row r="903" s="9" customFormat="1" ht="14.25"/>
    <row r="904" s="9" customFormat="1" ht="14.25"/>
    <row r="905" s="9" customFormat="1" ht="14.25"/>
    <row r="906" s="9" customFormat="1" ht="14.25"/>
    <row r="907" s="9" customFormat="1" ht="14.25"/>
    <row r="908" s="9" customFormat="1" ht="14.25"/>
    <row r="909" s="9" customFormat="1" ht="14.25"/>
    <row r="910" s="9" customFormat="1" ht="14.25"/>
    <row r="911" s="9" customFormat="1" ht="14.25"/>
    <row r="912" s="9" customFormat="1" ht="14.25"/>
    <row r="913" s="9" customFormat="1" ht="14.25"/>
    <row r="914" s="9" customFormat="1" ht="14.25"/>
    <row r="915" s="9" customFormat="1" ht="14.25"/>
    <row r="916" s="9" customFormat="1" ht="14.25"/>
    <row r="917" s="9" customFormat="1" ht="14.25"/>
    <row r="918" s="9" customFormat="1" ht="14.25"/>
    <row r="919" s="9" customFormat="1" ht="14.25"/>
    <row r="920" s="9" customFormat="1" ht="14.25"/>
    <row r="921" s="9" customFormat="1" ht="14.25"/>
    <row r="922" s="9" customFormat="1" ht="14.25"/>
    <row r="923" s="9" customFormat="1" ht="14.25"/>
    <row r="924" s="9" customFormat="1" ht="14.25"/>
    <row r="925" s="9" customFormat="1" ht="14.25"/>
    <row r="926" s="9" customFormat="1" ht="14.25"/>
    <row r="927" s="9" customFormat="1" ht="14.25"/>
    <row r="928" s="9" customFormat="1" ht="14.25"/>
    <row r="929" s="9" customFormat="1" ht="14.25"/>
    <row r="930" s="9" customFormat="1" ht="14.25"/>
    <row r="931" s="9" customFormat="1" ht="14.25"/>
    <row r="932" s="9" customFormat="1" ht="14.25"/>
    <row r="933" s="9" customFormat="1" ht="14.25"/>
    <row r="934" s="9" customFormat="1" ht="14.25"/>
    <row r="935" s="9" customFormat="1" ht="14.25"/>
    <row r="936" s="9" customFormat="1" ht="14.25"/>
    <row r="937" s="9" customFormat="1" ht="14.25"/>
    <row r="938" s="9" customFormat="1" ht="14.25"/>
    <row r="939" s="9" customFormat="1" ht="14.25"/>
    <row r="940" s="9" customFormat="1" ht="14.25"/>
    <row r="941" s="9" customFormat="1" ht="14.25"/>
    <row r="942" s="9" customFormat="1" ht="14.25"/>
    <row r="943" s="9" customFormat="1" ht="14.25"/>
    <row r="944" s="9" customFormat="1" ht="14.25"/>
    <row r="945" s="9" customFormat="1" ht="14.25"/>
    <row r="946" s="9" customFormat="1" ht="14.25"/>
    <row r="947" s="9" customFormat="1" ht="14.25"/>
    <row r="948" s="9" customFormat="1" ht="14.25"/>
    <row r="949" s="9" customFormat="1" ht="14.25"/>
    <row r="950" s="9" customFormat="1" ht="14.25"/>
    <row r="951" s="9" customFormat="1" ht="14.25"/>
    <row r="952" s="9" customFormat="1" ht="14.25"/>
    <row r="953" s="9" customFormat="1" ht="14.25"/>
    <row r="954" s="9" customFormat="1" ht="14.25"/>
    <row r="955" s="9" customFormat="1" ht="14.25"/>
    <row r="956" s="9" customFormat="1" ht="14.25"/>
    <row r="957" s="9" customFormat="1" ht="14.25"/>
    <row r="958" s="9" customFormat="1" ht="14.25"/>
    <row r="959" s="9" customFormat="1" ht="14.25"/>
    <row r="960" s="9" customFormat="1" ht="14.25"/>
    <row r="961" s="9" customFormat="1" ht="14.25"/>
    <row r="962" s="9" customFormat="1" ht="14.25"/>
    <row r="963" s="9" customFormat="1" ht="14.25"/>
    <row r="964" s="9" customFormat="1" ht="14.25"/>
    <row r="965" s="9" customFormat="1" ht="14.25"/>
    <row r="966" s="9" customFormat="1" ht="14.25"/>
    <row r="967" s="9" customFormat="1" ht="14.25"/>
    <row r="968" s="9" customFormat="1" ht="14.25"/>
    <row r="969" s="9" customFormat="1" ht="14.25"/>
    <row r="970" s="9" customFormat="1" ht="14.25"/>
    <row r="971" s="9" customFormat="1" ht="14.25"/>
    <row r="972" s="9" customFormat="1" ht="14.25"/>
    <row r="973" s="9" customFormat="1" ht="14.25"/>
    <row r="974" s="9" customFormat="1" ht="14.25"/>
    <row r="975" s="9" customFormat="1" ht="14.25"/>
    <row r="976" s="9" customFormat="1" ht="14.25"/>
    <row r="977" s="9" customFormat="1" ht="14.25"/>
    <row r="978" s="9" customFormat="1" ht="14.25"/>
    <row r="979" s="9" customFormat="1" ht="14.25"/>
    <row r="980" s="9" customFormat="1" ht="14.25"/>
    <row r="981" s="9" customFormat="1" ht="14.25"/>
    <row r="982" s="9" customFormat="1" ht="14.25"/>
    <row r="983" s="9" customFormat="1" ht="14.25"/>
    <row r="984" s="9" customFormat="1" ht="14.25"/>
    <row r="985" s="9" customFormat="1" ht="14.25"/>
    <row r="986" s="9" customFormat="1" ht="14.25"/>
    <row r="987" s="9" customFormat="1" ht="14.25"/>
    <row r="988" s="9" customFormat="1" ht="14.25"/>
    <row r="989" s="9" customFormat="1" ht="14.25"/>
    <row r="990" s="9" customFormat="1" ht="14.25"/>
    <row r="991" s="9" customFormat="1" ht="14.25"/>
    <row r="992" s="9" customFormat="1" ht="14.25"/>
    <row r="993" s="9" customFormat="1" ht="14.25"/>
    <row r="994" s="9" customFormat="1" ht="14.25"/>
    <row r="995" s="9" customFormat="1" ht="14.25"/>
    <row r="996" s="9" customFormat="1" ht="14.25"/>
    <row r="997" s="9" customFormat="1" ht="14.25"/>
    <row r="998" s="9" customFormat="1" ht="14.25"/>
    <row r="999" s="9" customFormat="1" ht="14.25"/>
    <row r="1000" s="9" customFormat="1" ht="14.25"/>
    <row r="1001" s="9" customFormat="1" ht="14.25"/>
    <row r="1002" s="9" customFormat="1" ht="14.25"/>
    <row r="1003" s="9" customFormat="1" ht="14.25"/>
    <row r="1004" s="9" customFormat="1" ht="14.25"/>
    <row r="1005" s="9" customFormat="1" ht="14.25"/>
    <row r="1006" s="9" customFormat="1" ht="14.25"/>
    <row r="1007" s="9" customFormat="1" ht="14.25"/>
    <row r="1008" s="9" customFormat="1" ht="14.25"/>
    <row r="1009" s="9" customFormat="1" ht="14.25"/>
    <row r="1010" s="9" customFormat="1" ht="14.25"/>
    <row r="1011" s="9" customFormat="1" ht="14.25"/>
    <row r="1012" s="9" customFormat="1" ht="14.25"/>
    <row r="1013" s="9" customFormat="1" ht="14.25"/>
    <row r="1014" s="9" customFormat="1" ht="14.25"/>
    <row r="1015" s="9" customFormat="1" ht="14.25"/>
    <row r="1016" s="9" customFormat="1" ht="14.25"/>
    <row r="1017" s="9" customFormat="1" ht="14.25"/>
    <row r="1018" s="9" customFormat="1" ht="14.25"/>
    <row r="1019" s="9" customFormat="1" ht="14.25"/>
    <row r="1020" s="9" customFormat="1" ht="14.25"/>
    <row r="1021" s="9" customFormat="1" ht="14.25"/>
    <row r="1022" s="9" customFormat="1" ht="14.25"/>
    <row r="1023" s="9" customFormat="1" ht="14.25"/>
    <row r="1024" s="9" customFormat="1" ht="14.25"/>
    <row r="1025" s="9" customFormat="1" ht="14.25"/>
    <row r="1026" s="9" customFormat="1" ht="14.25"/>
    <row r="1027" s="9" customFormat="1" ht="14.25"/>
    <row r="1028" s="9" customFormat="1" ht="14.25"/>
    <row r="1029" s="9" customFormat="1" ht="14.25"/>
    <row r="1030" s="9" customFormat="1" ht="14.25"/>
    <row r="1031" s="9" customFormat="1" ht="14.25"/>
    <row r="1032" s="9" customFormat="1" ht="14.25"/>
    <row r="1033" s="9" customFormat="1" ht="14.25"/>
    <row r="1034" s="9" customFormat="1" ht="14.25"/>
    <row r="1035" s="9" customFormat="1" ht="14.25"/>
    <row r="1036" s="9" customFormat="1" ht="14.25"/>
    <row r="1037" s="9" customFormat="1" ht="14.25"/>
    <row r="1038" s="9" customFormat="1" ht="14.25"/>
    <row r="1039" s="9" customFormat="1" ht="14.25"/>
    <row r="1040" s="9" customFormat="1" ht="14.25"/>
    <row r="1041" s="9" customFormat="1" ht="14.25"/>
    <row r="1042" s="9" customFormat="1" ht="14.25"/>
    <row r="1043" s="9" customFormat="1" ht="14.25"/>
    <row r="1044" s="9" customFormat="1" ht="14.25"/>
    <row r="1045" s="9" customFormat="1" ht="14.25"/>
    <row r="1046" s="9" customFormat="1" ht="14.25"/>
    <row r="1047" s="9" customFormat="1" ht="14.25"/>
    <row r="1048" s="9" customFormat="1" ht="14.25"/>
    <row r="1049" s="9" customFormat="1" ht="14.25"/>
    <row r="1050" s="9" customFormat="1" ht="14.25"/>
    <row r="1051" s="9" customFormat="1" ht="14.25"/>
    <row r="1052" s="9" customFormat="1" ht="14.25"/>
    <row r="1053" s="9" customFormat="1" ht="14.25"/>
    <row r="1054" s="9" customFormat="1" ht="14.25"/>
    <row r="1055" s="9" customFormat="1" ht="14.25"/>
    <row r="1056" s="9" customFormat="1" ht="14.25"/>
    <row r="1057" s="9" customFormat="1" ht="14.25"/>
    <row r="1058" s="9" customFormat="1" ht="14.25"/>
    <row r="1059" s="9" customFormat="1" ht="14.25"/>
    <row r="1060" s="9" customFormat="1" ht="14.25"/>
    <row r="1061" s="9" customFormat="1" ht="14.25"/>
    <row r="1062" s="9" customFormat="1" ht="14.25"/>
    <row r="1063" s="9" customFormat="1" ht="14.25"/>
    <row r="1064" s="9" customFormat="1" ht="14.25"/>
    <row r="1065" s="9" customFormat="1" ht="14.25"/>
    <row r="1066" s="9" customFormat="1" ht="14.25"/>
    <row r="1067" s="9" customFormat="1" ht="14.25"/>
    <row r="1068" s="9" customFormat="1" ht="14.25"/>
    <row r="1069" s="9" customFormat="1" ht="14.25"/>
    <row r="1070" s="9" customFormat="1" ht="14.25"/>
    <row r="1071" s="9" customFormat="1" ht="14.25"/>
    <row r="1072" s="9" customFormat="1" ht="14.25"/>
    <row r="1073" s="9" customFormat="1" ht="14.25"/>
    <row r="1074" s="9" customFormat="1" ht="14.25"/>
    <row r="1075" s="9" customFormat="1" ht="14.25"/>
    <row r="1076" s="9" customFormat="1" ht="14.25"/>
    <row r="1077" s="9" customFormat="1" ht="14.25"/>
    <row r="1078" s="9" customFormat="1" ht="14.25"/>
    <row r="1079" s="9" customFormat="1" ht="14.25"/>
    <row r="1080" s="9" customFormat="1" ht="14.25"/>
    <row r="1081" s="9" customFormat="1" ht="14.25"/>
    <row r="1082" s="9" customFormat="1" ht="14.25"/>
    <row r="1083" s="9" customFormat="1" ht="14.25"/>
    <row r="1084" s="9" customFormat="1" ht="14.25"/>
    <row r="1085" s="9" customFormat="1" ht="14.25"/>
    <row r="1086" s="9" customFormat="1" ht="14.25"/>
    <row r="1087" s="9" customFormat="1" ht="14.25"/>
    <row r="1088" s="9" customFormat="1" ht="14.25"/>
    <row r="1089" s="9" customFormat="1" ht="14.25"/>
    <row r="1090" s="9" customFormat="1" ht="14.25"/>
    <row r="1091" s="9" customFormat="1" ht="14.25"/>
    <row r="1092" s="9" customFormat="1" ht="14.25"/>
    <row r="1093" s="9" customFormat="1" ht="14.25"/>
    <row r="1094" s="9" customFormat="1" ht="14.25"/>
    <row r="1095" s="9" customFormat="1" ht="14.25"/>
    <row r="1096" s="9" customFormat="1" ht="14.25"/>
    <row r="1097" s="9" customFormat="1" ht="14.25"/>
    <row r="1098" s="9" customFormat="1" ht="14.25"/>
    <row r="1099" s="9" customFormat="1" ht="14.25"/>
    <row r="1100" s="9" customFormat="1" ht="14.25"/>
    <row r="1101" s="9" customFormat="1" ht="14.25"/>
    <row r="1102" s="9" customFormat="1" ht="14.25"/>
    <row r="1103" s="9" customFormat="1" ht="14.25"/>
    <row r="1104" s="9" customFormat="1" ht="14.25"/>
    <row r="1105" s="9" customFormat="1" ht="14.25"/>
    <row r="1106" s="9" customFormat="1" ht="14.25"/>
    <row r="1107" s="9" customFormat="1" ht="14.25"/>
    <row r="1108" s="9" customFormat="1" ht="14.25"/>
    <row r="1109" s="9" customFormat="1" ht="14.25"/>
    <row r="1110" s="9" customFormat="1" ht="14.25"/>
    <row r="1111" s="9" customFormat="1" ht="14.25"/>
    <row r="1112" s="9" customFormat="1" ht="14.25"/>
    <row r="1113" s="9" customFormat="1" ht="14.25"/>
    <row r="1114" s="9" customFormat="1" ht="14.25"/>
    <row r="1115" s="9" customFormat="1" ht="14.25"/>
    <row r="1116" s="9" customFormat="1" ht="14.25"/>
    <row r="1117" s="9" customFormat="1" ht="14.25"/>
    <row r="1118" s="9" customFormat="1" ht="14.25"/>
    <row r="1119" s="9" customFormat="1" ht="14.25"/>
    <row r="1120" s="9" customFormat="1" ht="14.25"/>
    <row r="1121" s="9" customFormat="1" ht="14.25"/>
    <row r="1122" s="9" customFormat="1" ht="14.25"/>
    <row r="1123" s="9" customFormat="1" ht="14.25"/>
    <row r="1124" s="9" customFormat="1" ht="14.25"/>
    <row r="1125" s="9" customFormat="1" ht="14.25"/>
    <row r="1126" s="9" customFormat="1" ht="14.25"/>
    <row r="1127" s="9" customFormat="1" ht="14.25"/>
    <row r="1128" s="9" customFormat="1" ht="14.25"/>
    <row r="1129" s="9" customFormat="1" ht="14.25"/>
    <row r="1130" s="9" customFormat="1" ht="14.25"/>
    <row r="1131" s="9" customFormat="1" ht="14.25"/>
    <row r="1132" s="9" customFormat="1" ht="14.25"/>
    <row r="1133" s="9" customFormat="1" ht="14.25"/>
    <row r="1134" s="9" customFormat="1" ht="14.25"/>
    <row r="1135" s="9" customFormat="1" ht="14.25"/>
    <row r="1136" s="9" customFormat="1" ht="14.25"/>
    <row r="1137" s="9" customFormat="1" ht="14.25"/>
    <row r="1138" s="9" customFormat="1" ht="14.25"/>
    <row r="1139" s="9" customFormat="1" ht="14.25"/>
    <row r="1140" s="9" customFormat="1" ht="14.25"/>
    <row r="1141" s="9" customFormat="1" ht="14.25"/>
    <row r="1142" s="9" customFormat="1" ht="14.25"/>
    <row r="1143" s="9" customFormat="1" ht="14.25"/>
    <row r="1144" s="9" customFormat="1" ht="14.25"/>
    <row r="1145" s="9" customFormat="1" ht="14.25"/>
    <row r="1146" s="9" customFormat="1" ht="14.25"/>
    <row r="1147" s="9" customFormat="1" ht="14.25"/>
    <row r="1148" s="9" customFormat="1" ht="14.25"/>
    <row r="1149" s="9" customFormat="1" ht="14.25"/>
    <row r="1150" s="9" customFormat="1" ht="14.25"/>
    <row r="1151" s="9" customFormat="1" ht="14.25"/>
    <row r="1152" s="9" customFormat="1" ht="14.25"/>
    <row r="1153" s="9" customFormat="1" ht="14.25"/>
    <row r="1154" s="9" customFormat="1" ht="14.25"/>
    <row r="1155" s="9" customFormat="1" ht="14.25"/>
    <row r="1156" s="9" customFormat="1" ht="14.25"/>
    <row r="1157" s="9" customFormat="1" ht="14.25"/>
    <row r="1158" s="9" customFormat="1" ht="14.25"/>
    <row r="1159" s="9" customFormat="1" ht="14.25"/>
    <row r="1160" s="9" customFormat="1" ht="14.25"/>
    <row r="1161" s="9" customFormat="1" ht="14.25"/>
    <row r="1162" s="9" customFormat="1" ht="14.25"/>
    <row r="1163" s="9" customFormat="1" ht="14.25"/>
    <row r="1164" s="9" customFormat="1" ht="14.25"/>
    <row r="1165" s="9" customFormat="1" ht="14.25"/>
    <row r="1166" s="9" customFormat="1" ht="14.25"/>
    <row r="1167" s="9" customFormat="1" ht="14.25"/>
    <row r="1168" s="9" customFormat="1" ht="14.25"/>
    <row r="1169" s="9" customFormat="1" ht="14.25"/>
    <row r="1170" s="9" customFormat="1" ht="14.25"/>
    <row r="1171" s="9" customFormat="1" ht="14.25"/>
    <row r="1172" s="9" customFormat="1" ht="14.25"/>
    <row r="1173" s="9" customFormat="1" ht="14.25"/>
    <row r="1174" s="9" customFormat="1" ht="14.25"/>
    <row r="1175" s="9" customFormat="1" ht="14.25"/>
    <row r="1176" s="9" customFormat="1" ht="14.25"/>
    <row r="1177" s="9" customFormat="1" ht="14.25"/>
    <row r="1178" s="9" customFormat="1" ht="14.25"/>
    <row r="1179" s="9" customFormat="1" ht="14.25"/>
    <row r="1180" s="9" customFormat="1" ht="14.25"/>
    <row r="1181" s="9" customFormat="1" ht="14.25"/>
    <row r="1182" s="9" customFormat="1" ht="14.25"/>
    <row r="1183" s="9" customFormat="1" ht="14.25"/>
    <row r="1184" s="9" customFormat="1" ht="14.25"/>
    <row r="1185" s="9" customFormat="1" ht="14.25"/>
    <row r="1186" s="9" customFormat="1" ht="14.25"/>
    <row r="1187" s="9" customFormat="1" ht="14.25"/>
    <row r="1188" s="9" customFormat="1" ht="14.25"/>
    <row r="1189" s="9" customFormat="1" ht="14.25"/>
    <row r="1190" s="9" customFormat="1" ht="14.25"/>
    <row r="1191" s="9" customFormat="1" ht="14.25"/>
    <row r="1192" s="9" customFormat="1" ht="14.25"/>
    <row r="1193" s="9" customFormat="1" ht="14.25"/>
    <row r="1194" s="9" customFormat="1" ht="14.25"/>
    <row r="1195" s="9" customFormat="1" ht="14.25"/>
    <row r="1196" s="9" customFormat="1" ht="14.25"/>
    <row r="1197" s="9" customFormat="1" ht="14.25"/>
    <row r="1198" s="9" customFormat="1" ht="14.25"/>
    <row r="1199" s="9" customFormat="1" ht="14.25"/>
    <row r="1200" s="9" customFormat="1" ht="14.25"/>
    <row r="1201" s="9" customFormat="1" ht="14.25"/>
    <row r="1202" s="9" customFormat="1" ht="14.25"/>
    <row r="1203" s="9" customFormat="1" ht="14.25"/>
    <row r="1204" s="9" customFormat="1" ht="14.25"/>
    <row r="1205" s="9" customFormat="1" ht="14.25"/>
    <row r="1206" s="9" customFormat="1" ht="14.25"/>
    <row r="1207" s="9" customFormat="1" ht="14.25"/>
    <row r="1208" s="9" customFormat="1" ht="14.25"/>
    <row r="1209" s="9" customFormat="1" ht="14.25"/>
    <row r="1210" s="9" customFormat="1" ht="14.25"/>
    <row r="1211" s="9" customFormat="1" ht="14.25"/>
    <row r="1212" s="9" customFormat="1" ht="14.25"/>
    <row r="1213" s="9" customFormat="1" ht="14.25"/>
    <row r="1214" s="9" customFormat="1" ht="14.25"/>
    <row r="1215" s="9" customFormat="1" ht="14.25"/>
    <row r="1216" s="9" customFormat="1" ht="14.25"/>
    <row r="1217" s="9" customFormat="1" ht="14.25"/>
    <row r="1218" s="9" customFormat="1" ht="14.25"/>
    <row r="1219" s="9" customFormat="1" ht="14.25"/>
    <row r="1220" s="9" customFormat="1" ht="14.25"/>
    <row r="1221" s="9" customFormat="1" ht="14.25"/>
    <row r="1222" s="9" customFormat="1" ht="14.25"/>
    <row r="1223" s="9" customFormat="1" ht="14.25"/>
    <row r="1224" s="9" customFormat="1" ht="14.25"/>
    <row r="1225" s="9" customFormat="1" ht="14.25"/>
    <row r="1226" s="9" customFormat="1" ht="14.25"/>
    <row r="1227" s="9" customFormat="1" ht="14.25"/>
    <row r="1228" s="9" customFormat="1" ht="14.25"/>
    <row r="1229" s="9" customFormat="1" ht="14.25"/>
    <row r="1230" s="9" customFormat="1" ht="14.25"/>
    <row r="1231" s="9" customFormat="1" ht="14.25"/>
    <row r="1232" s="9" customFormat="1" ht="14.25"/>
    <row r="1233" s="9" customFormat="1" ht="14.25"/>
    <row r="1234" s="9" customFormat="1" ht="14.25"/>
    <row r="1235" s="9" customFormat="1" ht="14.25"/>
    <row r="1236" s="9" customFormat="1" ht="14.25"/>
    <row r="1237" s="9" customFormat="1" ht="14.25"/>
    <row r="1238" s="9" customFormat="1" ht="14.25"/>
    <row r="1239" s="9" customFormat="1" ht="14.25"/>
    <row r="1240" s="9" customFormat="1" ht="14.25"/>
    <row r="1241" s="9" customFormat="1" ht="14.25"/>
    <row r="1242" s="9" customFormat="1" ht="14.25"/>
    <row r="1243" s="9" customFormat="1" ht="14.25"/>
    <row r="1244" s="9" customFormat="1" ht="14.25"/>
    <row r="1245" s="9" customFormat="1" ht="14.25"/>
    <row r="1246" s="9" customFormat="1" ht="14.25"/>
    <row r="1247" s="9" customFormat="1" ht="14.25"/>
    <row r="1248" s="9" customFormat="1" ht="14.25"/>
    <row r="1249" spans="2:6" s="9" customFormat="1" ht="14.25"/>
    <row r="1250" spans="2:6" s="9" customFormat="1" ht="14.25"/>
    <row r="1251" spans="2:6" s="9" customFormat="1" ht="14.25"/>
    <row r="1252" spans="2:6" s="9" customFormat="1" ht="14.25"/>
    <row r="1253" spans="2:6" s="9" customFormat="1" ht="14.25">
      <c r="B1253"/>
      <c r="C1253"/>
      <c r="D1253"/>
      <c r="E1253"/>
      <c r="F1253"/>
    </row>
    <row r="1254" spans="2:6" ht="14.25"/>
    <row r="1255" spans="2:6" ht="14.25"/>
    <row r="1256" spans="2:6" ht="14.25"/>
    <row r="1257" spans="2:6" ht="14.25"/>
    <row r="1258" spans="2:6" ht="14.25"/>
  </sheetData>
  <sheetProtection algorithmName="SHA-512" hashValue="lZBn3UfUGZulkBMFjQ7sq2sA5736J8QFkwr1EwcP3lNoUiVGPtT1KcebAknumN7uqov8d2baKhw7voMIW/xuWA==" saltValue="sy5+RLGUMSnOHAxbL4WhgQ==" spinCount="100000" sheet="1" objects="1" scenarios="1"/>
  <mergeCells count="29">
    <mergeCell ref="C68:H68"/>
    <mergeCell ref="B59:B60"/>
    <mergeCell ref="B67:B68"/>
    <mergeCell ref="B1:H1"/>
    <mergeCell ref="B18:B19"/>
    <mergeCell ref="B30:B31"/>
    <mergeCell ref="C59:H59"/>
    <mergeCell ref="C60:H60"/>
    <mergeCell ref="B3:H3"/>
    <mergeCell ref="B4:B6"/>
    <mergeCell ref="C4:H4"/>
    <mergeCell ref="C5:H5"/>
    <mergeCell ref="B29:H29"/>
    <mergeCell ref="B58:H58"/>
    <mergeCell ref="C30:H30"/>
    <mergeCell ref="B51:D51"/>
    <mergeCell ref="C31:H31"/>
    <mergeCell ref="B17:H17"/>
    <mergeCell ref="C18:H18"/>
    <mergeCell ref="C19:H19"/>
    <mergeCell ref="C67:H67"/>
    <mergeCell ref="B52:B53"/>
    <mergeCell ref="C52:H52"/>
    <mergeCell ref="C53:H53"/>
    <mergeCell ref="B66:H66"/>
    <mergeCell ref="B40:H40"/>
    <mergeCell ref="B41:B42"/>
    <mergeCell ref="C41:H41"/>
    <mergeCell ref="C42:H42"/>
  </mergeCells>
  <pageMargins left="0.70866141732283472" right="0.70866141732283472" top="0.74803149606299213" bottom="0.74803149606299213" header="0.31496062992125984" footer="0.31496062992125984"/>
  <pageSetup paperSize="9" scale="33" orientation="landscape" r:id="rId1"/>
  <rowBreaks count="1" manualBreakCount="1">
    <brk id="28" max="7" man="1"/>
  </rowBreaks>
  <colBreaks count="1" manualBreakCount="1">
    <brk id="8" max="5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2F694-FFD6-4A06-A546-2A00FFBFD6ED}">
  <dimension ref="A1:CP1221"/>
  <sheetViews>
    <sheetView zoomScaleNormal="100" workbookViewId="0">
      <selection activeCell="A22" sqref="A22"/>
    </sheetView>
  </sheetViews>
  <sheetFormatPr defaultRowHeight="14.25"/>
  <cols>
    <col min="1" max="1" width="3.59765625" style="9" customWidth="1"/>
    <col min="2" max="2" width="52.3984375" customWidth="1"/>
    <col min="3" max="3" width="22.265625" customWidth="1"/>
    <col min="4" max="4" width="60.86328125" customWidth="1"/>
    <col min="5" max="5" width="19.1328125" style="9" customWidth="1"/>
    <col min="6" max="6" width="33.59765625" style="9" bestFit="1" customWidth="1"/>
    <col min="7" max="7" width="29.265625" style="9" customWidth="1"/>
    <col min="8" max="8" width="42.3984375" style="9" customWidth="1"/>
    <col min="9" max="90" width="9" style="9"/>
  </cols>
  <sheetData>
    <row r="1" spans="2:94" ht="21">
      <c r="B1" s="189" t="s">
        <v>108</v>
      </c>
      <c r="C1" s="190"/>
      <c r="D1" s="191"/>
      <c r="E1" s="52"/>
      <c r="F1" s="52"/>
      <c r="G1" s="52"/>
      <c r="H1" s="52"/>
      <c r="CM1" s="9"/>
      <c r="CN1" s="9"/>
      <c r="CO1" s="9"/>
      <c r="CP1" s="9"/>
    </row>
    <row r="2" spans="2:94" s="9" customFormat="1"/>
    <row r="3" spans="2:94" s="9" customFormat="1" ht="21">
      <c r="B3" s="62" t="s">
        <v>24</v>
      </c>
      <c r="C3" s="62"/>
      <c r="D3" s="62"/>
    </row>
    <row r="4" spans="2:94" s="9" customFormat="1">
      <c r="B4" s="175" t="s">
        <v>25</v>
      </c>
      <c r="C4" s="197" t="s">
        <v>16</v>
      </c>
      <c r="D4" s="197"/>
    </row>
    <row r="5" spans="2:94" s="9" customFormat="1">
      <c r="B5" s="176"/>
      <c r="C5" s="201" t="s">
        <v>26</v>
      </c>
      <c r="D5" s="203" t="s">
        <v>27</v>
      </c>
    </row>
    <row r="6" spans="2:94" s="9" customFormat="1">
      <c r="B6" s="35" t="s">
        <v>28</v>
      </c>
      <c r="C6" s="202"/>
      <c r="D6" s="204"/>
    </row>
    <row r="7" spans="2:94" s="9" customFormat="1">
      <c r="B7" s="44">
        <v>240</v>
      </c>
      <c r="C7" s="7">
        <v>0</v>
      </c>
      <c r="D7" s="7">
        <v>0</v>
      </c>
    </row>
    <row r="8" spans="2:94" s="9" customFormat="1">
      <c r="B8" s="44">
        <v>500</v>
      </c>
      <c r="C8" s="7">
        <v>0</v>
      </c>
      <c r="D8" s="7">
        <v>0</v>
      </c>
    </row>
    <row r="9" spans="2:94" s="9" customFormat="1">
      <c r="B9" s="44">
        <v>660</v>
      </c>
      <c r="C9" s="7">
        <v>0</v>
      </c>
      <c r="D9" s="7">
        <v>0</v>
      </c>
    </row>
    <row r="10" spans="2:94" s="9" customFormat="1">
      <c r="B10" s="44" t="s">
        <v>23</v>
      </c>
      <c r="C10" s="7">
        <v>0</v>
      </c>
      <c r="D10" s="7">
        <v>0</v>
      </c>
    </row>
    <row r="11" spans="2:94" s="9" customFormat="1">
      <c r="B11" s="44">
        <v>1000</v>
      </c>
      <c r="C11" s="7">
        <v>0</v>
      </c>
      <c r="D11" s="7">
        <v>0</v>
      </c>
    </row>
    <row r="12" spans="2:94" s="9" customFormat="1">
      <c r="B12" s="44">
        <v>1100</v>
      </c>
      <c r="C12" s="7">
        <v>0</v>
      </c>
      <c r="D12" s="7">
        <v>0</v>
      </c>
    </row>
    <row r="13" spans="2:94" s="9" customFormat="1">
      <c r="B13" s="44">
        <v>1300</v>
      </c>
      <c r="C13" s="7">
        <v>0</v>
      </c>
      <c r="D13" s="7">
        <v>0</v>
      </c>
    </row>
    <row r="14" spans="2:94" s="9" customFormat="1">
      <c r="B14" s="44">
        <v>1600</v>
      </c>
      <c r="C14" s="7">
        <v>0</v>
      </c>
      <c r="D14" s="7">
        <v>0</v>
      </c>
    </row>
    <row r="15" spans="2:94" s="9" customFormat="1">
      <c r="B15" s="50">
        <v>2500</v>
      </c>
      <c r="C15" s="7">
        <v>0</v>
      </c>
      <c r="D15" s="7">
        <v>0</v>
      </c>
    </row>
    <row r="16" spans="2:94" s="9" customFormat="1">
      <c r="B16" s="47"/>
      <c r="C16" s="48"/>
      <c r="D16"/>
    </row>
    <row r="17" spans="2:7" s="9" customFormat="1" ht="21">
      <c r="B17" s="62" t="s">
        <v>29</v>
      </c>
      <c r="C17" s="205"/>
      <c r="D17" s="206"/>
      <c r="E17" s="207"/>
    </row>
    <row r="18" spans="2:7" s="9" customFormat="1" ht="21">
      <c r="B18" s="63"/>
      <c r="C18" s="192" t="s">
        <v>16</v>
      </c>
      <c r="D18" s="193"/>
      <c r="E18" s="194"/>
      <c r="G18" s="170"/>
    </row>
    <row r="19" spans="2:7" s="9" customFormat="1" ht="14.45" customHeight="1">
      <c r="B19" s="211" t="s">
        <v>25</v>
      </c>
      <c r="C19" s="198" t="s">
        <v>30</v>
      </c>
      <c r="D19" s="199" t="s">
        <v>27</v>
      </c>
      <c r="E19" s="199" t="s">
        <v>80</v>
      </c>
    </row>
    <row r="20" spans="2:7" s="9" customFormat="1" ht="14.45" customHeight="1">
      <c r="B20" s="211"/>
      <c r="C20" s="198"/>
      <c r="D20" s="199"/>
      <c r="E20" s="199"/>
    </row>
    <row r="21" spans="2:7" s="9" customFormat="1">
      <c r="B21" s="64" t="s">
        <v>60</v>
      </c>
      <c r="C21" s="8">
        <v>0</v>
      </c>
      <c r="D21" s="8">
        <v>0</v>
      </c>
      <c r="E21" s="8">
        <v>0</v>
      </c>
    </row>
    <row r="22" spans="2:7" s="9" customFormat="1"/>
    <row r="23" spans="2:7" s="9" customFormat="1" ht="21">
      <c r="B23" s="200" t="s">
        <v>53</v>
      </c>
      <c r="C23" s="173"/>
      <c r="D23" s="173"/>
    </row>
    <row r="24" spans="2:7" s="9" customFormat="1">
      <c r="B24" s="181" t="s">
        <v>25</v>
      </c>
      <c r="C24" s="194" t="s">
        <v>16</v>
      </c>
      <c r="D24" s="197"/>
    </row>
    <row r="25" spans="2:7" s="9" customFormat="1">
      <c r="B25" s="182"/>
      <c r="C25" s="208" t="s">
        <v>31</v>
      </c>
      <c r="D25" s="199" t="s">
        <v>27</v>
      </c>
    </row>
    <row r="26" spans="2:7" s="9" customFormat="1">
      <c r="B26" s="35" t="s">
        <v>28</v>
      </c>
      <c r="C26" s="208"/>
      <c r="D26" s="199"/>
    </row>
    <row r="27" spans="2:7" s="9" customFormat="1">
      <c r="B27" s="61">
        <v>240</v>
      </c>
      <c r="C27" s="7">
        <v>0</v>
      </c>
      <c r="D27" s="7">
        <v>0</v>
      </c>
    </row>
    <row r="28" spans="2:7" s="9" customFormat="1">
      <c r="B28" s="50">
        <v>500</v>
      </c>
      <c r="C28" s="7">
        <v>0</v>
      </c>
      <c r="D28" s="7">
        <v>0</v>
      </c>
    </row>
    <row r="29" spans="2:7" s="9" customFormat="1">
      <c r="B29" s="50">
        <v>660</v>
      </c>
      <c r="C29" s="7">
        <v>0</v>
      </c>
      <c r="D29" s="7">
        <v>0</v>
      </c>
      <c r="E29" s="33"/>
    </row>
    <row r="30" spans="2:7" s="9" customFormat="1">
      <c r="B30" s="50" t="s">
        <v>23</v>
      </c>
      <c r="C30" s="7">
        <v>0</v>
      </c>
      <c r="D30" s="7">
        <v>0</v>
      </c>
      <c r="E30" s="33"/>
    </row>
    <row r="31" spans="2:7" s="9" customFormat="1">
      <c r="B31" s="50">
        <v>1000</v>
      </c>
      <c r="C31" s="7">
        <v>0</v>
      </c>
      <c r="D31" s="7">
        <v>0</v>
      </c>
      <c r="E31" s="33"/>
    </row>
    <row r="32" spans="2:7" s="9" customFormat="1">
      <c r="B32" s="50">
        <v>1100</v>
      </c>
      <c r="C32" s="7">
        <v>0</v>
      </c>
      <c r="D32" s="7">
        <v>0</v>
      </c>
    </row>
    <row r="33" spans="2:91" s="9" customFormat="1">
      <c r="B33" s="50">
        <v>1300</v>
      </c>
      <c r="C33" s="7">
        <v>0</v>
      </c>
      <c r="D33" s="7">
        <v>0</v>
      </c>
    </row>
    <row r="34" spans="2:91" s="9" customFormat="1"/>
    <row r="35" spans="2:91" ht="21">
      <c r="B35" s="65" t="s">
        <v>61</v>
      </c>
      <c r="C35" s="66"/>
      <c r="D35" s="67"/>
      <c r="E35" s="68"/>
      <c r="F35" s="33"/>
      <c r="G35" s="34"/>
      <c r="H35" s="34"/>
      <c r="CM35" s="9"/>
    </row>
    <row r="36" spans="2:91">
      <c r="B36" s="195" t="s">
        <v>25</v>
      </c>
      <c r="C36" s="197" t="s">
        <v>16</v>
      </c>
      <c r="D36" s="197"/>
      <c r="CH36"/>
      <c r="CI36"/>
      <c r="CJ36"/>
      <c r="CK36"/>
      <c r="CL36"/>
    </row>
    <row r="37" spans="2:91">
      <c r="B37" s="196"/>
      <c r="C37" s="198" t="s">
        <v>26</v>
      </c>
      <c r="D37" s="199" t="s">
        <v>27</v>
      </c>
      <c r="CF37"/>
      <c r="CG37"/>
      <c r="CH37"/>
      <c r="CI37"/>
      <c r="CJ37"/>
      <c r="CK37"/>
      <c r="CL37"/>
    </row>
    <row r="38" spans="2:91">
      <c r="B38" s="69" t="s">
        <v>28</v>
      </c>
      <c r="C38" s="198"/>
      <c r="D38" s="199"/>
      <c r="CH38"/>
      <c r="CI38"/>
      <c r="CJ38"/>
      <c r="CK38"/>
      <c r="CL38"/>
    </row>
    <row r="39" spans="2:91" s="9" customFormat="1">
      <c r="B39" s="50">
        <v>240</v>
      </c>
      <c r="C39" s="8">
        <v>0</v>
      </c>
      <c r="D39" s="8">
        <v>0</v>
      </c>
    </row>
    <row r="40" spans="2:91" s="9" customFormat="1">
      <c r="B40" s="50">
        <v>500</v>
      </c>
      <c r="C40" s="7">
        <v>0</v>
      </c>
      <c r="D40" s="7">
        <v>0</v>
      </c>
    </row>
    <row r="41" spans="2:91" s="9" customFormat="1">
      <c r="B41" s="50">
        <v>660</v>
      </c>
      <c r="C41" s="7">
        <v>0</v>
      </c>
      <c r="D41" s="7">
        <v>0</v>
      </c>
    </row>
    <row r="42" spans="2:91" s="9" customFormat="1">
      <c r="B42" s="50" t="s">
        <v>23</v>
      </c>
      <c r="C42" s="7">
        <v>0</v>
      </c>
      <c r="D42" s="7">
        <v>0</v>
      </c>
    </row>
    <row r="43" spans="2:91" s="9" customFormat="1">
      <c r="B43" s="50">
        <v>1000</v>
      </c>
      <c r="C43" s="7">
        <v>0</v>
      </c>
      <c r="D43" s="7">
        <v>0</v>
      </c>
    </row>
    <row r="44" spans="2:91" s="9" customFormat="1">
      <c r="B44" s="50">
        <v>1100</v>
      </c>
      <c r="C44" s="7">
        <v>0</v>
      </c>
      <c r="D44" s="7">
        <v>0</v>
      </c>
    </row>
    <row r="45" spans="2:91" s="9" customFormat="1"/>
    <row r="46" spans="2:91" ht="21">
      <c r="B46" s="65" t="s">
        <v>125</v>
      </c>
      <c r="C46" s="66"/>
      <c r="D46" s="67"/>
      <c r="E46" s="68"/>
      <c r="F46" s="33"/>
      <c r="G46" s="34"/>
      <c r="H46" s="34"/>
      <c r="CM46" s="9"/>
    </row>
    <row r="47" spans="2:91">
      <c r="B47" s="195" t="s">
        <v>25</v>
      </c>
      <c r="C47" s="197" t="s">
        <v>16</v>
      </c>
      <c r="D47" s="197"/>
      <c r="CH47"/>
      <c r="CI47"/>
      <c r="CJ47"/>
      <c r="CK47"/>
      <c r="CL47"/>
    </row>
    <row r="48" spans="2:91">
      <c r="B48" s="196"/>
      <c r="C48" s="198" t="s">
        <v>26</v>
      </c>
      <c r="D48" s="199" t="s">
        <v>27</v>
      </c>
      <c r="CF48"/>
      <c r="CG48"/>
      <c r="CH48"/>
      <c r="CI48"/>
      <c r="CJ48"/>
      <c r="CK48"/>
      <c r="CL48"/>
    </row>
    <row r="49" spans="2:90">
      <c r="B49" s="69" t="s">
        <v>28</v>
      </c>
      <c r="C49" s="198"/>
      <c r="D49" s="199"/>
      <c r="CH49"/>
      <c r="CI49"/>
      <c r="CJ49"/>
      <c r="CK49"/>
      <c r="CL49"/>
    </row>
    <row r="50" spans="2:90" s="9" customFormat="1">
      <c r="B50" s="50">
        <v>240</v>
      </c>
      <c r="C50" s="8">
        <v>0</v>
      </c>
      <c r="D50" s="8">
        <v>0</v>
      </c>
    </row>
    <row r="51" spans="2:90" s="9" customFormat="1">
      <c r="B51" s="50">
        <v>500</v>
      </c>
      <c r="C51" s="7">
        <v>0</v>
      </c>
      <c r="D51" s="7">
        <v>0</v>
      </c>
    </row>
    <row r="52" spans="2:90" s="9" customFormat="1">
      <c r="B52" s="50">
        <v>660</v>
      </c>
      <c r="C52" s="7">
        <v>0</v>
      </c>
      <c r="D52" s="7">
        <v>0</v>
      </c>
    </row>
    <row r="53" spans="2:90" s="9" customFormat="1">
      <c r="B53" s="50" t="s">
        <v>23</v>
      </c>
      <c r="C53" s="7">
        <v>0</v>
      </c>
      <c r="D53" s="7">
        <v>0</v>
      </c>
    </row>
    <row r="54" spans="2:90" s="9" customFormat="1">
      <c r="B54" s="50">
        <v>1000</v>
      </c>
      <c r="C54" s="7">
        <v>0</v>
      </c>
      <c r="D54" s="7">
        <v>0</v>
      </c>
    </row>
    <row r="55" spans="2:90" s="9" customFormat="1">
      <c r="B55" s="50">
        <v>1100</v>
      </c>
      <c r="C55" s="7">
        <v>0</v>
      </c>
      <c r="D55" s="7">
        <v>0</v>
      </c>
    </row>
    <row r="56" spans="2:90" s="9" customFormat="1" ht="15.6" customHeight="1"/>
    <row r="57" spans="2:90" s="9" customFormat="1" ht="21">
      <c r="B57" s="188" t="s">
        <v>50</v>
      </c>
      <c r="C57" s="188"/>
      <c r="D57" s="188"/>
    </row>
    <row r="58" spans="2:90" s="9" customFormat="1" ht="15.6" customHeight="1">
      <c r="B58" s="175" t="s">
        <v>25</v>
      </c>
      <c r="C58" s="194" t="s">
        <v>16</v>
      </c>
      <c r="D58" s="197"/>
    </row>
    <row r="59" spans="2:90" s="9" customFormat="1" ht="15.6" customHeight="1">
      <c r="B59" s="176"/>
      <c r="C59" s="208" t="s">
        <v>31</v>
      </c>
      <c r="D59" s="199" t="s">
        <v>27</v>
      </c>
    </row>
    <row r="60" spans="2:90" s="9" customFormat="1" ht="15.6" customHeight="1">
      <c r="B60" s="35" t="s">
        <v>28</v>
      </c>
      <c r="C60" s="208"/>
      <c r="D60" s="199"/>
    </row>
    <row r="61" spans="2:90" s="9" customFormat="1" ht="15.6" customHeight="1">
      <c r="B61" s="42">
        <v>120</v>
      </c>
      <c r="C61" s="8">
        <v>0</v>
      </c>
      <c r="D61" s="8">
        <v>0</v>
      </c>
    </row>
    <row r="62" spans="2:90" s="9" customFormat="1" ht="15.6" customHeight="1">
      <c r="B62" s="44">
        <v>240</v>
      </c>
      <c r="C62" s="7">
        <v>0</v>
      </c>
      <c r="D62" s="7">
        <v>0</v>
      </c>
    </row>
    <row r="63" spans="2:90" s="9" customFormat="1" ht="15.6" customHeight="1"/>
    <row r="64" spans="2:90" s="9" customFormat="1" ht="21">
      <c r="B64" s="188" t="s">
        <v>99</v>
      </c>
      <c r="C64" s="180"/>
      <c r="D64" s="180"/>
    </row>
    <row r="65" spans="2:8" s="9" customFormat="1">
      <c r="B65" s="175" t="s">
        <v>25</v>
      </c>
      <c r="C65" s="194" t="s">
        <v>16</v>
      </c>
      <c r="D65" s="197"/>
    </row>
    <row r="66" spans="2:8" s="9" customFormat="1">
      <c r="B66" s="176"/>
      <c r="C66" s="208" t="s">
        <v>26</v>
      </c>
      <c r="D66" s="199" t="s">
        <v>27</v>
      </c>
    </row>
    <row r="67" spans="2:8" s="9" customFormat="1">
      <c r="B67" s="35" t="s">
        <v>28</v>
      </c>
      <c r="C67" s="208"/>
      <c r="D67" s="199"/>
    </row>
    <row r="68" spans="2:8" s="9" customFormat="1">
      <c r="B68" s="61">
        <v>240</v>
      </c>
      <c r="C68" s="7">
        <v>0</v>
      </c>
      <c r="D68" s="7">
        <v>0</v>
      </c>
    </row>
    <row r="69" spans="2:8" s="9" customFormat="1">
      <c r="B69" s="50">
        <v>500</v>
      </c>
      <c r="C69" s="7">
        <v>0</v>
      </c>
      <c r="D69" s="7">
        <v>0</v>
      </c>
    </row>
    <row r="70" spans="2:8" s="9" customFormat="1">
      <c r="B70" s="50">
        <v>660</v>
      </c>
      <c r="C70" s="7">
        <v>0</v>
      </c>
      <c r="D70" s="7">
        <v>0</v>
      </c>
    </row>
    <row r="71" spans="2:8" s="9" customFormat="1"/>
    <row r="72" spans="2:8" ht="21">
      <c r="B72" s="200" t="s">
        <v>32</v>
      </c>
      <c r="C72" s="173"/>
      <c r="D72" s="173"/>
    </row>
    <row r="73" spans="2:8" ht="15" customHeight="1">
      <c r="B73" s="175" t="s">
        <v>25</v>
      </c>
      <c r="C73" s="209" t="s">
        <v>16</v>
      </c>
      <c r="D73" s="210"/>
      <c r="F73" s="33"/>
      <c r="G73" s="34"/>
      <c r="H73" s="34"/>
    </row>
    <row r="74" spans="2:8" s="9" customFormat="1">
      <c r="B74" s="176"/>
      <c r="C74" s="208" t="s">
        <v>31</v>
      </c>
      <c r="D74" s="199" t="s">
        <v>27</v>
      </c>
    </row>
    <row r="75" spans="2:8" s="9" customFormat="1">
      <c r="B75" s="60"/>
      <c r="C75" s="208"/>
      <c r="D75" s="199"/>
    </row>
    <row r="76" spans="2:8" s="9" customFormat="1">
      <c r="B76" s="57" t="s">
        <v>54</v>
      </c>
      <c r="C76" s="7">
        <v>0</v>
      </c>
      <c r="D76" s="7">
        <v>0</v>
      </c>
    </row>
    <row r="77" spans="2:8" s="9" customFormat="1">
      <c r="B77" s="58" t="s">
        <v>59</v>
      </c>
      <c r="C77" s="7">
        <v>0</v>
      </c>
      <c r="D77" s="7">
        <v>0</v>
      </c>
    </row>
    <row r="78" spans="2:8" s="9" customFormat="1">
      <c r="B78" s="59" t="s">
        <v>58</v>
      </c>
      <c r="C78" s="7">
        <v>0</v>
      </c>
      <c r="D78" s="7">
        <v>0</v>
      </c>
    </row>
    <row r="79" spans="2:8" s="9" customFormat="1">
      <c r="B79" s="59" t="s">
        <v>57</v>
      </c>
      <c r="C79" s="7">
        <v>0</v>
      </c>
      <c r="D79" s="7">
        <v>0</v>
      </c>
    </row>
    <row r="80" spans="2:8" s="9" customFormat="1">
      <c r="B80" s="59" t="s">
        <v>56</v>
      </c>
      <c r="C80" s="7">
        <v>0</v>
      </c>
      <c r="D80" s="7">
        <v>0</v>
      </c>
    </row>
    <row r="81" spans="2:4" s="9" customFormat="1">
      <c r="B81" s="40" t="s">
        <v>120</v>
      </c>
      <c r="C81" s="7">
        <v>0</v>
      </c>
      <c r="D81" s="7">
        <v>0</v>
      </c>
    </row>
    <row r="82" spans="2:4" s="9" customFormat="1"/>
    <row r="83" spans="2:4" s="9" customFormat="1"/>
    <row r="84" spans="2:4" s="9" customFormat="1"/>
    <row r="85" spans="2:4" s="9" customFormat="1"/>
    <row r="86" spans="2:4" s="9" customFormat="1"/>
    <row r="87" spans="2:4" s="9" customFormat="1"/>
    <row r="88" spans="2:4" s="9" customFormat="1"/>
    <row r="89" spans="2:4" s="9" customFormat="1"/>
    <row r="90" spans="2:4" s="9" customFormat="1"/>
    <row r="91" spans="2:4" s="9" customFormat="1"/>
    <row r="92" spans="2:4" s="9" customFormat="1"/>
    <row r="93" spans="2:4" s="9" customFormat="1"/>
    <row r="94" spans="2:4" s="9" customFormat="1"/>
    <row r="95" spans="2:4" s="9" customFormat="1"/>
    <row r="96" spans="2:4" s="9" customFormat="1"/>
    <row r="97" s="9" customFormat="1"/>
    <row r="98" s="9" customFormat="1"/>
    <row r="99" s="9" customFormat="1"/>
    <row r="100" s="9" customFormat="1"/>
    <row r="101" s="9" customFormat="1"/>
    <row r="102" s="9" customFormat="1"/>
    <row r="103" s="9" customFormat="1"/>
    <row r="104" s="9" customFormat="1"/>
    <row r="105" s="9" customFormat="1"/>
    <row r="106" s="9" customFormat="1"/>
    <row r="107" s="9" customFormat="1"/>
    <row r="108" s="9" customFormat="1"/>
    <row r="109" s="9" customFormat="1"/>
    <row r="110" s="9" customFormat="1"/>
    <row r="111" s="9" customFormat="1"/>
    <row r="112" s="9" customFormat="1"/>
    <row r="113" s="9" customFormat="1"/>
    <row r="114" s="9" customFormat="1"/>
    <row r="115" s="9" customFormat="1"/>
    <row r="116" s="9" customFormat="1"/>
    <row r="117" s="9" customFormat="1"/>
    <row r="118" s="9" customFormat="1"/>
    <row r="119" s="9" customFormat="1"/>
    <row r="120" s="9" customFormat="1"/>
    <row r="121" s="9" customFormat="1"/>
    <row r="122" s="9" customFormat="1"/>
    <row r="123" s="9" customFormat="1"/>
    <row r="124" s="9" customFormat="1"/>
    <row r="125" s="9" customFormat="1"/>
    <row r="126" s="9" customFormat="1"/>
    <row r="127" s="9" customFormat="1"/>
    <row r="128" s="9" customFormat="1"/>
    <row r="129" s="9" customFormat="1"/>
    <row r="130" s="9" customFormat="1"/>
    <row r="131" s="9" customFormat="1"/>
    <row r="132" s="9" customFormat="1"/>
    <row r="133" s="9" customFormat="1"/>
    <row r="134" s="9" customFormat="1"/>
    <row r="135" s="9" customFormat="1"/>
    <row r="136" s="9" customFormat="1"/>
    <row r="137" s="9" customFormat="1"/>
    <row r="138" s="9" customFormat="1"/>
    <row r="139" s="9" customFormat="1"/>
    <row r="140" s="9" customFormat="1"/>
    <row r="141" s="9" customFormat="1"/>
    <row r="142" s="9" customFormat="1"/>
    <row r="143" s="9" customFormat="1"/>
    <row r="144" s="9" customFormat="1"/>
    <row r="145" s="9" customFormat="1"/>
    <row r="146" s="9" customFormat="1"/>
    <row r="147" s="9" customFormat="1"/>
    <row r="148" s="9" customFormat="1"/>
    <row r="149" s="9" customFormat="1"/>
    <row r="150" s="9" customFormat="1"/>
    <row r="151" s="9" customFormat="1"/>
    <row r="152" s="9" customFormat="1"/>
    <row r="153" s="9" customFormat="1"/>
    <row r="154" s="9" customFormat="1"/>
    <row r="155" s="9" customFormat="1"/>
    <row r="156" s="9" customFormat="1"/>
    <row r="157" s="9" customFormat="1"/>
    <row r="158" s="9" customFormat="1"/>
    <row r="159" s="9" customFormat="1"/>
    <row r="160" s="9" customFormat="1"/>
    <row r="161" s="9" customFormat="1"/>
    <row r="162" s="9" customFormat="1"/>
    <row r="163" s="9" customFormat="1"/>
    <row r="164" s="9" customFormat="1"/>
    <row r="165" s="9" customFormat="1"/>
    <row r="166" s="9" customFormat="1"/>
    <row r="167" s="9" customFormat="1"/>
    <row r="168" s="9" customFormat="1"/>
    <row r="169" s="9" customFormat="1"/>
    <row r="170" s="9" customFormat="1"/>
    <row r="171" s="9" customFormat="1"/>
    <row r="172" s="9" customFormat="1"/>
    <row r="173" s="9" customFormat="1"/>
    <row r="174" s="9" customFormat="1"/>
    <row r="175" s="9" customFormat="1"/>
    <row r="176" s="9" customFormat="1"/>
    <row r="177" s="9" customFormat="1"/>
    <row r="178" s="9" customFormat="1"/>
    <row r="179" s="9" customFormat="1"/>
    <row r="180" s="9" customFormat="1"/>
    <row r="181" s="9" customFormat="1"/>
    <row r="182" s="9" customFormat="1"/>
    <row r="183" s="9" customFormat="1"/>
    <row r="184" s="9" customFormat="1"/>
    <row r="185" s="9" customFormat="1"/>
    <row r="186" s="9" customFormat="1"/>
    <row r="187" s="9" customFormat="1"/>
    <row r="188" s="9" customFormat="1"/>
    <row r="189" s="9" customFormat="1"/>
    <row r="190" s="9" customFormat="1"/>
    <row r="191" s="9" customFormat="1"/>
    <row r="192" s="9" customFormat="1"/>
    <row r="193" s="9" customFormat="1"/>
    <row r="194" s="9" customFormat="1"/>
    <row r="195" s="9" customFormat="1"/>
    <row r="196" s="9" customFormat="1"/>
    <row r="197" s="9" customFormat="1"/>
    <row r="198" s="9" customFormat="1"/>
    <row r="199" s="9" customFormat="1"/>
    <row r="200" s="9" customFormat="1"/>
    <row r="201" s="9" customFormat="1"/>
    <row r="202" s="9" customFormat="1"/>
    <row r="203" s="9" customFormat="1"/>
    <row r="204" s="9" customFormat="1"/>
    <row r="205" s="9" customFormat="1"/>
    <row r="206" s="9" customFormat="1"/>
    <row r="207" s="9" customFormat="1"/>
    <row r="208" s="9" customFormat="1"/>
    <row r="209" s="9" customFormat="1"/>
    <row r="210" s="9" customFormat="1"/>
    <row r="211" s="9" customFormat="1"/>
    <row r="212" s="9" customFormat="1"/>
    <row r="213" s="9" customFormat="1"/>
    <row r="214" s="9" customFormat="1"/>
    <row r="215" s="9" customFormat="1"/>
    <row r="216" s="9" customFormat="1"/>
    <row r="217" s="9" customFormat="1"/>
    <row r="218" s="9" customFormat="1"/>
    <row r="219" s="9" customFormat="1"/>
    <row r="220" s="9" customFormat="1"/>
    <row r="221" s="9" customFormat="1"/>
    <row r="222" s="9" customFormat="1"/>
    <row r="223" s="9" customFormat="1"/>
    <row r="224" s="9" customFormat="1"/>
    <row r="225" s="9" customFormat="1"/>
    <row r="226" s="9" customFormat="1"/>
    <row r="227" s="9" customFormat="1"/>
    <row r="228" s="9" customFormat="1"/>
    <row r="229" s="9" customFormat="1"/>
    <row r="230" s="9" customFormat="1"/>
    <row r="231" s="9" customFormat="1"/>
    <row r="232" s="9" customFormat="1"/>
    <row r="233" s="9" customFormat="1"/>
    <row r="234" s="9" customFormat="1"/>
    <row r="235" s="9" customFormat="1"/>
    <row r="236" s="9" customFormat="1"/>
    <row r="237" s="9" customFormat="1"/>
    <row r="238" s="9" customFormat="1"/>
    <row r="239" s="9" customFormat="1"/>
    <row r="240" s="9" customFormat="1"/>
    <row r="241" s="9" customFormat="1"/>
    <row r="242" s="9" customFormat="1"/>
    <row r="243" s="9" customFormat="1"/>
    <row r="244" s="9" customFormat="1"/>
    <row r="245" s="9" customFormat="1"/>
    <row r="246" s="9" customFormat="1"/>
    <row r="247" s="9" customFormat="1"/>
    <row r="248" s="9" customFormat="1"/>
    <row r="249" s="9" customFormat="1"/>
    <row r="250" s="9" customFormat="1"/>
    <row r="251" s="9" customFormat="1"/>
    <row r="252" s="9" customFormat="1"/>
    <row r="253" s="9" customFormat="1"/>
    <row r="254" s="9" customFormat="1"/>
    <row r="255" s="9" customFormat="1"/>
    <row r="256" s="9" customFormat="1"/>
    <row r="257" s="9" customFormat="1"/>
    <row r="258" s="9" customFormat="1"/>
    <row r="259" s="9" customFormat="1"/>
    <row r="260" s="9" customFormat="1"/>
    <row r="261" s="9" customFormat="1"/>
    <row r="262" s="9" customFormat="1"/>
    <row r="263" s="9" customFormat="1"/>
    <row r="264" s="9" customFormat="1"/>
    <row r="265" s="9" customFormat="1"/>
    <row r="266" s="9" customFormat="1"/>
    <row r="267" s="9" customFormat="1"/>
    <row r="268" s="9" customFormat="1"/>
    <row r="269" s="9" customFormat="1"/>
    <row r="270" s="9" customFormat="1"/>
    <row r="271" s="9" customFormat="1"/>
    <row r="272" s="9" customFormat="1"/>
    <row r="273" s="9" customFormat="1"/>
    <row r="274" s="9" customFormat="1"/>
    <row r="275" s="9" customFormat="1"/>
    <row r="276" s="9" customFormat="1"/>
    <row r="277" s="9" customFormat="1"/>
    <row r="278" s="9" customFormat="1"/>
    <row r="279" s="9" customFormat="1"/>
    <row r="280" s="9" customFormat="1"/>
    <row r="281" s="9" customFormat="1"/>
    <row r="282" s="9" customFormat="1"/>
    <row r="283" s="9" customFormat="1"/>
    <row r="284" s="9" customFormat="1"/>
    <row r="285" s="9" customFormat="1"/>
    <row r="286" s="9" customFormat="1"/>
    <row r="287" s="9" customFormat="1"/>
    <row r="288" s="9" customFormat="1"/>
    <row r="289" s="9" customFormat="1"/>
    <row r="290" s="9" customFormat="1"/>
    <row r="291" s="9" customFormat="1"/>
    <row r="292" s="9" customFormat="1"/>
    <row r="293" s="9" customFormat="1"/>
    <row r="294" s="9" customFormat="1"/>
    <row r="295" s="9" customFormat="1"/>
    <row r="296" s="9" customFormat="1"/>
    <row r="297" s="9" customFormat="1"/>
    <row r="298" s="9" customFormat="1"/>
    <row r="299" s="9" customFormat="1"/>
    <row r="300" s="9" customFormat="1"/>
    <row r="301" s="9" customFormat="1"/>
    <row r="302" s="9" customFormat="1"/>
    <row r="303" s="9" customFormat="1"/>
    <row r="304" s="9" customFormat="1"/>
    <row r="305" s="9" customFormat="1"/>
    <row r="306" s="9" customFormat="1"/>
    <row r="307" s="9" customFormat="1"/>
    <row r="308" s="9" customFormat="1"/>
    <row r="309" s="9" customFormat="1"/>
    <row r="310" s="9" customFormat="1"/>
    <row r="311" s="9" customFormat="1"/>
    <row r="312" s="9" customFormat="1"/>
    <row r="313" s="9" customFormat="1"/>
    <row r="314" s="9" customFormat="1"/>
    <row r="315" s="9" customFormat="1"/>
    <row r="316" s="9" customFormat="1"/>
    <row r="317" s="9" customFormat="1"/>
    <row r="318" s="9" customFormat="1"/>
    <row r="319" s="9" customFormat="1"/>
    <row r="320" s="9" customFormat="1"/>
    <row r="321" s="9" customFormat="1"/>
    <row r="322" s="9" customFormat="1"/>
    <row r="323" s="9" customFormat="1"/>
    <row r="324" s="9" customFormat="1"/>
    <row r="325" s="9" customFormat="1"/>
    <row r="326" s="9" customFormat="1"/>
    <row r="327" s="9" customFormat="1"/>
    <row r="328" s="9" customFormat="1"/>
    <row r="329" s="9" customFormat="1"/>
    <row r="330" s="9" customFormat="1"/>
    <row r="331" s="9" customFormat="1"/>
    <row r="332" s="9" customFormat="1"/>
    <row r="333" s="9" customFormat="1"/>
    <row r="334" s="9" customFormat="1"/>
    <row r="335" s="9" customFormat="1"/>
    <row r="336" s="9" customFormat="1"/>
    <row r="337" s="9" customFormat="1"/>
    <row r="338" s="9" customFormat="1"/>
    <row r="339" s="9" customFormat="1"/>
    <row r="340" s="9" customFormat="1"/>
    <row r="341" s="9" customFormat="1"/>
    <row r="342" s="9" customFormat="1"/>
    <row r="343" s="9" customFormat="1"/>
    <row r="344" s="9" customFormat="1"/>
    <row r="345" s="9" customFormat="1"/>
    <row r="346" s="9" customFormat="1"/>
    <row r="347" s="9" customFormat="1"/>
    <row r="348" s="9" customFormat="1"/>
    <row r="349" s="9" customFormat="1"/>
    <row r="350" s="9" customFormat="1"/>
    <row r="351" s="9" customFormat="1"/>
    <row r="352" s="9" customFormat="1"/>
    <row r="353" s="9" customFormat="1"/>
    <row r="354" s="9" customFormat="1"/>
    <row r="355" s="9" customFormat="1"/>
    <row r="356" s="9" customFormat="1"/>
    <row r="357" s="9" customFormat="1"/>
    <row r="358" s="9" customFormat="1"/>
    <row r="359" s="9" customFormat="1"/>
    <row r="360" s="9" customFormat="1"/>
    <row r="361" s="9" customFormat="1"/>
    <row r="362" s="9" customFormat="1"/>
    <row r="363" s="9" customFormat="1"/>
    <row r="364" s="9" customFormat="1"/>
    <row r="365" s="9" customFormat="1"/>
    <row r="366" s="9" customFormat="1"/>
    <row r="367" s="9" customFormat="1"/>
    <row r="368" s="9" customFormat="1"/>
    <row r="369" s="9" customFormat="1"/>
    <row r="370" s="9" customFormat="1"/>
    <row r="371" s="9" customFormat="1"/>
    <row r="372" s="9" customFormat="1"/>
    <row r="373" s="9" customFormat="1"/>
    <row r="374" s="9" customFormat="1"/>
    <row r="375" s="9" customFormat="1"/>
    <row r="376" s="9" customFormat="1"/>
    <row r="377" s="9" customFormat="1"/>
    <row r="378" s="9" customFormat="1"/>
    <row r="379" s="9" customFormat="1"/>
    <row r="380" s="9" customFormat="1"/>
    <row r="381" s="9" customFormat="1"/>
    <row r="382" s="9" customFormat="1"/>
    <row r="383" s="9" customFormat="1"/>
    <row r="384" s="9" customFormat="1"/>
    <row r="385" s="9" customFormat="1"/>
    <row r="386" s="9" customFormat="1"/>
    <row r="387" s="9" customFormat="1"/>
    <row r="388" s="9" customFormat="1"/>
    <row r="389" s="9" customFormat="1"/>
    <row r="390" s="9" customFormat="1"/>
    <row r="391" s="9" customFormat="1"/>
    <row r="392" s="9" customFormat="1"/>
    <row r="393" s="9" customFormat="1"/>
    <row r="394" s="9" customFormat="1"/>
    <row r="395" s="9" customFormat="1"/>
    <row r="396" s="9" customFormat="1"/>
    <row r="397" s="9" customFormat="1"/>
    <row r="398" s="9" customFormat="1"/>
    <row r="399" s="9" customFormat="1"/>
    <row r="400" s="9" customFormat="1"/>
    <row r="401" s="9" customFormat="1"/>
    <row r="402" s="9" customFormat="1"/>
    <row r="403" s="9" customFormat="1"/>
    <row r="404" s="9" customFormat="1"/>
    <row r="405" s="9" customFormat="1"/>
    <row r="406" s="9" customFormat="1"/>
    <row r="407" s="9" customFormat="1"/>
    <row r="408" s="9" customFormat="1"/>
    <row r="409" s="9" customFormat="1"/>
    <row r="410" s="9" customFormat="1"/>
    <row r="411" s="9" customFormat="1"/>
    <row r="412" s="9" customFormat="1"/>
    <row r="413" s="9" customFormat="1"/>
    <row r="414" s="9" customFormat="1"/>
    <row r="415" s="9" customFormat="1"/>
    <row r="416" s="9" customFormat="1"/>
    <row r="417" s="9" customFormat="1"/>
    <row r="418" s="9" customFormat="1"/>
    <row r="419" s="9" customFormat="1"/>
    <row r="420" s="9" customFormat="1"/>
    <row r="421" s="9" customFormat="1"/>
    <row r="422" s="9" customFormat="1"/>
    <row r="423" s="9" customFormat="1"/>
    <row r="424" s="9" customFormat="1"/>
    <row r="425" s="9" customFormat="1"/>
    <row r="426" s="9" customFormat="1"/>
    <row r="427" s="9" customFormat="1"/>
    <row r="428" s="9" customFormat="1"/>
    <row r="429" s="9" customFormat="1"/>
    <row r="430" s="9" customFormat="1"/>
    <row r="431" s="9" customFormat="1"/>
    <row r="432" s="9" customFormat="1"/>
    <row r="433" s="9" customFormat="1"/>
    <row r="434" s="9" customFormat="1"/>
    <row r="435" s="9" customFormat="1"/>
    <row r="436" s="9" customFormat="1"/>
    <row r="437" s="9" customFormat="1"/>
    <row r="438" s="9" customFormat="1"/>
    <row r="439" s="9" customFormat="1"/>
    <row r="440" s="9" customFormat="1"/>
    <row r="441" s="9" customFormat="1"/>
    <row r="442" s="9" customFormat="1"/>
    <row r="443" s="9" customFormat="1"/>
    <row r="444" s="9" customFormat="1"/>
    <row r="445" s="9" customFormat="1"/>
    <row r="446" s="9" customFormat="1"/>
    <row r="447" s="9" customFormat="1"/>
    <row r="448" s="9" customFormat="1"/>
    <row r="449" s="9" customFormat="1"/>
    <row r="450" s="9" customFormat="1"/>
    <row r="451" s="9" customFormat="1"/>
    <row r="452" s="9" customFormat="1"/>
    <row r="453" s="9" customFormat="1"/>
    <row r="454" s="9" customFormat="1"/>
    <row r="455" s="9" customFormat="1"/>
    <row r="456" s="9" customFormat="1"/>
    <row r="457" s="9" customFormat="1"/>
    <row r="458" s="9" customFormat="1"/>
    <row r="459" s="9" customFormat="1"/>
    <row r="460" s="9" customFormat="1"/>
    <row r="461" s="9" customFormat="1"/>
    <row r="462" s="9" customFormat="1"/>
    <row r="463" s="9" customFormat="1"/>
    <row r="464" s="9" customFormat="1"/>
    <row r="465" s="9" customFormat="1"/>
    <row r="466" s="9" customFormat="1"/>
    <row r="467" s="9" customFormat="1"/>
    <row r="468" s="9" customFormat="1"/>
    <row r="469" s="9" customFormat="1"/>
    <row r="470" s="9" customFormat="1"/>
    <row r="471" s="9" customFormat="1"/>
    <row r="472" s="9" customFormat="1"/>
    <row r="473" s="9" customFormat="1"/>
    <row r="474" s="9" customFormat="1"/>
    <row r="475" s="9" customFormat="1"/>
    <row r="476" s="9" customFormat="1"/>
    <row r="477" s="9" customFormat="1"/>
    <row r="478" s="9" customFormat="1"/>
    <row r="479" s="9" customFormat="1"/>
    <row r="480" s="9" customFormat="1"/>
    <row r="481" s="9" customFormat="1"/>
    <row r="482" s="9" customFormat="1"/>
    <row r="483" s="9" customFormat="1"/>
    <row r="484" s="9" customFormat="1"/>
    <row r="485" s="9" customFormat="1"/>
    <row r="486" s="9" customFormat="1"/>
    <row r="487" s="9" customFormat="1"/>
    <row r="488" s="9" customFormat="1"/>
    <row r="489" s="9" customFormat="1"/>
    <row r="490" s="9" customFormat="1"/>
    <row r="491" s="9" customFormat="1"/>
    <row r="492" s="9" customFormat="1"/>
    <row r="493" s="9" customFormat="1"/>
    <row r="494" s="9" customFormat="1"/>
    <row r="495" s="9" customFormat="1"/>
    <row r="496" s="9" customFormat="1"/>
    <row r="497" s="9" customFormat="1"/>
    <row r="498" s="9" customFormat="1"/>
    <row r="499" s="9" customFormat="1"/>
    <row r="500" s="9" customFormat="1"/>
    <row r="501" s="9" customFormat="1"/>
    <row r="502" s="9" customFormat="1"/>
    <row r="503" s="9" customFormat="1"/>
    <row r="504" s="9" customFormat="1"/>
    <row r="505" s="9" customFormat="1"/>
    <row r="506" s="9" customFormat="1"/>
    <row r="507" s="9" customFormat="1"/>
    <row r="508" s="9" customFormat="1"/>
    <row r="509" s="9" customFormat="1"/>
    <row r="510" s="9" customFormat="1"/>
    <row r="511" s="9" customFormat="1"/>
    <row r="512" s="9" customFormat="1"/>
    <row r="513" s="9" customFormat="1"/>
    <row r="514" s="9" customFormat="1"/>
    <row r="515" s="9" customFormat="1"/>
    <row r="516" s="9" customFormat="1"/>
    <row r="517" s="9" customFormat="1"/>
    <row r="518" s="9" customFormat="1"/>
    <row r="519" s="9" customFormat="1"/>
    <row r="520" s="9" customFormat="1"/>
    <row r="521" s="9" customFormat="1"/>
    <row r="522" s="9" customFormat="1"/>
    <row r="523" s="9" customFormat="1"/>
    <row r="524" s="9" customFormat="1"/>
    <row r="525" s="9" customFormat="1"/>
    <row r="526" s="9" customFormat="1"/>
    <row r="527" s="9" customFormat="1"/>
    <row r="528" s="9" customFormat="1"/>
    <row r="529" s="9" customFormat="1"/>
    <row r="530" s="9" customFormat="1"/>
    <row r="531" s="9" customFormat="1"/>
    <row r="532" s="9" customFormat="1"/>
    <row r="533" s="9" customFormat="1"/>
    <row r="534" s="9" customFormat="1"/>
    <row r="535" s="9" customFormat="1"/>
    <row r="536" s="9" customFormat="1"/>
    <row r="537" s="9" customFormat="1"/>
    <row r="538" s="9" customFormat="1"/>
    <row r="539" s="9" customFormat="1"/>
    <row r="540" s="9" customFormat="1"/>
    <row r="541" s="9" customFormat="1"/>
    <row r="542" s="9" customFormat="1"/>
    <row r="543" s="9" customFormat="1"/>
    <row r="544" s="9" customFormat="1"/>
    <row r="545" s="9" customFormat="1"/>
    <row r="546" s="9" customFormat="1"/>
    <row r="547" s="9" customFormat="1"/>
    <row r="548" s="9" customFormat="1"/>
    <row r="549" s="9" customFormat="1"/>
    <row r="550" s="9" customFormat="1"/>
    <row r="551" s="9" customFormat="1"/>
    <row r="552" s="9" customFormat="1"/>
    <row r="553" s="9" customFormat="1"/>
    <row r="554" s="9" customFormat="1"/>
    <row r="555" s="9" customFormat="1"/>
    <row r="556" s="9" customFormat="1"/>
    <row r="557" s="9" customFormat="1"/>
    <row r="558" s="9" customFormat="1"/>
    <row r="559" s="9" customFormat="1"/>
    <row r="560" s="9" customFormat="1"/>
    <row r="561" s="9" customFormat="1"/>
    <row r="562" s="9" customFormat="1"/>
    <row r="563" s="9" customFormat="1"/>
    <row r="564" s="9" customFormat="1"/>
    <row r="565" s="9" customFormat="1"/>
    <row r="566" s="9" customFormat="1"/>
    <row r="567" s="9" customFormat="1"/>
    <row r="568" s="9" customFormat="1"/>
    <row r="569" s="9" customFormat="1"/>
    <row r="570" s="9" customFormat="1"/>
    <row r="571" s="9" customFormat="1"/>
    <row r="572" s="9" customFormat="1"/>
    <row r="573" s="9" customFormat="1"/>
    <row r="574" s="9" customFormat="1"/>
    <row r="575" s="9" customFormat="1"/>
    <row r="576" s="9" customFormat="1"/>
    <row r="577" s="9" customFormat="1"/>
    <row r="578" s="9" customFormat="1"/>
    <row r="579" s="9" customFormat="1"/>
    <row r="580" s="9" customFormat="1"/>
    <row r="581" s="9" customFormat="1"/>
    <row r="582" s="9" customFormat="1"/>
    <row r="583" s="9" customFormat="1"/>
    <row r="584" s="9" customFormat="1"/>
    <row r="585" s="9" customFormat="1"/>
    <row r="586" s="9" customFormat="1"/>
    <row r="587" s="9" customFormat="1"/>
    <row r="588" s="9" customFormat="1"/>
    <row r="589" s="9" customFormat="1"/>
    <row r="590" s="9" customFormat="1"/>
    <row r="591" s="9" customFormat="1"/>
    <row r="592" s="9" customFormat="1"/>
    <row r="593" s="9" customFormat="1"/>
    <row r="594" s="9" customFormat="1"/>
    <row r="595" s="9" customFormat="1"/>
    <row r="596" s="9" customFormat="1"/>
    <row r="597" s="9" customFormat="1"/>
    <row r="598" s="9" customFormat="1"/>
    <row r="599" s="9" customFormat="1"/>
    <row r="600" s="9" customFormat="1"/>
    <row r="601" s="9" customFormat="1"/>
    <row r="602" s="9" customFormat="1"/>
    <row r="603" s="9" customFormat="1"/>
    <row r="604" s="9" customFormat="1"/>
    <row r="605" s="9" customFormat="1"/>
    <row r="606" s="9" customFormat="1"/>
    <row r="607" s="9" customFormat="1"/>
    <row r="608" s="9" customFormat="1"/>
    <row r="609" s="9" customFormat="1"/>
    <row r="610" s="9" customFormat="1"/>
    <row r="611" s="9" customFormat="1"/>
    <row r="612" s="9" customFormat="1"/>
    <row r="613" s="9" customFormat="1"/>
    <row r="614" s="9" customFormat="1"/>
    <row r="615" s="9" customFormat="1"/>
    <row r="616" s="9" customFormat="1"/>
    <row r="617" s="9" customFormat="1"/>
    <row r="618" s="9" customFormat="1"/>
    <row r="619" s="9" customFormat="1"/>
    <row r="620" s="9" customFormat="1"/>
    <row r="621" s="9" customFormat="1"/>
    <row r="622" s="9" customFormat="1"/>
    <row r="623" s="9" customFormat="1"/>
    <row r="624" s="9" customFormat="1"/>
    <row r="625" s="9" customFormat="1"/>
    <row r="626" s="9" customFormat="1"/>
    <row r="627" s="9" customFormat="1"/>
    <row r="628" s="9" customFormat="1"/>
    <row r="629" s="9" customFormat="1"/>
    <row r="630" s="9" customFormat="1"/>
    <row r="631" s="9" customFormat="1"/>
    <row r="632" s="9" customFormat="1"/>
    <row r="633" s="9" customFormat="1"/>
    <row r="634" s="9" customFormat="1"/>
    <row r="635" s="9" customFormat="1"/>
    <row r="636" s="9" customFormat="1"/>
    <row r="637" s="9" customFormat="1"/>
    <row r="638" s="9" customFormat="1"/>
    <row r="639" s="9" customFormat="1"/>
    <row r="640" s="9" customFormat="1"/>
    <row r="641" s="9" customFormat="1"/>
    <row r="642" s="9" customFormat="1"/>
    <row r="643" s="9" customFormat="1"/>
    <row r="644" s="9" customFormat="1"/>
    <row r="645" s="9" customFormat="1"/>
    <row r="646" s="9" customFormat="1"/>
    <row r="647" s="9" customFormat="1"/>
    <row r="648" s="9" customFormat="1"/>
    <row r="649" s="9" customFormat="1"/>
    <row r="650" s="9" customFormat="1"/>
    <row r="651" s="9" customFormat="1"/>
    <row r="652" s="9" customFormat="1"/>
    <row r="653" s="9" customFormat="1"/>
    <row r="654" s="9" customFormat="1"/>
    <row r="655" s="9" customFormat="1"/>
    <row r="656" s="9" customFormat="1"/>
    <row r="657" s="9" customFormat="1"/>
    <row r="658" s="9" customFormat="1"/>
    <row r="659" s="9" customFormat="1"/>
    <row r="660" s="9" customFormat="1"/>
    <row r="661" s="9" customFormat="1"/>
    <row r="662" s="9" customFormat="1"/>
    <row r="663" s="9" customFormat="1"/>
    <row r="664" s="9" customFormat="1"/>
    <row r="665" s="9" customFormat="1"/>
    <row r="666" s="9" customFormat="1"/>
    <row r="667" s="9" customFormat="1"/>
    <row r="668" s="9" customFormat="1"/>
    <row r="669" s="9" customFormat="1"/>
    <row r="670" s="9" customFormat="1"/>
    <row r="671" s="9" customFormat="1"/>
    <row r="672" s="9" customFormat="1"/>
    <row r="673" s="9" customFormat="1"/>
    <row r="674" s="9" customFormat="1"/>
    <row r="675" s="9" customFormat="1"/>
    <row r="676" s="9" customFormat="1"/>
    <row r="677" s="9" customFormat="1"/>
    <row r="678" s="9" customFormat="1"/>
    <row r="679" s="9" customFormat="1"/>
    <row r="680" s="9" customFormat="1"/>
    <row r="681" s="9" customFormat="1"/>
    <row r="682" s="9" customFormat="1"/>
    <row r="683" s="9" customFormat="1"/>
    <row r="684" s="9" customFormat="1"/>
    <row r="685" s="9" customFormat="1"/>
    <row r="686" s="9" customFormat="1"/>
    <row r="687" s="9" customFormat="1"/>
    <row r="688" s="9" customFormat="1"/>
    <row r="689" s="9" customFormat="1"/>
    <row r="690" s="9" customFormat="1"/>
    <row r="691" s="9" customFormat="1"/>
    <row r="692" s="9" customFormat="1"/>
    <row r="693" s="9" customFormat="1"/>
    <row r="694" s="9" customFormat="1"/>
    <row r="695" s="9" customFormat="1"/>
    <row r="696" s="9" customFormat="1"/>
    <row r="697" s="9" customFormat="1"/>
    <row r="698" s="9" customFormat="1"/>
    <row r="699" s="9" customFormat="1"/>
    <row r="700" s="9" customFormat="1"/>
    <row r="701" s="9" customFormat="1"/>
    <row r="702" s="9" customFormat="1"/>
    <row r="703" s="9" customFormat="1"/>
    <row r="704" s="9" customFormat="1"/>
    <row r="705" s="9" customFormat="1"/>
    <row r="706" s="9" customFormat="1"/>
    <row r="707" s="9" customFormat="1"/>
    <row r="708" s="9" customFormat="1"/>
    <row r="709" s="9" customFormat="1"/>
    <row r="710" s="9" customFormat="1"/>
    <row r="711" s="9" customFormat="1"/>
    <row r="712" s="9" customFormat="1"/>
    <row r="713" s="9" customFormat="1"/>
    <row r="714" s="9" customFormat="1"/>
    <row r="715" s="9" customFormat="1"/>
    <row r="716" s="9" customFormat="1"/>
    <row r="717" s="9" customFormat="1"/>
    <row r="718" s="9" customFormat="1"/>
    <row r="719" s="9" customFormat="1"/>
    <row r="720" s="9" customFormat="1"/>
    <row r="721" s="9" customFormat="1"/>
    <row r="722" s="9" customFormat="1"/>
    <row r="723" s="9" customFormat="1"/>
    <row r="724" s="9" customFormat="1"/>
    <row r="725" s="9" customFormat="1"/>
    <row r="726" s="9" customFormat="1"/>
    <row r="727" s="9" customFormat="1"/>
    <row r="728" s="9" customFormat="1"/>
    <row r="729" s="9" customFormat="1"/>
    <row r="730" s="9" customFormat="1"/>
    <row r="731" s="9" customFormat="1"/>
    <row r="732" s="9" customFormat="1"/>
    <row r="733" s="9" customFormat="1"/>
    <row r="734" s="9" customFormat="1"/>
    <row r="735" s="9" customFormat="1"/>
    <row r="736" s="9" customFormat="1"/>
    <row r="737" s="9" customFormat="1"/>
    <row r="738" s="9" customFormat="1"/>
    <row r="739" s="9" customFormat="1"/>
    <row r="740" s="9" customFormat="1"/>
    <row r="741" s="9" customFormat="1"/>
    <row r="742" s="9" customFormat="1"/>
    <row r="743" s="9" customFormat="1"/>
    <row r="744" s="9" customFormat="1"/>
    <row r="745" s="9" customFormat="1"/>
    <row r="746" s="9" customFormat="1"/>
    <row r="747" s="9" customFormat="1"/>
    <row r="748" s="9" customFormat="1"/>
    <row r="749" s="9" customFormat="1"/>
    <row r="750" s="9" customFormat="1"/>
    <row r="751" s="9" customFormat="1"/>
    <row r="752" s="9" customFormat="1"/>
    <row r="753" s="9" customFormat="1"/>
    <row r="754" s="9" customFormat="1"/>
    <row r="755" s="9" customFormat="1"/>
    <row r="756" s="9" customFormat="1"/>
    <row r="757" s="9" customFormat="1"/>
    <row r="758" s="9" customFormat="1"/>
    <row r="759" s="9" customFormat="1"/>
    <row r="760" s="9" customFormat="1"/>
    <row r="761" s="9" customFormat="1"/>
    <row r="762" s="9" customFormat="1"/>
    <row r="763" s="9" customFormat="1"/>
    <row r="764" s="9" customFormat="1"/>
    <row r="765" s="9" customFormat="1"/>
    <row r="766" s="9" customFormat="1"/>
    <row r="767" s="9" customFormat="1"/>
    <row r="768" s="9" customFormat="1"/>
    <row r="769" s="9" customFormat="1"/>
    <row r="770" s="9" customFormat="1"/>
    <row r="771" s="9" customFormat="1"/>
    <row r="772" s="9" customFormat="1"/>
    <row r="773" s="9" customFormat="1"/>
    <row r="774" s="9" customFormat="1"/>
    <row r="775" s="9" customFormat="1"/>
    <row r="776" s="9" customFormat="1"/>
    <row r="777" s="9" customFormat="1"/>
    <row r="778" s="9" customFormat="1"/>
    <row r="779" s="9" customFormat="1"/>
    <row r="780" s="9" customFormat="1"/>
    <row r="781" s="9" customFormat="1"/>
    <row r="782" s="9" customFormat="1"/>
    <row r="783" s="9" customFormat="1"/>
    <row r="784" s="9" customFormat="1"/>
    <row r="785" s="9" customFormat="1"/>
    <row r="786" s="9" customFormat="1"/>
    <row r="787" s="9" customFormat="1"/>
    <row r="788" s="9" customFormat="1"/>
    <row r="789" s="9" customFormat="1"/>
    <row r="790" s="9" customFormat="1"/>
    <row r="791" s="9" customFormat="1"/>
    <row r="792" s="9" customFormat="1"/>
    <row r="793" s="9" customFormat="1"/>
    <row r="794" s="9" customFormat="1"/>
    <row r="795" s="9" customFormat="1"/>
    <row r="796" s="9" customFormat="1"/>
    <row r="797" s="9" customFormat="1"/>
    <row r="798" s="9" customFormat="1"/>
    <row r="799" s="9" customFormat="1"/>
    <row r="800" s="9" customFormat="1"/>
    <row r="801" s="9" customFormat="1"/>
    <row r="802" s="9" customFormat="1"/>
    <row r="803" s="9" customFormat="1"/>
    <row r="804" s="9" customFormat="1"/>
    <row r="805" s="9" customFormat="1"/>
    <row r="806" s="9" customFormat="1"/>
    <row r="807" s="9" customFormat="1"/>
    <row r="808" s="9" customFormat="1"/>
    <row r="809" s="9" customFormat="1"/>
    <row r="810" s="9" customFormat="1"/>
    <row r="811" s="9" customFormat="1"/>
    <row r="812" s="9" customFormat="1"/>
    <row r="813" s="9" customFormat="1"/>
    <row r="814" s="9" customFormat="1"/>
    <row r="815" s="9" customFormat="1"/>
    <row r="816" s="9" customFormat="1"/>
    <row r="817" s="9" customFormat="1"/>
    <row r="818" s="9" customFormat="1"/>
    <row r="819" s="9" customFormat="1"/>
    <row r="820" s="9" customFormat="1"/>
    <row r="821" s="9" customFormat="1"/>
    <row r="822" s="9" customFormat="1"/>
    <row r="823" s="9" customFormat="1"/>
    <row r="824" s="9" customFormat="1"/>
    <row r="825" s="9" customFormat="1"/>
    <row r="826" s="9" customFormat="1"/>
    <row r="827" s="9" customFormat="1"/>
    <row r="828" s="9" customFormat="1"/>
    <row r="829" s="9" customFormat="1"/>
    <row r="830" s="9" customFormat="1"/>
    <row r="831" s="9" customFormat="1"/>
    <row r="832" s="9" customFormat="1"/>
    <row r="833" s="9" customFormat="1"/>
    <row r="834" s="9" customFormat="1"/>
    <row r="835" s="9" customFormat="1"/>
    <row r="836" s="9" customFormat="1"/>
    <row r="837" s="9" customFormat="1"/>
    <row r="838" s="9" customFormat="1"/>
    <row r="839" s="9" customFormat="1"/>
    <row r="840" s="9" customFormat="1"/>
    <row r="841" s="9" customFormat="1"/>
    <row r="842" s="9" customFormat="1"/>
    <row r="843" s="9" customFormat="1"/>
    <row r="844" s="9" customFormat="1"/>
    <row r="845" s="9" customFormat="1"/>
    <row r="846" s="9" customFormat="1"/>
    <row r="847" s="9" customFormat="1"/>
    <row r="848" s="9" customFormat="1"/>
    <row r="849" s="9" customFormat="1"/>
    <row r="850" s="9" customFormat="1"/>
    <row r="851" s="9" customFormat="1"/>
    <row r="852" s="9" customFormat="1"/>
    <row r="853" s="9" customFormat="1"/>
    <row r="854" s="9" customFormat="1"/>
    <row r="855" s="9" customFormat="1"/>
    <row r="856" s="9" customFormat="1"/>
    <row r="857" s="9" customFormat="1"/>
    <row r="858" s="9" customFormat="1"/>
    <row r="859" s="9" customFormat="1"/>
    <row r="860" s="9" customFormat="1"/>
    <row r="861" s="9" customFormat="1"/>
    <row r="862" s="9" customFormat="1"/>
    <row r="863" s="9" customFormat="1"/>
    <row r="864" s="9" customFormat="1"/>
    <row r="865" s="9" customFormat="1"/>
    <row r="866" s="9" customFormat="1"/>
    <row r="867" s="9" customFormat="1"/>
    <row r="868" s="9" customFormat="1"/>
    <row r="869" s="9" customFormat="1"/>
    <row r="870" s="9" customFormat="1"/>
    <row r="871" s="9" customFormat="1"/>
    <row r="872" s="9" customFormat="1"/>
    <row r="873" s="9" customFormat="1"/>
    <row r="874" s="9" customFormat="1"/>
    <row r="875" s="9" customFormat="1"/>
    <row r="876" s="9" customFormat="1"/>
    <row r="877" s="9" customFormat="1"/>
    <row r="878" s="9" customFormat="1"/>
    <row r="879" s="9" customFormat="1"/>
    <row r="880" s="9" customFormat="1"/>
    <row r="881" s="9" customFormat="1"/>
    <row r="882" s="9" customFormat="1"/>
    <row r="883" s="9" customFormat="1"/>
    <row r="884" s="9" customFormat="1"/>
    <row r="885" s="9" customFormat="1"/>
    <row r="886" s="9" customFormat="1"/>
    <row r="887" s="9" customFormat="1"/>
    <row r="888" s="9" customFormat="1"/>
    <row r="889" s="9" customFormat="1"/>
    <row r="890" s="9" customFormat="1"/>
    <row r="891" s="9" customFormat="1"/>
    <row r="892" s="9" customFormat="1"/>
    <row r="893" s="9" customFormat="1"/>
    <row r="894" s="9" customFormat="1"/>
    <row r="895" s="9" customFormat="1"/>
    <row r="896" s="9" customFormat="1"/>
    <row r="897" s="9" customFormat="1"/>
    <row r="898" s="9" customFormat="1"/>
    <row r="899" s="9" customFormat="1"/>
    <row r="900" s="9" customFormat="1"/>
    <row r="901" s="9" customFormat="1"/>
    <row r="902" s="9" customFormat="1"/>
    <row r="903" s="9" customFormat="1"/>
    <row r="904" s="9" customFormat="1"/>
    <row r="905" s="9" customFormat="1"/>
    <row r="906" s="9" customFormat="1"/>
    <row r="907" s="9" customFormat="1"/>
    <row r="908" s="9" customFormat="1"/>
    <row r="909" s="9" customFormat="1"/>
    <row r="910" s="9" customFormat="1"/>
    <row r="911" s="9" customFormat="1"/>
    <row r="912" s="9" customFormat="1"/>
    <row r="913" s="9" customFormat="1"/>
    <row r="914" s="9" customFormat="1"/>
    <row r="915" s="9" customFormat="1"/>
    <row r="916" s="9" customFormat="1"/>
    <row r="917" s="9" customFormat="1"/>
    <row r="918" s="9" customFormat="1"/>
    <row r="919" s="9" customFormat="1"/>
    <row r="920" s="9" customFormat="1"/>
    <row r="921" s="9" customFormat="1"/>
    <row r="922" s="9" customFormat="1"/>
    <row r="923" s="9" customFormat="1"/>
    <row r="924" s="9" customFormat="1"/>
    <row r="925" s="9" customFormat="1"/>
    <row r="926" s="9" customFormat="1"/>
    <row r="927" s="9" customFormat="1"/>
    <row r="928" s="9" customFormat="1"/>
    <row r="929" s="9" customFormat="1"/>
    <row r="930" s="9" customFormat="1"/>
    <row r="931" s="9" customFormat="1"/>
    <row r="932" s="9" customFormat="1"/>
    <row r="933" s="9" customFormat="1"/>
    <row r="934" s="9" customFormat="1"/>
    <row r="935" s="9" customFormat="1"/>
    <row r="936" s="9" customFormat="1"/>
    <row r="937" s="9" customFormat="1"/>
    <row r="938" s="9" customFormat="1"/>
    <row r="939" s="9" customFormat="1"/>
    <row r="940" s="9" customFormat="1"/>
    <row r="941" s="9" customFormat="1"/>
    <row r="942" s="9" customFormat="1"/>
    <row r="943" s="9" customFormat="1"/>
    <row r="944" s="9" customFormat="1"/>
    <row r="945" s="9" customFormat="1"/>
    <row r="946" s="9" customFormat="1"/>
    <row r="947" s="9" customFormat="1"/>
    <row r="948" s="9" customFormat="1"/>
    <row r="949" s="9" customFormat="1"/>
    <row r="950" s="9" customFormat="1"/>
    <row r="951" s="9" customFormat="1"/>
    <row r="952" s="9" customFormat="1"/>
    <row r="953" s="9" customFormat="1"/>
    <row r="954" s="9" customFormat="1"/>
    <row r="955" s="9" customFormat="1"/>
    <row r="956" s="9" customFormat="1"/>
    <row r="957" s="9" customFormat="1"/>
    <row r="958" s="9" customFormat="1"/>
    <row r="959" s="9" customFormat="1"/>
    <row r="960" s="9" customFormat="1"/>
    <row r="961" s="9" customFormat="1"/>
    <row r="962" s="9" customFormat="1"/>
    <row r="963" s="9" customFormat="1"/>
    <row r="964" s="9" customFormat="1"/>
    <row r="965" s="9" customFormat="1"/>
    <row r="966" s="9" customFormat="1"/>
    <row r="967" s="9" customFormat="1"/>
    <row r="968" s="9" customFormat="1"/>
    <row r="969" s="9" customFormat="1"/>
    <row r="970" s="9" customFormat="1"/>
    <row r="971" s="9" customFormat="1"/>
    <row r="972" s="9" customFormat="1"/>
    <row r="973" s="9" customFormat="1"/>
    <row r="974" s="9" customFormat="1"/>
    <row r="975" s="9" customFormat="1"/>
    <row r="976" s="9" customFormat="1"/>
    <row r="977" s="9" customFormat="1"/>
    <row r="978" s="9" customFormat="1"/>
    <row r="979" s="9" customFormat="1"/>
    <row r="980" s="9" customFormat="1"/>
    <row r="981" s="9" customFormat="1"/>
    <row r="982" s="9" customFormat="1"/>
    <row r="983" s="9" customFormat="1"/>
    <row r="984" s="9" customFormat="1"/>
    <row r="985" s="9" customFormat="1"/>
    <row r="986" s="9" customFormat="1"/>
    <row r="987" s="9" customFormat="1"/>
    <row r="988" s="9" customFormat="1"/>
    <row r="989" s="9" customFormat="1"/>
    <row r="990" s="9" customFormat="1"/>
    <row r="991" s="9" customFormat="1"/>
    <row r="992" s="9" customFormat="1"/>
    <row r="993" s="9" customFormat="1"/>
    <row r="994" s="9" customFormat="1"/>
    <row r="995" s="9" customFormat="1"/>
    <row r="996" s="9" customFormat="1"/>
    <row r="997" s="9" customFormat="1"/>
    <row r="998" s="9" customFormat="1"/>
    <row r="999" s="9" customFormat="1"/>
    <row r="1000" s="9" customFormat="1"/>
    <row r="1001" s="9" customFormat="1"/>
    <row r="1002" s="9" customFormat="1"/>
    <row r="1003" s="9" customFormat="1"/>
    <row r="1004" s="9" customFormat="1"/>
    <row r="1005" s="9" customFormat="1"/>
    <row r="1006" s="9" customFormat="1"/>
    <row r="1007" s="9" customFormat="1"/>
    <row r="1008" s="9" customFormat="1"/>
    <row r="1009" s="9" customFormat="1"/>
    <row r="1010" s="9" customFormat="1"/>
    <row r="1011" s="9" customFormat="1"/>
    <row r="1012" s="9" customFormat="1"/>
    <row r="1013" s="9" customFormat="1"/>
    <row r="1014" s="9" customFormat="1"/>
    <row r="1015" s="9" customFormat="1"/>
    <row r="1016" s="9" customFormat="1"/>
    <row r="1017" s="9" customFormat="1"/>
    <row r="1018" s="9" customFormat="1"/>
    <row r="1019" s="9" customFormat="1"/>
    <row r="1020" s="9" customFormat="1"/>
    <row r="1021" s="9" customFormat="1"/>
    <row r="1022" s="9" customFormat="1"/>
    <row r="1023" s="9" customFormat="1"/>
    <row r="1024" s="9" customFormat="1"/>
    <row r="1025" s="9" customFormat="1"/>
    <row r="1026" s="9" customFormat="1"/>
    <row r="1027" s="9" customFormat="1"/>
    <row r="1028" s="9" customFormat="1"/>
    <row r="1029" s="9" customFormat="1"/>
    <row r="1030" s="9" customFormat="1"/>
    <row r="1031" s="9" customFormat="1"/>
    <row r="1032" s="9" customFormat="1"/>
    <row r="1033" s="9" customFormat="1"/>
    <row r="1034" s="9" customFormat="1"/>
    <row r="1035" s="9" customFormat="1"/>
    <row r="1036" s="9" customFormat="1"/>
    <row r="1037" s="9" customFormat="1"/>
    <row r="1038" s="9" customFormat="1"/>
    <row r="1039" s="9" customFormat="1"/>
    <row r="1040" s="9" customFormat="1"/>
    <row r="1041" s="9" customFormat="1"/>
    <row r="1042" s="9" customFormat="1"/>
    <row r="1043" s="9" customFormat="1"/>
    <row r="1044" s="9" customFormat="1"/>
    <row r="1045" s="9" customFormat="1"/>
    <row r="1046" s="9" customFormat="1"/>
    <row r="1047" s="9" customFormat="1"/>
    <row r="1048" s="9" customFormat="1"/>
    <row r="1049" s="9" customFormat="1"/>
    <row r="1050" s="9" customFormat="1"/>
    <row r="1051" s="9" customFormat="1"/>
    <row r="1052" s="9" customFormat="1"/>
    <row r="1053" s="9" customFormat="1"/>
    <row r="1054" s="9" customFormat="1"/>
    <row r="1055" s="9" customFormat="1"/>
    <row r="1056" s="9" customFormat="1"/>
    <row r="1057" s="9" customFormat="1"/>
    <row r="1058" s="9" customFormat="1"/>
    <row r="1059" s="9" customFormat="1"/>
    <row r="1060" s="9" customFormat="1"/>
    <row r="1061" s="9" customFormat="1"/>
    <row r="1062" s="9" customFormat="1"/>
    <row r="1063" s="9" customFormat="1"/>
    <row r="1064" s="9" customFormat="1"/>
    <row r="1065" s="9" customFormat="1"/>
    <row r="1066" s="9" customFormat="1"/>
    <row r="1067" s="9" customFormat="1"/>
    <row r="1068" s="9" customFormat="1"/>
    <row r="1069" s="9" customFormat="1"/>
    <row r="1070" s="9" customFormat="1"/>
    <row r="1071" s="9" customFormat="1"/>
    <row r="1072" s="9" customFormat="1"/>
    <row r="1073" s="9" customFormat="1"/>
    <row r="1074" s="9" customFormat="1"/>
    <row r="1075" s="9" customFormat="1"/>
    <row r="1076" s="9" customFormat="1"/>
    <row r="1077" s="9" customFormat="1"/>
    <row r="1078" s="9" customFormat="1"/>
    <row r="1079" s="9" customFormat="1"/>
    <row r="1080" s="9" customFormat="1"/>
    <row r="1081" s="9" customFormat="1"/>
    <row r="1082" s="9" customFormat="1"/>
    <row r="1083" s="9" customFormat="1"/>
    <row r="1084" s="9" customFormat="1"/>
    <row r="1085" s="9" customFormat="1"/>
    <row r="1086" s="9" customFormat="1"/>
    <row r="1087" s="9" customFormat="1"/>
    <row r="1088" s="9" customFormat="1"/>
    <row r="1089" s="9" customFormat="1"/>
    <row r="1090" s="9" customFormat="1"/>
    <row r="1091" s="9" customFormat="1"/>
    <row r="1092" s="9" customFormat="1"/>
    <row r="1093" s="9" customFormat="1"/>
    <row r="1094" s="9" customFormat="1"/>
    <row r="1095" s="9" customFormat="1"/>
    <row r="1096" s="9" customFormat="1"/>
    <row r="1097" s="9" customFormat="1"/>
    <row r="1098" s="9" customFormat="1"/>
    <row r="1099" s="9" customFormat="1"/>
    <row r="1100" s="9" customFormat="1"/>
    <row r="1101" s="9" customFormat="1"/>
    <row r="1102" s="9" customFormat="1"/>
    <row r="1103" s="9" customFormat="1"/>
    <row r="1104" s="9" customFormat="1"/>
    <row r="1105" s="9" customFormat="1"/>
    <row r="1106" s="9" customFormat="1"/>
    <row r="1107" s="9" customFormat="1"/>
    <row r="1108" s="9" customFormat="1"/>
    <row r="1109" s="9" customFormat="1"/>
    <row r="1110" s="9" customFormat="1"/>
    <row r="1111" s="9" customFormat="1"/>
    <row r="1112" s="9" customFormat="1"/>
    <row r="1113" s="9" customFormat="1"/>
    <row r="1114" s="9" customFormat="1"/>
    <row r="1115" s="9" customFormat="1"/>
    <row r="1116" s="9" customFormat="1"/>
    <row r="1117" s="9" customFormat="1"/>
    <row r="1118" s="9" customFormat="1"/>
    <row r="1119" s="9" customFormat="1"/>
    <row r="1120" s="9" customFormat="1"/>
    <row r="1121" s="9" customFormat="1"/>
    <row r="1122" s="9" customFormat="1"/>
    <row r="1123" s="9" customFormat="1"/>
    <row r="1124" s="9" customFormat="1"/>
    <row r="1125" s="9" customFormat="1"/>
    <row r="1126" s="9" customFormat="1"/>
    <row r="1127" s="9" customFormat="1"/>
    <row r="1128" s="9" customFormat="1"/>
    <row r="1129" s="9" customFormat="1"/>
    <row r="1130" s="9" customFormat="1"/>
    <row r="1131" s="9" customFormat="1"/>
    <row r="1132" s="9" customFormat="1"/>
    <row r="1133" s="9" customFormat="1"/>
    <row r="1134" s="9" customFormat="1"/>
    <row r="1135" s="9" customFormat="1"/>
    <row r="1136" s="9" customFormat="1"/>
    <row r="1137" s="9" customFormat="1"/>
    <row r="1138" s="9" customFormat="1"/>
    <row r="1139" s="9" customFormat="1"/>
    <row r="1140" s="9" customFormat="1"/>
    <row r="1141" s="9" customFormat="1"/>
    <row r="1142" s="9" customFormat="1"/>
    <row r="1143" s="9" customFormat="1"/>
    <row r="1144" s="9" customFormat="1"/>
    <row r="1145" s="9" customFormat="1"/>
    <row r="1146" s="9" customFormat="1"/>
    <row r="1147" s="9" customFormat="1"/>
    <row r="1148" s="9" customFormat="1"/>
    <row r="1149" s="9" customFormat="1"/>
    <row r="1150" s="9" customFormat="1"/>
    <row r="1151" s="9" customFormat="1"/>
    <row r="1152" s="9" customFormat="1"/>
    <row r="1153" s="9" customFormat="1"/>
    <row r="1154" s="9" customFormat="1"/>
    <row r="1155" s="9" customFormat="1"/>
    <row r="1156" s="9" customFormat="1"/>
    <row r="1157" s="9" customFormat="1"/>
    <row r="1158" s="9" customFormat="1"/>
    <row r="1159" s="9" customFormat="1"/>
    <row r="1160" s="9" customFormat="1"/>
    <row r="1161" s="9" customFormat="1"/>
    <row r="1162" s="9" customFormat="1"/>
    <row r="1163" s="9" customFormat="1"/>
    <row r="1164" s="9" customFormat="1"/>
    <row r="1165" s="9" customFormat="1"/>
    <row r="1166" s="9" customFormat="1"/>
    <row r="1167" s="9" customFormat="1"/>
    <row r="1168" s="9" customFormat="1"/>
    <row r="1169" s="9" customFormat="1"/>
    <row r="1170" s="9" customFormat="1"/>
    <row r="1171" s="9" customFormat="1"/>
    <row r="1172" s="9" customFormat="1"/>
    <row r="1173" s="9" customFormat="1"/>
    <row r="1174" s="9" customFormat="1"/>
    <row r="1175" s="9" customFormat="1"/>
    <row r="1176" s="9" customFormat="1"/>
    <row r="1177" s="9" customFormat="1"/>
    <row r="1178" s="9" customFormat="1"/>
    <row r="1179" s="9" customFormat="1"/>
    <row r="1180" s="9" customFormat="1"/>
    <row r="1181" s="9" customFormat="1"/>
    <row r="1182" s="9" customFormat="1"/>
    <row r="1183" s="9" customFormat="1"/>
    <row r="1184" s="9" customFormat="1"/>
    <row r="1185" s="9" customFormat="1"/>
    <row r="1186" s="9" customFormat="1"/>
    <row r="1187" s="9" customFormat="1"/>
    <row r="1188" s="9" customFormat="1"/>
    <row r="1189" s="9" customFormat="1"/>
    <row r="1190" s="9" customFormat="1"/>
    <row r="1191" s="9" customFormat="1"/>
    <row r="1192" s="9" customFormat="1"/>
    <row r="1193" s="9" customFormat="1"/>
    <row r="1194" s="9" customFormat="1"/>
    <row r="1195" s="9" customFormat="1"/>
    <row r="1196" s="9" customFormat="1"/>
    <row r="1197" s="9" customFormat="1"/>
    <row r="1198" s="9" customFormat="1"/>
    <row r="1199" s="9" customFormat="1"/>
    <row r="1200" s="9" customFormat="1"/>
    <row r="1201" s="9" customFormat="1"/>
    <row r="1202" s="9" customFormat="1"/>
    <row r="1203" s="9" customFormat="1"/>
    <row r="1204" s="9" customFormat="1"/>
    <row r="1205" s="9" customFormat="1"/>
    <row r="1206" s="9" customFormat="1"/>
    <row r="1207" s="9" customFormat="1"/>
    <row r="1208" s="9" customFormat="1"/>
    <row r="1209" s="9" customFormat="1"/>
    <row r="1210" s="9" customFormat="1"/>
    <row r="1211" s="9" customFormat="1"/>
    <row r="1212" s="9" customFormat="1"/>
    <row r="1213" s="9" customFormat="1"/>
    <row r="1214" s="9" customFormat="1"/>
    <row r="1215" s="9" customFormat="1"/>
    <row r="1216" s="9" customFormat="1"/>
    <row r="1217" spans="2:4" s="9" customFormat="1"/>
    <row r="1218" spans="2:4" s="9" customFormat="1"/>
    <row r="1219" spans="2:4" s="9" customFormat="1"/>
    <row r="1220" spans="2:4" s="9" customFormat="1"/>
    <row r="1221" spans="2:4" s="9" customFormat="1">
      <c r="B1221"/>
      <c r="C1221"/>
      <c r="D1221"/>
    </row>
  </sheetData>
  <sheetProtection algorithmName="SHA-512" hashValue="HYiHphMcPFZJrq4P+KbiChcMfm4j2aHlM1mPG8MY1TFIEPUK9pYI5D6F42oZs7zeHYu/xJuviCQ8anW6xS/WBw==" saltValue="dyto8DGmDUv5D2malanaYg==" spinCount="100000" sheet="1" objects="1" scenarios="1"/>
  <mergeCells count="39">
    <mergeCell ref="D25:D26"/>
    <mergeCell ref="B19:B20"/>
    <mergeCell ref="C19:C20"/>
    <mergeCell ref="D19:D20"/>
    <mergeCell ref="B57:D57"/>
    <mergeCell ref="B47:B48"/>
    <mergeCell ref="C47:D47"/>
    <mergeCell ref="C48:C49"/>
    <mergeCell ref="D48:D49"/>
    <mergeCell ref="B58:B59"/>
    <mergeCell ref="C58:D58"/>
    <mergeCell ref="C59:C60"/>
    <mergeCell ref="B64:D64"/>
    <mergeCell ref="B72:D72"/>
    <mergeCell ref="D59:D60"/>
    <mergeCell ref="B73:B74"/>
    <mergeCell ref="C73:D73"/>
    <mergeCell ref="C74:C75"/>
    <mergeCell ref="D74:D75"/>
    <mergeCell ref="B65:B66"/>
    <mergeCell ref="C65:D65"/>
    <mergeCell ref="C66:C67"/>
    <mergeCell ref="D66:D67"/>
    <mergeCell ref="B1:D1"/>
    <mergeCell ref="C18:E18"/>
    <mergeCell ref="B36:B37"/>
    <mergeCell ref="C36:D36"/>
    <mergeCell ref="C37:C38"/>
    <mergeCell ref="D37:D38"/>
    <mergeCell ref="E19:E20"/>
    <mergeCell ref="B23:D23"/>
    <mergeCell ref="B4:B5"/>
    <mergeCell ref="C4:D4"/>
    <mergeCell ref="C5:C6"/>
    <mergeCell ref="D5:D6"/>
    <mergeCell ref="C17:E17"/>
    <mergeCell ref="B24:B25"/>
    <mergeCell ref="C24:D24"/>
    <mergeCell ref="C25:C26"/>
  </mergeCells>
  <pageMargins left="0.70866141732283472" right="0.70866141732283472" top="0.74803149606299213" bottom="0.74803149606299213" header="0.31496062992125984" footer="0.31496062992125984"/>
  <pageSetup paperSize="9" scale="80" orientation="landscape" r:id="rId1"/>
  <rowBreaks count="2" manualBreakCount="2">
    <brk id="34" min="1" max="4" man="1"/>
    <brk id="71" min="1"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E6B29-3135-48B5-994C-E638F65CE02C}">
  <sheetPr>
    <pageSetUpPr fitToPage="1"/>
  </sheetPr>
  <dimension ref="B1:W87"/>
  <sheetViews>
    <sheetView zoomScale="98" zoomScaleNormal="98" workbookViewId="0">
      <selection activeCell="O4" sqref="O4"/>
    </sheetView>
  </sheetViews>
  <sheetFormatPr defaultColWidth="9.1328125" defaultRowHeight="14.25"/>
  <cols>
    <col min="1" max="1" width="4.73046875" style="15" customWidth="1"/>
    <col min="2" max="2" width="24.73046875" style="15" bestFit="1" customWidth="1"/>
    <col min="3" max="3" width="46.265625" style="15" customWidth="1"/>
    <col min="4" max="9" width="8.19921875" style="70" customWidth="1"/>
    <col min="10" max="10" width="11.59765625" style="15" customWidth="1"/>
    <col min="11" max="11" width="12.73046875" style="15" bestFit="1" customWidth="1"/>
    <col min="12" max="12" width="12.1328125" style="15" bestFit="1" customWidth="1"/>
    <col min="13" max="14" width="12.1328125" style="15" customWidth="1"/>
    <col min="15" max="15" width="13.3984375" style="15" customWidth="1"/>
    <col min="16" max="20" width="13.59765625" style="15" customWidth="1"/>
    <col min="21" max="21" width="14.73046875" style="15" customWidth="1"/>
    <col min="22" max="22" width="16.73046875" style="70" customWidth="1"/>
    <col min="23" max="23" width="21.53125" style="15" customWidth="1"/>
    <col min="24" max="16384" width="9.1328125" style="15"/>
  </cols>
  <sheetData>
    <row r="1" spans="2:23" ht="21.4" thickBot="1">
      <c r="B1" s="189" t="s">
        <v>111</v>
      </c>
      <c r="C1" s="190"/>
      <c r="D1" s="212"/>
    </row>
    <row r="2" spans="2:23" ht="47.65" customHeight="1" thickBot="1">
      <c r="B2" s="71"/>
      <c r="D2" s="214" t="s">
        <v>33</v>
      </c>
      <c r="E2" s="215"/>
      <c r="F2" s="215"/>
      <c r="G2" s="215"/>
      <c r="H2" s="215"/>
      <c r="I2" s="216"/>
      <c r="J2" s="215" t="s">
        <v>34</v>
      </c>
      <c r="K2" s="215"/>
      <c r="L2" s="215"/>
      <c r="M2" s="215"/>
      <c r="N2" s="215"/>
      <c r="O2" s="215"/>
      <c r="P2" s="217" t="s">
        <v>35</v>
      </c>
      <c r="Q2" s="217"/>
      <c r="R2" s="217"/>
      <c r="S2" s="217"/>
      <c r="T2" s="217"/>
      <c r="U2" s="217"/>
      <c r="V2" s="217"/>
      <c r="W2" s="72" t="s">
        <v>104</v>
      </c>
    </row>
    <row r="3" spans="2:23" ht="43.15" thickBot="1">
      <c r="B3" s="73" t="s">
        <v>36</v>
      </c>
      <c r="C3" s="74" t="s">
        <v>37</v>
      </c>
      <c r="D3" s="75" t="s">
        <v>22</v>
      </c>
      <c r="E3" s="76" t="s">
        <v>21</v>
      </c>
      <c r="F3" s="77" t="s">
        <v>19</v>
      </c>
      <c r="G3" s="77" t="s">
        <v>18</v>
      </c>
      <c r="H3" s="78" t="s">
        <v>20</v>
      </c>
      <c r="I3" s="79" t="s">
        <v>49</v>
      </c>
      <c r="J3" s="75" t="s">
        <v>22</v>
      </c>
      <c r="K3" s="76" t="s">
        <v>21</v>
      </c>
      <c r="L3" s="77" t="s">
        <v>19</v>
      </c>
      <c r="M3" s="77" t="s">
        <v>18</v>
      </c>
      <c r="N3" s="78" t="s">
        <v>20</v>
      </c>
      <c r="O3" s="79" t="s">
        <v>49</v>
      </c>
      <c r="P3" s="80" t="s">
        <v>22</v>
      </c>
      <c r="Q3" s="81" t="s">
        <v>21</v>
      </c>
      <c r="R3" s="82" t="s">
        <v>19</v>
      </c>
      <c r="S3" s="82" t="s">
        <v>18</v>
      </c>
      <c r="T3" s="83" t="s">
        <v>20</v>
      </c>
      <c r="U3" s="84" t="s">
        <v>49</v>
      </c>
      <c r="V3" s="85" t="s">
        <v>103</v>
      </c>
      <c r="W3" s="86"/>
    </row>
    <row r="4" spans="2:23">
      <c r="B4" s="87"/>
      <c r="C4" s="88" t="s">
        <v>38</v>
      </c>
      <c r="D4" s="89">
        <f>23+1</f>
        <v>24</v>
      </c>
      <c r="E4" s="90">
        <f>2+1</f>
        <v>3</v>
      </c>
      <c r="F4" s="90">
        <v>2</v>
      </c>
      <c r="G4" s="90"/>
      <c r="H4" s="90"/>
      <c r="I4" s="91"/>
      <c r="J4" s="92">
        <f>Rest240ltr_1x_per_4_weken</f>
        <v>0</v>
      </c>
      <c r="K4" s="92">
        <f>Rest240ltr_1_x_per_2_weken</f>
        <v>0</v>
      </c>
      <c r="L4" s="93">
        <f>Rest240ltr_1_x_per_week</f>
        <v>0</v>
      </c>
      <c r="M4" s="93">
        <f>Rest240ltr_2x_per_week</f>
        <v>0</v>
      </c>
      <c r="N4" s="94">
        <f>Rest240ltr_3_x_per_week</f>
        <v>0</v>
      </c>
      <c r="O4" s="95">
        <f>Rest240ltr_Extra_lediging</f>
        <v>0</v>
      </c>
      <c r="P4" s="92">
        <f t="shared" ref="P4:U4" si="0">(D4*J4)*12</f>
        <v>0</v>
      </c>
      <c r="Q4" s="93">
        <f t="shared" si="0"/>
        <v>0</v>
      </c>
      <c r="R4" s="93">
        <f t="shared" si="0"/>
        <v>0</v>
      </c>
      <c r="S4" s="93">
        <f t="shared" si="0"/>
        <v>0</v>
      </c>
      <c r="T4" s="94">
        <f t="shared" si="0"/>
        <v>0</v>
      </c>
      <c r="U4" s="94">
        <f t="shared" si="0"/>
        <v>0</v>
      </c>
      <c r="V4" s="96">
        <f>SUM(P4:U4)</f>
        <v>0</v>
      </c>
    </row>
    <row r="5" spans="2:23">
      <c r="B5" s="97"/>
      <c r="C5" s="98" t="s">
        <v>62</v>
      </c>
      <c r="D5" s="99"/>
      <c r="E5" s="100"/>
      <c r="F5" s="100"/>
      <c r="G5" s="100"/>
      <c r="H5" s="100"/>
      <c r="I5" s="101"/>
      <c r="J5" s="102">
        <f>Rest500ltr_1x_per_4_weken</f>
        <v>0</v>
      </c>
      <c r="K5" s="102">
        <f>Rest500ltr_1x_per_2_weken</f>
        <v>0</v>
      </c>
      <c r="L5" s="103">
        <f>Rest500ltr_1_x_per_week</f>
        <v>0</v>
      </c>
      <c r="M5" s="103">
        <f>Rest500ltr_2x_per_week</f>
        <v>0</v>
      </c>
      <c r="N5" s="104">
        <f>Rest500ltr_3_x_per_week</f>
        <v>0</v>
      </c>
      <c r="O5" s="105">
        <f>Rest500ltr_Extra_lediging</f>
        <v>0</v>
      </c>
      <c r="P5" s="102">
        <f t="shared" ref="P5:P25" si="1">(D5*J5)*12</f>
        <v>0</v>
      </c>
      <c r="Q5" s="103">
        <f t="shared" ref="Q5:Q37" si="2">(E5*K5)*12</f>
        <v>0</v>
      </c>
      <c r="R5" s="103">
        <f t="shared" ref="R5:R37" si="3">(F5*L5)*12</f>
        <v>0</v>
      </c>
      <c r="S5" s="103">
        <f t="shared" ref="S5:S36" si="4">(G5*M5)*12</f>
        <v>0</v>
      </c>
      <c r="T5" s="104">
        <f t="shared" ref="T5:T12" si="5">(H5*N5)*12</f>
        <v>0</v>
      </c>
      <c r="U5" s="104">
        <f t="shared" ref="U5:U37" si="6">(I5*O5)*12</f>
        <v>0</v>
      </c>
      <c r="V5" s="106">
        <f t="shared" ref="V5:V37" si="7">SUM(P5:U5)</f>
        <v>0</v>
      </c>
    </row>
    <row r="6" spans="2:23">
      <c r="B6" s="97"/>
      <c r="C6" s="97" t="s">
        <v>39</v>
      </c>
      <c r="D6" s="99"/>
      <c r="E6" s="100">
        <v>1</v>
      </c>
      <c r="F6" s="100">
        <f>2</f>
        <v>2</v>
      </c>
      <c r="G6" s="100"/>
      <c r="H6" s="100">
        <v>1</v>
      </c>
      <c r="I6" s="101"/>
      <c r="J6" s="102">
        <f>Rest660ltr_1x_per_4_weken</f>
        <v>0</v>
      </c>
      <c r="K6" s="102">
        <f>Rest6600ltr_1x_per_2_weken</f>
        <v>0</v>
      </c>
      <c r="L6" s="103">
        <f>Rest660ltr_1_x_per_week</f>
        <v>0</v>
      </c>
      <c r="M6" s="103">
        <f>Rest660ltr_2x_per_week</f>
        <v>0</v>
      </c>
      <c r="N6" s="104">
        <f>Rest660ltr_3_x_per_week</f>
        <v>0</v>
      </c>
      <c r="O6" s="105">
        <f>Rest660ltr_Extra_lediging</f>
        <v>0</v>
      </c>
      <c r="P6" s="102">
        <f t="shared" si="1"/>
        <v>0</v>
      </c>
      <c r="Q6" s="103">
        <f t="shared" si="2"/>
        <v>0</v>
      </c>
      <c r="R6" s="103">
        <f t="shared" si="3"/>
        <v>0</v>
      </c>
      <c r="S6" s="103">
        <f t="shared" si="4"/>
        <v>0</v>
      </c>
      <c r="T6" s="104">
        <f t="shared" si="5"/>
        <v>0</v>
      </c>
      <c r="U6" s="104">
        <f t="shared" si="6"/>
        <v>0</v>
      </c>
      <c r="V6" s="106">
        <f t="shared" si="7"/>
        <v>0</v>
      </c>
    </row>
    <row r="7" spans="2:23">
      <c r="B7" s="97"/>
      <c r="C7" s="97" t="s">
        <v>66</v>
      </c>
      <c r="D7" s="99"/>
      <c r="E7" s="100">
        <v>4</v>
      </c>
      <c r="F7" s="100"/>
      <c r="G7" s="100"/>
      <c r="H7" s="100"/>
      <c r="I7" s="101"/>
      <c r="J7" s="102">
        <f>Rest750_770ltr_1x_per_4_weken</f>
        <v>0</v>
      </c>
      <c r="K7" s="107">
        <f>Rest750_770ltr_1x_per_2_weken</f>
        <v>0</v>
      </c>
      <c r="L7" s="103">
        <f>Rest750_770ltr_1_x_per_week</f>
        <v>0</v>
      </c>
      <c r="M7" s="103">
        <f>Rest750_770ltr_2x_per_week</f>
        <v>0</v>
      </c>
      <c r="N7" s="104">
        <f>Rest750_770ltr_3_x_per_week</f>
        <v>0</v>
      </c>
      <c r="O7" s="105">
        <f>Rest750_770ltr_Extra_lediging</f>
        <v>0</v>
      </c>
      <c r="P7" s="102">
        <f t="shared" si="1"/>
        <v>0</v>
      </c>
      <c r="Q7" s="103">
        <f t="shared" si="2"/>
        <v>0</v>
      </c>
      <c r="R7" s="103">
        <f t="shared" si="3"/>
        <v>0</v>
      </c>
      <c r="S7" s="103">
        <f t="shared" si="4"/>
        <v>0</v>
      </c>
      <c r="T7" s="104">
        <f t="shared" si="5"/>
        <v>0</v>
      </c>
      <c r="U7" s="104">
        <f t="shared" si="6"/>
        <v>0</v>
      </c>
      <c r="V7" s="106">
        <f t="shared" si="7"/>
        <v>0</v>
      </c>
    </row>
    <row r="8" spans="2:23">
      <c r="B8" s="97"/>
      <c r="C8" s="97" t="s">
        <v>63</v>
      </c>
      <c r="D8" s="99"/>
      <c r="E8" s="100">
        <v>2</v>
      </c>
      <c r="F8" s="100">
        <v>1</v>
      </c>
      <c r="G8" s="100"/>
      <c r="H8" s="100"/>
      <c r="I8" s="101"/>
      <c r="J8" s="102">
        <f>Rest1000ltr_1x_per_4_weken</f>
        <v>0</v>
      </c>
      <c r="K8" s="102">
        <f>Rest1000ltr_1x_per_2_weken</f>
        <v>0</v>
      </c>
      <c r="L8" s="103">
        <f>Rest1000ltr_1_x_per_week</f>
        <v>0</v>
      </c>
      <c r="M8" s="103">
        <f>Rest1000ltr_2x_per_week</f>
        <v>0</v>
      </c>
      <c r="N8" s="104">
        <f>Rest1000ltr_3_x_per_week</f>
        <v>0</v>
      </c>
      <c r="O8" s="105">
        <f>Rest1000ltr_Extra_lediging</f>
        <v>0</v>
      </c>
      <c r="P8" s="102">
        <f t="shared" si="1"/>
        <v>0</v>
      </c>
      <c r="Q8" s="103">
        <f t="shared" si="2"/>
        <v>0</v>
      </c>
      <c r="R8" s="103">
        <f t="shared" si="3"/>
        <v>0</v>
      </c>
      <c r="S8" s="103">
        <f t="shared" si="4"/>
        <v>0</v>
      </c>
      <c r="T8" s="104">
        <f t="shared" si="5"/>
        <v>0</v>
      </c>
      <c r="U8" s="104">
        <f t="shared" si="6"/>
        <v>0</v>
      </c>
      <c r="V8" s="106">
        <f t="shared" si="7"/>
        <v>0</v>
      </c>
    </row>
    <row r="9" spans="2:23">
      <c r="B9" s="97"/>
      <c r="C9" s="97" t="s">
        <v>64</v>
      </c>
      <c r="D9" s="100">
        <v>2</v>
      </c>
      <c r="E9" s="100">
        <v>2</v>
      </c>
      <c r="F9" s="100">
        <f>1+2</f>
        <v>3</v>
      </c>
      <c r="G9" s="100"/>
      <c r="H9" s="100">
        <v>1</v>
      </c>
      <c r="I9" s="101"/>
      <c r="J9" s="102">
        <f>Rest1100ltr_1x_per_4_weken</f>
        <v>0</v>
      </c>
      <c r="K9" s="102">
        <f>Rest1100ltr_1x_per_2_weken</f>
        <v>0</v>
      </c>
      <c r="L9" s="103">
        <f>Rest1100ltr_1_x_per_week</f>
        <v>0</v>
      </c>
      <c r="M9" s="103">
        <f>Rest1100ltr_2x_per_week</f>
        <v>0</v>
      </c>
      <c r="N9" s="104">
        <f>Rest1100ltr_3_x_per_week</f>
        <v>0</v>
      </c>
      <c r="O9" s="105">
        <f>Rest1100ltr_Extra_lediging</f>
        <v>0</v>
      </c>
      <c r="P9" s="102">
        <f t="shared" si="1"/>
        <v>0</v>
      </c>
      <c r="Q9" s="103">
        <f t="shared" si="2"/>
        <v>0</v>
      </c>
      <c r="R9" s="103">
        <f t="shared" si="3"/>
        <v>0</v>
      </c>
      <c r="S9" s="103">
        <f t="shared" si="4"/>
        <v>0</v>
      </c>
      <c r="T9" s="104">
        <f t="shared" si="5"/>
        <v>0</v>
      </c>
      <c r="U9" s="104">
        <f t="shared" si="6"/>
        <v>0</v>
      </c>
      <c r="V9" s="106">
        <f t="shared" si="7"/>
        <v>0</v>
      </c>
    </row>
    <row r="10" spans="2:23">
      <c r="B10" s="108"/>
      <c r="C10" s="97" t="s">
        <v>65</v>
      </c>
      <c r="D10" s="100">
        <v>1</v>
      </c>
      <c r="E10" s="100">
        <v>2</v>
      </c>
      <c r="F10" s="100">
        <f>3+1</f>
        <v>4</v>
      </c>
      <c r="G10" s="100">
        <f>4+1</f>
        <v>5</v>
      </c>
      <c r="H10" s="100"/>
      <c r="I10" s="101"/>
      <c r="J10" s="102">
        <f>Rest1300ltr_1x_per_4_weken</f>
        <v>0</v>
      </c>
      <c r="K10" s="102">
        <f>Rest1300ltr_1x_per_2_weken</f>
        <v>0</v>
      </c>
      <c r="L10" s="103">
        <f>Rest1300ltr_1_x_per_week</f>
        <v>0</v>
      </c>
      <c r="M10" s="103">
        <f>Rest1300ltr_2x_per_week</f>
        <v>0</v>
      </c>
      <c r="N10" s="104">
        <f>Rest1300ltr_3_x_per_week</f>
        <v>0</v>
      </c>
      <c r="O10" s="105">
        <f>Rest1300ltr_Extra_lediging</f>
        <v>0</v>
      </c>
      <c r="P10" s="102">
        <f t="shared" si="1"/>
        <v>0</v>
      </c>
      <c r="Q10" s="103">
        <f t="shared" si="2"/>
        <v>0</v>
      </c>
      <c r="R10" s="103">
        <f t="shared" si="3"/>
        <v>0</v>
      </c>
      <c r="S10" s="103">
        <f t="shared" si="4"/>
        <v>0</v>
      </c>
      <c r="T10" s="104">
        <f t="shared" si="5"/>
        <v>0</v>
      </c>
      <c r="U10" s="104">
        <f t="shared" si="6"/>
        <v>0</v>
      </c>
      <c r="V10" s="106">
        <f t="shared" si="7"/>
        <v>0</v>
      </c>
    </row>
    <row r="11" spans="2:23">
      <c r="B11" s="108"/>
      <c r="C11" s="97" t="s">
        <v>40</v>
      </c>
      <c r="D11" s="100">
        <v>1</v>
      </c>
      <c r="E11" s="100"/>
      <c r="F11" s="100">
        <f>1+6</f>
        <v>7</v>
      </c>
      <c r="G11" s="100"/>
      <c r="H11" s="100"/>
      <c r="I11" s="101"/>
      <c r="J11" s="102">
        <f>Rest1600ltr_1x_per_4_weken</f>
        <v>0</v>
      </c>
      <c r="K11" s="102">
        <f>Rest1600ltr_1x_per_2_weken</f>
        <v>0</v>
      </c>
      <c r="L11" s="103">
        <f>Rest1600ltr_1_x_per_week</f>
        <v>0</v>
      </c>
      <c r="M11" s="103">
        <f>Rest1600ltr_2x_per_week</f>
        <v>0</v>
      </c>
      <c r="N11" s="104">
        <f>Rest1600ltr_3_x_per_week</f>
        <v>0</v>
      </c>
      <c r="O11" s="105">
        <f>Rest1600ltr_Extra_lediging</f>
        <v>0</v>
      </c>
      <c r="P11" s="102">
        <f t="shared" si="1"/>
        <v>0</v>
      </c>
      <c r="Q11" s="103">
        <f t="shared" si="2"/>
        <v>0</v>
      </c>
      <c r="R11" s="103">
        <f t="shared" si="3"/>
        <v>0</v>
      </c>
      <c r="S11" s="103">
        <f t="shared" si="4"/>
        <v>0</v>
      </c>
      <c r="T11" s="104">
        <f t="shared" si="5"/>
        <v>0</v>
      </c>
      <c r="U11" s="104">
        <f t="shared" si="6"/>
        <v>0</v>
      </c>
      <c r="V11" s="106">
        <f t="shared" si="7"/>
        <v>0</v>
      </c>
    </row>
    <row r="12" spans="2:23">
      <c r="B12" s="109"/>
      <c r="C12" s="97" t="s">
        <v>41</v>
      </c>
      <c r="D12" s="99"/>
      <c r="E12" s="100"/>
      <c r="F12" s="100"/>
      <c r="G12" s="100"/>
      <c r="H12" s="100"/>
      <c r="I12" s="101"/>
      <c r="J12" s="102">
        <f>Rest2500ltr_1x_per_4_weken</f>
        <v>0</v>
      </c>
      <c r="K12" s="102">
        <f>Rest2500ltr_1x_per_2_weken</f>
        <v>0</v>
      </c>
      <c r="L12" s="103">
        <f>Rest2500ltr_1_x_per_week</f>
        <v>0</v>
      </c>
      <c r="M12" s="110">
        <f>Rest2500ltr_2x_per_week</f>
        <v>0</v>
      </c>
      <c r="N12" s="111">
        <f>Rest2500ltr_3_x_per_week</f>
        <v>0</v>
      </c>
      <c r="O12" s="112">
        <f>Rest2500ltr_Extra_lediging</f>
        <v>0</v>
      </c>
      <c r="P12" s="102">
        <f t="shared" si="1"/>
        <v>0</v>
      </c>
      <c r="Q12" s="103">
        <f t="shared" si="2"/>
        <v>0</v>
      </c>
      <c r="R12" s="103">
        <f t="shared" si="3"/>
        <v>0</v>
      </c>
      <c r="S12" s="103">
        <f t="shared" si="4"/>
        <v>0</v>
      </c>
      <c r="T12" s="104">
        <f t="shared" si="5"/>
        <v>0</v>
      </c>
      <c r="U12" s="104">
        <f t="shared" si="6"/>
        <v>0</v>
      </c>
      <c r="V12" s="106">
        <f t="shared" si="7"/>
        <v>0</v>
      </c>
    </row>
    <row r="13" spans="2:23">
      <c r="B13" s="109"/>
      <c r="C13" s="97" t="s">
        <v>42</v>
      </c>
      <c r="D13" s="100">
        <v>2</v>
      </c>
      <c r="E13" s="100">
        <f>1+1</f>
        <v>2</v>
      </c>
      <c r="F13" s="100">
        <f>7</f>
        <v>7</v>
      </c>
      <c r="G13" s="100"/>
      <c r="H13" s="111" t="s">
        <v>47</v>
      </c>
      <c r="I13" s="101"/>
      <c r="J13" s="113">
        <f>Papier240ltr_1x_per_4_weken</f>
        <v>0</v>
      </c>
      <c r="K13" s="110">
        <f>Papier240ltr_1_x_per_2_weken</f>
        <v>0</v>
      </c>
      <c r="L13" s="110">
        <f>Papier240ltr_1_x_per_week</f>
        <v>0</v>
      </c>
      <c r="M13" s="110">
        <f>Papier240ltr_2x_per_week</f>
        <v>0</v>
      </c>
      <c r="N13" s="111" t="s">
        <v>47</v>
      </c>
      <c r="O13" s="112">
        <f>Papier240ltr_extra_lediging</f>
        <v>0</v>
      </c>
      <c r="P13" s="102">
        <f t="shared" si="1"/>
        <v>0</v>
      </c>
      <c r="Q13" s="103">
        <f t="shared" si="2"/>
        <v>0</v>
      </c>
      <c r="R13" s="103">
        <f t="shared" si="3"/>
        <v>0</v>
      </c>
      <c r="S13" s="103">
        <f t="shared" si="4"/>
        <v>0</v>
      </c>
      <c r="T13" s="111" t="s">
        <v>47</v>
      </c>
      <c r="U13" s="104">
        <f t="shared" si="6"/>
        <v>0</v>
      </c>
      <c r="V13" s="106">
        <f t="shared" si="7"/>
        <v>0</v>
      </c>
    </row>
    <row r="14" spans="2:23">
      <c r="B14" s="109"/>
      <c r="C14" s="97" t="s">
        <v>67</v>
      </c>
      <c r="D14" s="99"/>
      <c r="E14" s="100"/>
      <c r="F14" s="100"/>
      <c r="G14" s="100"/>
      <c r="H14" s="111" t="s">
        <v>47</v>
      </c>
      <c r="I14" s="101"/>
      <c r="J14" s="113">
        <f>Papier500ltr_1x_per_4_weken</f>
        <v>0</v>
      </c>
      <c r="K14" s="110">
        <f>Papier500ltr_1_x_per_2_weken</f>
        <v>0</v>
      </c>
      <c r="L14" s="110">
        <f>Papier500ltr_1_x_per_week</f>
        <v>0</v>
      </c>
      <c r="M14" s="110">
        <f>Papier500ltr_2x_per_week</f>
        <v>0</v>
      </c>
      <c r="N14" s="111" t="s">
        <v>47</v>
      </c>
      <c r="O14" s="112">
        <f>Papier500ltr_extra_lediging</f>
        <v>0</v>
      </c>
      <c r="P14" s="102">
        <f t="shared" si="1"/>
        <v>0</v>
      </c>
      <c r="Q14" s="103">
        <f t="shared" si="2"/>
        <v>0</v>
      </c>
      <c r="R14" s="103">
        <f t="shared" si="3"/>
        <v>0</v>
      </c>
      <c r="S14" s="103">
        <f t="shared" si="4"/>
        <v>0</v>
      </c>
      <c r="T14" s="111" t="s">
        <v>47</v>
      </c>
      <c r="U14" s="104">
        <f t="shared" si="6"/>
        <v>0</v>
      </c>
      <c r="V14" s="106">
        <f t="shared" si="7"/>
        <v>0</v>
      </c>
    </row>
    <row r="15" spans="2:23">
      <c r="B15" s="109"/>
      <c r="C15" s="97" t="s">
        <v>43</v>
      </c>
      <c r="D15" s="100">
        <f>1+1</f>
        <v>2</v>
      </c>
      <c r="E15" s="100">
        <f>4+1</f>
        <v>5</v>
      </c>
      <c r="F15" s="100"/>
      <c r="G15" s="100"/>
      <c r="H15" s="111" t="s">
        <v>47</v>
      </c>
      <c r="I15" s="101"/>
      <c r="J15" s="113">
        <f>Papier660ltr_1x_per_4_weken</f>
        <v>0</v>
      </c>
      <c r="K15" s="110">
        <f>Papier660ltr_1_x_per_2_weken</f>
        <v>0</v>
      </c>
      <c r="L15" s="110">
        <f>Papier660ltr_1_x_per_week</f>
        <v>0</v>
      </c>
      <c r="M15" s="110">
        <f>Papier660ltr_2x_per_week</f>
        <v>0</v>
      </c>
      <c r="N15" s="111" t="s">
        <v>47</v>
      </c>
      <c r="O15" s="112">
        <f>Papier660ltr_extra_lediging</f>
        <v>0</v>
      </c>
      <c r="P15" s="102">
        <f t="shared" si="1"/>
        <v>0</v>
      </c>
      <c r="Q15" s="103">
        <f t="shared" si="2"/>
        <v>0</v>
      </c>
      <c r="R15" s="103">
        <f t="shared" si="3"/>
        <v>0</v>
      </c>
      <c r="S15" s="103">
        <f t="shared" si="4"/>
        <v>0</v>
      </c>
      <c r="T15" s="111" t="s">
        <v>47</v>
      </c>
      <c r="U15" s="104">
        <f t="shared" si="6"/>
        <v>0</v>
      </c>
      <c r="V15" s="106">
        <f t="shared" si="7"/>
        <v>0</v>
      </c>
    </row>
    <row r="16" spans="2:23">
      <c r="B16" s="109"/>
      <c r="C16" s="97" t="s">
        <v>68</v>
      </c>
      <c r="D16" s="99"/>
      <c r="E16" s="100"/>
      <c r="F16" s="100">
        <v>3</v>
      </c>
      <c r="G16" s="100"/>
      <c r="H16" s="111" t="s">
        <v>47</v>
      </c>
      <c r="I16" s="101"/>
      <c r="J16" s="113">
        <f>Papier750_770ltr_1x_per_4_weken</f>
        <v>0</v>
      </c>
      <c r="K16" s="110">
        <f>Papier750_770ltr_1_x_per_2_weken</f>
        <v>0</v>
      </c>
      <c r="L16" s="110">
        <f>Papier750_770ltr_1_x_per_week</f>
        <v>0</v>
      </c>
      <c r="M16" s="110">
        <f>Papier750_770ltr_2x_per_week</f>
        <v>0</v>
      </c>
      <c r="N16" s="111" t="s">
        <v>47</v>
      </c>
      <c r="O16" s="112">
        <f>Papier750_770ltr_extra_lediging</f>
        <v>0</v>
      </c>
      <c r="P16" s="102">
        <f t="shared" si="1"/>
        <v>0</v>
      </c>
      <c r="Q16" s="103">
        <f t="shared" si="2"/>
        <v>0</v>
      </c>
      <c r="R16" s="103">
        <f t="shared" si="3"/>
        <v>0</v>
      </c>
      <c r="S16" s="103">
        <f t="shared" si="4"/>
        <v>0</v>
      </c>
      <c r="T16" s="111" t="s">
        <v>47</v>
      </c>
      <c r="U16" s="104">
        <f t="shared" si="6"/>
        <v>0</v>
      </c>
      <c r="V16" s="106">
        <f t="shared" si="7"/>
        <v>0</v>
      </c>
    </row>
    <row r="17" spans="2:22">
      <c r="B17" s="109"/>
      <c r="C17" s="97" t="s">
        <v>69</v>
      </c>
      <c r="D17" s="99"/>
      <c r="E17" s="100"/>
      <c r="F17" s="100"/>
      <c r="G17" s="100"/>
      <c r="H17" s="111" t="s">
        <v>47</v>
      </c>
      <c r="I17" s="101"/>
      <c r="J17" s="113">
        <f>Papier1000ltr_1x_per_4_weken</f>
        <v>0</v>
      </c>
      <c r="K17" s="110">
        <f>Papier1000ltr_1_x_per_2_weken</f>
        <v>0</v>
      </c>
      <c r="L17" s="110">
        <f>Papier1000ltr_1_x_per_week</f>
        <v>0</v>
      </c>
      <c r="M17" s="110">
        <f>Papier1000ltr_2x_per_week</f>
        <v>0</v>
      </c>
      <c r="N17" s="111" t="s">
        <v>47</v>
      </c>
      <c r="O17" s="112">
        <f>Papier1000ltr_extra_lediging</f>
        <v>0</v>
      </c>
      <c r="P17" s="102">
        <f t="shared" si="1"/>
        <v>0</v>
      </c>
      <c r="Q17" s="103">
        <f t="shared" si="2"/>
        <v>0</v>
      </c>
      <c r="R17" s="103">
        <f t="shared" si="3"/>
        <v>0</v>
      </c>
      <c r="S17" s="103">
        <f t="shared" si="4"/>
        <v>0</v>
      </c>
      <c r="T17" s="111" t="s">
        <v>47</v>
      </c>
      <c r="U17" s="104">
        <f t="shared" si="6"/>
        <v>0</v>
      </c>
      <c r="V17" s="106">
        <f t="shared" si="7"/>
        <v>0</v>
      </c>
    </row>
    <row r="18" spans="2:22">
      <c r="B18" s="109"/>
      <c r="C18" s="97" t="s">
        <v>44</v>
      </c>
      <c r="D18" s="99"/>
      <c r="E18" s="100"/>
      <c r="F18" s="100"/>
      <c r="G18" s="100"/>
      <c r="H18" s="111" t="s">
        <v>47</v>
      </c>
      <c r="I18" s="101"/>
      <c r="J18" s="113">
        <f>Papier1100ltr_1x_per_4_weken</f>
        <v>0</v>
      </c>
      <c r="K18" s="110">
        <f>Papier1100ltr_1_x_per_2_weken</f>
        <v>0</v>
      </c>
      <c r="L18" s="110">
        <f>Papier1100ltr_1_x_per_week</f>
        <v>0</v>
      </c>
      <c r="M18" s="110">
        <f>Papier1100ltr_2x_per_week</f>
        <v>0</v>
      </c>
      <c r="N18" s="111" t="s">
        <v>47</v>
      </c>
      <c r="O18" s="112">
        <f>Papier1100ltr_extra_lediging</f>
        <v>0</v>
      </c>
      <c r="P18" s="102">
        <f t="shared" si="1"/>
        <v>0</v>
      </c>
      <c r="Q18" s="103">
        <f t="shared" si="2"/>
        <v>0</v>
      </c>
      <c r="R18" s="103">
        <f t="shared" si="3"/>
        <v>0</v>
      </c>
      <c r="S18" s="103">
        <f t="shared" si="4"/>
        <v>0</v>
      </c>
      <c r="T18" s="111" t="s">
        <v>47</v>
      </c>
      <c r="U18" s="104">
        <f t="shared" si="6"/>
        <v>0</v>
      </c>
      <c r="V18" s="106">
        <f t="shared" si="7"/>
        <v>0</v>
      </c>
    </row>
    <row r="19" spans="2:22">
      <c r="B19" s="109"/>
      <c r="C19" s="97" t="s">
        <v>119</v>
      </c>
      <c r="D19" s="99"/>
      <c r="E19" s="100"/>
      <c r="F19" s="100">
        <v>1</v>
      </c>
      <c r="G19" s="100"/>
      <c r="H19" s="111" t="s">
        <v>47</v>
      </c>
      <c r="I19" s="101"/>
      <c r="J19" s="113">
        <f>Papier1300ltr_1x_per_4_weken</f>
        <v>0</v>
      </c>
      <c r="K19" s="110">
        <f>Papier1300ltr_1x_per_2_weken</f>
        <v>0</v>
      </c>
      <c r="L19" s="110">
        <f>Papier1300ltr_1x_per_week</f>
        <v>0</v>
      </c>
      <c r="M19" s="110">
        <f>Papier1300ltr_2x_per_week</f>
        <v>0</v>
      </c>
      <c r="N19" s="111" t="s">
        <v>47</v>
      </c>
      <c r="O19" s="112">
        <f>Papier1300ltr_Extra_lediging</f>
        <v>0</v>
      </c>
      <c r="P19" s="102">
        <f t="shared" si="1"/>
        <v>0</v>
      </c>
      <c r="Q19" s="103">
        <f t="shared" si="2"/>
        <v>0</v>
      </c>
      <c r="R19" s="103">
        <f t="shared" si="3"/>
        <v>0</v>
      </c>
      <c r="S19" s="103">
        <f t="shared" si="4"/>
        <v>0</v>
      </c>
      <c r="T19" s="111" t="s">
        <v>47</v>
      </c>
      <c r="U19" s="104">
        <f t="shared" si="6"/>
        <v>0</v>
      </c>
      <c r="V19" s="106">
        <f t="shared" si="7"/>
        <v>0</v>
      </c>
    </row>
    <row r="20" spans="2:22">
      <c r="B20" s="109"/>
      <c r="C20" s="97" t="s">
        <v>70</v>
      </c>
      <c r="D20" s="99">
        <v>1</v>
      </c>
      <c r="E20" s="100"/>
      <c r="F20" s="100"/>
      <c r="G20" s="100"/>
      <c r="H20" s="111" t="s">
        <v>47</v>
      </c>
      <c r="I20" s="101"/>
      <c r="J20" s="113">
        <f>PMD240ltr_1x_per_4_weken</f>
        <v>0</v>
      </c>
      <c r="K20" s="110">
        <f>PMD240ltr_1_x_per_2_weken</f>
        <v>0</v>
      </c>
      <c r="L20" s="110">
        <f>PMD240ltr_1_x_per_week</f>
        <v>0</v>
      </c>
      <c r="M20" s="110">
        <f>PMD240ltr_2x_per_week</f>
        <v>0</v>
      </c>
      <c r="N20" s="111" t="s">
        <v>47</v>
      </c>
      <c r="O20" s="112">
        <f>PMD240ltr_extra_lediging</f>
        <v>0</v>
      </c>
      <c r="P20" s="102">
        <f t="shared" si="1"/>
        <v>0</v>
      </c>
      <c r="Q20" s="103">
        <f t="shared" si="2"/>
        <v>0</v>
      </c>
      <c r="R20" s="103">
        <f t="shared" si="3"/>
        <v>0</v>
      </c>
      <c r="S20" s="103">
        <f t="shared" si="4"/>
        <v>0</v>
      </c>
      <c r="T20" s="111" t="s">
        <v>47</v>
      </c>
      <c r="U20" s="104">
        <f t="shared" si="6"/>
        <v>0</v>
      </c>
      <c r="V20" s="106">
        <f t="shared" si="7"/>
        <v>0</v>
      </c>
    </row>
    <row r="21" spans="2:22">
      <c r="B21" s="109"/>
      <c r="C21" s="97" t="s">
        <v>71</v>
      </c>
      <c r="D21" s="99"/>
      <c r="E21" s="100"/>
      <c r="F21" s="100"/>
      <c r="G21" s="100"/>
      <c r="H21" s="111" t="s">
        <v>47</v>
      </c>
      <c r="I21" s="101"/>
      <c r="J21" s="113">
        <f>PMD500ltr_1x_per_4_weken</f>
        <v>0</v>
      </c>
      <c r="K21" s="110">
        <f>PMD500ltr_1_x_per_2_weken</f>
        <v>0</v>
      </c>
      <c r="L21" s="110">
        <f>PMD500ltr_1_x_per_week</f>
        <v>0</v>
      </c>
      <c r="M21" s="110">
        <f>PMD500ltr_2x_per_week</f>
        <v>0</v>
      </c>
      <c r="N21" s="111" t="s">
        <v>47</v>
      </c>
      <c r="O21" s="112">
        <f>PMD500ltr_extra_lediging</f>
        <v>0</v>
      </c>
      <c r="P21" s="102">
        <f t="shared" si="1"/>
        <v>0</v>
      </c>
      <c r="Q21" s="103">
        <f t="shared" si="2"/>
        <v>0</v>
      </c>
      <c r="R21" s="103">
        <f t="shared" si="3"/>
        <v>0</v>
      </c>
      <c r="S21" s="103">
        <f t="shared" si="4"/>
        <v>0</v>
      </c>
      <c r="T21" s="111" t="s">
        <v>47</v>
      </c>
      <c r="U21" s="104">
        <f t="shared" si="6"/>
        <v>0</v>
      </c>
      <c r="V21" s="106">
        <f t="shared" si="7"/>
        <v>0</v>
      </c>
    </row>
    <row r="22" spans="2:22">
      <c r="B22" s="109"/>
      <c r="C22" s="97" t="s">
        <v>72</v>
      </c>
      <c r="D22" s="99"/>
      <c r="E22" s="100"/>
      <c r="F22" s="100"/>
      <c r="G22" s="100"/>
      <c r="H22" s="111" t="s">
        <v>47</v>
      </c>
      <c r="I22" s="101"/>
      <c r="J22" s="113">
        <f>PMD660ltr_1x_per_4_weken</f>
        <v>0</v>
      </c>
      <c r="K22" s="110">
        <f>PMD660ltr_1_x_per_2_weken</f>
        <v>0</v>
      </c>
      <c r="L22" s="110">
        <f>PMD660ltr_1_x_per_week</f>
        <v>0</v>
      </c>
      <c r="M22" s="110">
        <f>PMD660ltr_2x_per_week</f>
        <v>0</v>
      </c>
      <c r="N22" s="111" t="s">
        <v>47</v>
      </c>
      <c r="O22" s="112">
        <f>PMD660ltr_extra_lediging</f>
        <v>0</v>
      </c>
      <c r="P22" s="102">
        <f t="shared" si="1"/>
        <v>0</v>
      </c>
      <c r="Q22" s="103">
        <f t="shared" si="2"/>
        <v>0</v>
      </c>
      <c r="R22" s="103">
        <f t="shared" si="3"/>
        <v>0</v>
      </c>
      <c r="S22" s="103">
        <f t="shared" si="4"/>
        <v>0</v>
      </c>
      <c r="T22" s="111" t="s">
        <v>47</v>
      </c>
      <c r="U22" s="104">
        <f t="shared" si="6"/>
        <v>0</v>
      </c>
      <c r="V22" s="106">
        <f t="shared" si="7"/>
        <v>0</v>
      </c>
    </row>
    <row r="23" spans="2:22">
      <c r="B23" s="109"/>
      <c r="C23" s="97" t="s">
        <v>73</v>
      </c>
      <c r="D23" s="99"/>
      <c r="E23" s="100">
        <v>1</v>
      </c>
      <c r="F23" s="100"/>
      <c r="G23" s="100"/>
      <c r="H23" s="111" t="s">
        <v>47</v>
      </c>
      <c r="I23" s="101"/>
      <c r="J23" s="113">
        <f>PMD750_770ltr_1x_per_4_weken</f>
        <v>0</v>
      </c>
      <c r="K23" s="110">
        <f>PMD750_770ltr_1_x_per_2_weken</f>
        <v>0</v>
      </c>
      <c r="L23" s="110">
        <f>PMD750_770ltr_1_x_per_week</f>
        <v>0</v>
      </c>
      <c r="M23" s="110">
        <f>PMD750_770ltr_2x_per_week</f>
        <v>0</v>
      </c>
      <c r="N23" s="111" t="s">
        <v>47</v>
      </c>
      <c r="O23" s="112">
        <f>PMD750_770ltr_extra_lediging</f>
        <v>0</v>
      </c>
      <c r="P23" s="102">
        <f t="shared" si="1"/>
        <v>0</v>
      </c>
      <c r="Q23" s="103">
        <f t="shared" si="2"/>
        <v>0</v>
      </c>
      <c r="R23" s="103">
        <f t="shared" si="3"/>
        <v>0</v>
      </c>
      <c r="S23" s="103">
        <f t="shared" si="4"/>
        <v>0</v>
      </c>
      <c r="T23" s="111" t="s">
        <v>47</v>
      </c>
      <c r="U23" s="104">
        <f t="shared" si="6"/>
        <v>0</v>
      </c>
      <c r="V23" s="106">
        <f t="shared" si="7"/>
        <v>0</v>
      </c>
    </row>
    <row r="24" spans="2:22">
      <c r="B24" s="109"/>
      <c r="C24" s="97" t="s">
        <v>74</v>
      </c>
      <c r="D24" s="99"/>
      <c r="E24" s="100"/>
      <c r="F24" s="100"/>
      <c r="G24" s="100"/>
      <c r="H24" s="111" t="s">
        <v>47</v>
      </c>
      <c r="I24" s="101"/>
      <c r="J24" s="113">
        <f>PMD1000ltr_1x_per_4_weken</f>
        <v>0</v>
      </c>
      <c r="K24" s="110">
        <f>PMD1000ltr_1_x_per_2_weken</f>
        <v>0</v>
      </c>
      <c r="L24" s="110">
        <f>PMD1000ltr_1_x_per_week</f>
        <v>0</v>
      </c>
      <c r="M24" s="110">
        <f>PMD1000ltr_2x_per_week</f>
        <v>0</v>
      </c>
      <c r="N24" s="111" t="s">
        <v>47</v>
      </c>
      <c r="O24" s="112">
        <f>PMD1000ltr_extra_lediging</f>
        <v>0</v>
      </c>
      <c r="P24" s="102">
        <f t="shared" si="1"/>
        <v>0</v>
      </c>
      <c r="Q24" s="103">
        <f t="shared" si="2"/>
        <v>0</v>
      </c>
      <c r="R24" s="103">
        <f t="shared" si="3"/>
        <v>0</v>
      </c>
      <c r="S24" s="103">
        <f t="shared" si="4"/>
        <v>0</v>
      </c>
      <c r="T24" s="111" t="s">
        <v>47</v>
      </c>
      <c r="U24" s="104">
        <f t="shared" si="6"/>
        <v>0</v>
      </c>
      <c r="V24" s="106">
        <f t="shared" si="7"/>
        <v>0</v>
      </c>
    </row>
    <row r="25" spans="2:22">
      <c r="B25" s="97"/>
      <c r="C25" s="97" t="s">
        <v>75</v>
      </c>
      <c r="D25" s="99"/>
      <c r="E25" s="100"/>
      <c r="F25" s="100"/>
      <c r="G25" s="100"/>
      <c r="H25" s="111" t="s">
        <v>47</v>
      </c>
      <c r="I25" s="101"/>
      <c r="J25" s="113">
        <f>PMD1100ltr_1x_per_4_weken</f>
        <v>0</v>
      </c>
      <c r="K25" s="110">
        <f>PMD1100ltr_1_x_per_2_weken</f>
        <v>0</v>
      </c>
      <c r="L25" s="110">
        <f>PMD1100ltr_1_x_per_week</f>
        <v>0</v>
      </c>
      <c r="M25" s="110">
        <f>PMD1100ltr_2x_per_week</f>
        <v>0</v>
      </c>
      <c r="N25" s="111" t="s">
        <v>47</v>
      </c>
      <c r="O25" s="112">
        <f>PMD1100ltr_extra_lediging</f>
        <v>0</v>
      </c>
      <c r="P25" s="102">
        <f t="shared" si="1"/>
        <v>0</v>
      </c>
      <c r="Q25" s="103">
        <f t="shared" si="2"/>
        <v>0</v>
      </c>
      <c r="R25" s="103">
        <f t="shared" si="3"/>
        <v>0</v>
      </c>
      <c r="S25" s="103">
        <f t="shared" si="4"/>
        <v>0</v>
      </c>
      <c r="T25" s="111" t="s">
        <v>47</v>
      </c>
      <c r="U25" s="104">
        <f t="shared" si="6"/>
        <v>0</v>
      </c>
      <c r="V25" s="106">
        <f t="shared" si="7"/>
        <v>0</v>
      </c>
    </row>
    <row r="26" spans="2:22">
      <c r="B26" s="109"/>
      <c r="C26" s="97" t="s">
        <v>126</v>
      </c>
      <c r="D26" s="99"/>
      <c r="E26" s="100"/>
      <c r="F26" s="100"/>
      <c r="G26" s="100"/>
      <c r="H26" s="111" t="s">
        <v>47</v>
      </c>
      <c r="I26" s="101"/>
      <c r="J26" s="113">
        <f>PD_240ltr_1x_per_4_weken</f>
        <v>0</v>
      </c>
      <c r="K26" s="110">
        <f>PD_240ltr_1_x_per_2_weken</f>
        <v>0</v>
      </c>
      <c r="L26" s="110">
        <f>PD_240ltr_1_x_per_week</f>
        <v>0</v>
      </c>
      <c r="M26" s="110">
        <f>PD_240ltr_2x_per_week</f>
        <v>0</v>
      </c>
      <c r="N26" s="111" t="s">
        <v>47</v>
      </c>
      <c r="O26" s="112">
        <f>PD_240ltr_extra_lediging</f>
        <v>0</v>
      </c>
      <c r="P26" s="102">
        <f t="shared" ref="P26:P31" si="8">(D26*J26)*12</f>
        <v>0</v>
      </c>
      <c r="Q26" s="103">
        <f t="shared" ref="Q26:Q31" si="9">(E26*K26)*12</f>
        <v>0</v>
      </c>
      <c r="R26" s="103">
        <f t="shared" ref="R26:R31" si="10">(F26*L26)*12</f>
        <v>0</v>
      </c>
      <c r="S26" s="103">
        <f t="shared" ref="S26:S31" si="11">(G26*M26)*12</f>
        <v>0</v>
      </c>
      <c r="T26" s="111" t="s">
        <v>47</v>
      </c>
      <c r="U26" s="104">
        <f t="shared" ref="U26:U31" si="12">(I26*O26)*12</f>
        <v>0</v>
      </c>
      <c r="V26" s="106">
        <f t="shared" ref="V26:V31" si="13">SUM(P26:U26)</f>
        <v>0</v>
      </c>
    </row>
    <row r="27" spans="2:22">
      <c r="B27" s="109"/>
      <c r="C27" s="97" t="s">
        <v>127</v>
      </c>
      <c r="D27" s="99"/>
      <c r="E27" s="100"/>
      <c r="F27" s="100"/>
      <c r="G27" s="100"/>
      <c r="H27" s="111" t="s">
        <v>47</v>
      </c>
      <c r="I27" s="101"/>
      <c r="J27" s="113">
        <f>PD_500ltr_1x_per_4_weken</f>
        <v>0</v>
      </c>
      <c r="K27" s="110">
        <f>PD_500ltr_1_x_per_2_weken</f>
        <v>0</v>
      </c>
      <c r="L27" s="110">
        <f>PD_500ltr_1_x_per_week</f>
        <v>0</v>
      </c>
      <c r="M27" s="110">
        <f>PD_500ltr_2x_per_week</f>
        <v>0</v>
      </c>
      <c r="N27" s="111" t="s">
        <v>47</v>
      </c>
      <c r="O27" s="112">
        <f>PD_500ltr_extra_lediging</f>
        <v>0</v>
      </c>
      <c r="P27" s="102">
        <f t="shared" si="8"/>
        <v>0</v>
      </c>
      <c r="Q27" s="103">
        <f t="shared" si="9"/>
        <v>0</v>
      </c>
      <c r="R27" s="103">
        <f t="shared" si="10"/>
        <v>0</v>
      </c>
      <c r="S27" s="103">
        <f t="shared" si="11"/>
        <v>0</v>
      </c>
      <c r="T27" s="111" t="s">
        <v>47</v>
      </c>
      <c r="U27" s="104">
        <f t="shared" si="12"/>
        <v>0</v>
      </c>
      <c r="V27" s="106">
        <f t="shared" si="13"/>
        <v>0</v>
      </c>
    </row>
    <row r="28" spans="2:22">
      <c r="B28" s="109"/>
      <c r="C28" s="97" t="s">
        <v>128</v>
      </c>
      <c r="D28" s="99"/>
      <c r="E28" s="100"/>
      <c r="F28" s="100"/>
      <c r="G28" s="100"/>
      <c r="H28" s="111" t="s">
        <v>47</v>
      </c>
      <c r="I28" s="101"/>
      <c r="J28" s="113">
        <f>PD_660ltr_1x_per_4_weken</f>
        <v>0</v>
      </c>
      <c r="K28" s="110">
        <f>PD_660ltr_1_x_per_2_weken</f>
        <v>0</v>
      </c>
      <c r="L28" s="110">
        <f>PD_660ltr_1_x_per_week</f>
        <v>0</v>
      </c>
      <c r="M28" s="110">
        <f>PD_660ltr_2x_per_week</f>
        <v>0</v>
      </c>
      <c r="N28" s="111" t="s">
        <v>47</v>
      </c>
      <c r="O28" s="112">
        <f>PD_660ltr_extra_lediging</f>
        <v>0</v>
      </c>
      <c r="P28" s="102">
        <f t="shared" si="8"/>
        <v>0</v>
      </c>
      <c r="Q28" s="103">
        <f t="shared" si="9"/>
        <v>0</v>
      </c>
      <c r="R28" s="103">
        <f t="shared" si="10"/>
        <v>0</v>
      </c>
      <c r="S28" s="103">
        <f t="shared" si="11"/>
        <v>0</v>
      </c>
      <c r="T28" s="111" t="s">
        <v>47</v>
      </c>
      <c r="U28" s="104">
        <f t="shared" si="12"/>
        <v>0</v>
      </c>
      <c r="V28" s="106">
        <f t="shared" si="13"/>
        <v>0</v>
      </c>
    </row>
    <row r="29" spans="2:22">
      <c r="B29" s="109"/>
      <c r="C29" s="97" t="s">
        <v>129</v>
      </c>
      <c r="D29" s="99"/>
      <c r="E29" s="100"/>
      <c r="F29" s="100"/>
      <c r="G29" s="100"/>
      <c r="H29" s="111" t="s">
        <v>47</v>
      </c>
      <c r="I29" s="101"/>
      <c r="J29" s="113">
        <f>PD_750_770ltr_1x_per_4_weken</f>
        <v>0</v>
      </c>
      <c r="K29" s="110">
        <f>PD_750_770ltr_1_x_per_2_weken</f>
        <v>0</v>
      </c>
      <c r="L29" s="110">
        <f>PD_750_770ltr_1_x_per_week</f>
        <v>0</v>
      </c>
      <c r="M29" s="110">
        <f>PD_750_770ltr_2x_per_week</f>
        <v>0</v>
      </c>
      <c r="N29" s="111" t="s">
        <v>47</v>
      </c>
      <c r="O29" s="112">
        <f>PD_750_770ltr_extra_lediging</f>
        <v>0</v>
      </c>
      <c r="P29" s="102">
        <f t="shared" si="8"/>
        <v>0</v>
      </c>
      <c r="Q29" s="103">
        <f t="shared" si="9"/>
        <v>0</v>
      </c>
      <c r="R29" s="103">
        <f t="shared" si="10"/>
        <v>0</v>
      </c>
      <c r="S29" s="103">
        <f t="shared" si="11"/>
        <v>0</v>
      </c>
      <c r="T29" s="111" t="s">
        <v>47</v>
      </c>
      <c r="U29" s="104">
        <f t="shared" si="12"/>
        <v>0</v>
      </c>
      <c r="V29" s="106">
        <f t="shared" si="13"/>
        <v>0</v>
      </c>
    </row>
    <row r="30" spans="2:22">
      <c r="B30" s="109"/>
      <c r="C30" s="97" t="s">
        <v>130</v>
      </c>
      <c r="D30" s="99"/>
      <c r="E30" s="100"/>
      <c r="F30" s="100"/>
      <c r="G30" s="100"/>
      <c r="H30" s="111" t="s">
        <v>47</v>
      </c>
      <c r="I30" s="101"/>
      <c r="J30" s="113">
        <f>PD_1000ltr_1x_per_4_weken</f>
        <v>0</v>
      </c>
      <c r="K30" s="110">
        <f>PD_1000ltr_1_x_per_2_weken</f>
        <v>0</v>
      </c>
      <c r="L30" s="110">
        <f>PD_1000ltr_1_x_per_week</f>
        <v>0</v>
      </c>
      <c r="M30" s="110">
        <f>PD_1000ltr_2x_per_week</f>
        <v>0</v>
      </c>
      <c r="N30" s="111" t="s">
        <v>47</v>
      </c>
      <c r="O30" s="112">
        <f>PD_1000ltr_extra_lediging</f>
        <v>0</v>
      </c>
      <c r="P30" s="102">
        <f t="shared" si="8"/>
        <v>0</v>
      </c>
      <c r="Q30" s="103">
        <f t="shared" si="9"/>
        <v>0</v>
      </c>
      <c r="R30" s="103">
        <f t="shared" si="10"/>
        <v>0</v>
      </c>
      <c r="S30" s="103">
        <f t="shared" si="11"/>
        <v>0</v>
      </c>
      <c r="T30" s="111" t="s">
        <v>47</v>
      </c>
      <c r="U30" s="104">
        <f t="shared" si="12"/>
        <v>0</v>
      </c>
      <c r="V30" s="106">
        <f t="shared" si="13"/>
        <v>0</v>
      </c>
    </row>
    <row r="31" spans="2:22">
      <c r="B31" s="97"/>
      <c r="C31" s="97" t="s">
        <v>131</v>
      </c>
      <c r="D31" s="99"/>
      <c r="E31" s="100"/>
      <c r="F31" s="100"/>
      <c r="G31" s="100"/>
      <c r="H31" s="111" t="s">
        <v>47</v>
      </c>
      <c r="I31" s="101"/>
      <c r="J31" s="113">
        <f>PD_1100ltr_1x_per_4_weken</f>
        <v>0</v>
      </c>
      <c r="K31" s="110">
        <f>PD_1100ltr_1_x_per_2_weken</f>
        <v>0</v>
      </c>
      <c r="L31" s="110">
        <f>PD_1100ltr_1_x_per_week</f>
        <v>0</v>
      </c>
      <c r="M31" s="171">
        <f>PD_1100ltr_2x_per_week</f>
        <v>0</v>
      </c>
      <c r="N31" s="111" t="s">
        <v>47</v>
      </c>
      <c r="O31" s="112">
        <f>PD_1100ltr_extra_lediging</f>
        <v>0</v>
      </c>
      <c r="P31" s="102">
        <f t="shared" si="8"/>
        <v>0</v>
      </c>
      <c r="Q31" s="103">
        <f t="shared" si="9"/>
        <v>0</v>
      </c>
      <c r="R31" s="103">
        <f t="shared" si="10"/>
        <v>0</v>
      </c>
      <c r="S31" s="103">
        <f t="shared" si="11"/>
        <v>0</v>
      </c>
      <c r="T31" s="111" t="s">
        <v>47</v>
      </c>
      <c r="U31" s="104">
        <f t="shared" si="12"/>
        <v>0</v>
      </c>
      <c r="V31" s="106">
        <f t="shared" si="13"/>
        <v>0</v>
      </c>
    </row>
    <row r="32" spans="2:22">
      <c r="B32" s="97"/>
      <c r="C32" s="97" t="s">
        <v>83</v>
      </c>
      <c r="D32" s="113" t="s">
        <v>47</v>
      </c>
      <c r="E32" s="100"/>
      <c r="F32" s="100"/>
      <c r="G32" s="100"/>
      <c r="H32" s="111" t="s">
        <v>47</v>
      </c>
      <c r="I32" s="101"/>
      <c r="J32" s="113" t="s">
        <v>47</v>
      </c>
      <c r="K32" s="110">
        <f>GFT120ltr_1x_2_per_weken</f>
        <v>0</v>
      </c>
      <c r="L32" s="110">
        <f>GFT120ltr_1_x_per_week</f>
        <v>0</v>
      </c>
      <c r="M32" s="110">
        <f>GFT120ltr_2x_per_week</f>
        <v>0</v>
      </c>
      <c r="N32" s="111" t="s">
        <v>47</v>
      </c>
      <c r="O32" s="112">
        <f>GFT120ltr_extra_lediging</f>
        <v>0</v>
      </c>
      <c r="P32" s="102" t="s">
        <v>47</v>
      </c>
      <c r="Q32" s="103">
        <f t="shared" si="2"/>
        <v>0</v>
      </c>
      <c r="R32" s="103">
        <f t="shared" si="3"/>
        <v>0</v>
      </c>
      <c r="S32" s="103">
        <f t="shared" si="4"/>
        <v>0</v>
      </c>
      <c r="T32" s="111" t="s">
        <v>47</v>
      </c>
      <c r="U32" s="104">
        <f t="shared" si="6"/>
        <v>0</v>
      </c>
      <c r="V32" s="106">
        <f>SUM(P32:U32)</f>
        <v>0</v>
      </c>
    </row>
    <row r="33" spans="2:23">
      <c r="B33" s="97"/>
      <c r="C33" s="97" t="s">
        <v>82</v>
      </c>
      <c r="D33" s="113" t="s">
        <v>47</v>
      </c>
      <c r="E33" s="100"/>
      <c r="F33" s="100">
        <v>1</v>
      </c>
      <c r="G33" s="100"/>
      <c r="H33" s="111" t="s">
        <v>47</v>
      </c>
      <c r="I33" s="101"/>
      <c r="J33" s="113" t="s">
        <v>47</v>
      </c>
      <c r="K33" s="110">
        <f>GFT240ltr_1x_2_per_weken</f>
        <v>0</v>
      </c>
      <c r="L33" s="110">
        <f>GFT240ltr_1_x_per_week</f>
        <v>0</v>
      </c>
      <c r="M33" s="110">
        <f>GFT240ltr_2x_per_week</f>
        <v>0</v>
      </c>
      <c r="N33" s="111" t="s">
        <v>47</v>
      </c>
      <c r="O33" s="112">
        <f>GFT240ltr_extra_lediging</f>
        <v>0</v>
      </c>
      <c r="P33" s="102" t="s">
        <v>47</v>
      </c>
      <c r="Q33" s="103">
        <f t="shared" si="2"/>
        <v>0</v>
      </c>
      <c r="R33" s="103">
        <f t="shared" si="3"/>
        <v>0</v>
      </c>
      <c r="S33" s="103">
        <f t="shared" si="4"/>
        <v>0</v>
      </c>
      <c r="T33" s="111" t="s">
        <v>47</v>
      </c>
      <c r="U33" s="104">
        <f t="shared" si="6"/>
        <v>0</v>
      </c>
      <c r="V33" s="106">
        <f t="shared" si="7"/>
        <v>0</v>
      </c>
    </row>
    <row r="34" spans="2:23">
      <c r="B34" s="97"/>
      <c r="C34" s="97" t="s">
        <v>76</v>
      </c>
      <c r="D34" s="99">
        <v>2</v>
      </c>
      <c r="E34" s="100">
        <v>1</v>
      </c>
      <c r="F34" s="100"/>
      <c r="G34" s="100"/>
      <c r="H34" s="111" t="s">
        <v>47</v>
      </c>
      <c r="I34" s="101"/>
      <c r="J34" s="113">
        <f>Vertrouwelijk_papier240ltr_1x_per_4_weken</f>
        <v>0</v>
      </c>
      <c r="K34" s="110">
        <f>Vertrouwelijk_papier240ltr_1_x_per_2_weken</f>
        <v>0</v>
      </c>
      <c r="L34" s="110">
        <f>Vertrouwelijk_papier240ltr_1_x_per_week</f>
        <v>0</v>
      </c>
      <c r="M34" s="110">
        <f>Vertrouwelijk_papier240ltr_2x_per_week</f>
        <v>0</v>
      </c>
      <c r="N34" s="111" t="s">
        <v>47</v>
      </c>
      <c r="O34" s="112">
        <f>Vertrouwelijk_papier240ltr_extra_lediging</f>
        <v>0</v>
      </c>
      <c r="P34" s="102">
        <f t="shared" ref="P34:P37" si="14">(D34*J34)*12</f>
        <v>0</v>
      </c>
      <c r="Q34" s="103">
        <f t="shared" si="2"/>
        <v>0</v>
      </c>
      <c r="R34" s="103">
        <f t="shared" si="3"/>
        <v>0</v>
      </c>
      <c r="S34" s="103">
        <f t="shared" si="4"/>
        <v>0</v>
      </c>
      <c r="T34" s="111" t="s">
        <v>47</v>
      </c>
      <c r="U34" s="104">
        <f t="shared" si="6"/>
        <v>0</v>
      </c>
      <c r="V34" s="106">
        <f t="shared" si="7"/>
        <v>0</v>
      </c>
    </row>
    <row r="35" spans="2:23">
      <c r="B35" s="97"/>
      <c r="C35" s="97" t="s">
        <v>77</v>
      </c>
      <c r="D35" s="99"/>
      <c r="E35" s="100"/>
      <c r="F35" s="100"/>
      <c r="G35" s="100"/>
      <c r="H35" s="111" t="s">
        <v>47</v>
      </c>
      <c r="I35" s="101"/>
      <c r="J35" s="113">
        <f>Vertrouwelijk_papier500ltr_1x_per_4_weken</f>
        <v>0</v>
      </c>
      <c r="K35" s="110">
        <f>Vertrouwelijk_papier500ltr_1_x_per_2_weken</f>
        <v>0</v>
      </c>
      <c r="L35" s="110">
        <f>Vertrouwelijk_papier500ltr_1_x_per_week</f>
        <v>0</v>
      </c>
      <c r="M35" s="110">
        <f>Vertrouwelijk_papier500ltr_2x_per_week</f>
        <v>0</v>
      </c>
      <c r="N35" s="111" t="s">
        <v>47</v>
      </c>
      <c r="O35" s="112">
        <f>Vertrouwelijk_papier500ltr_extra_lediging</f>
        <v>0</v>
      </c>
      <c r="P35" s="102">
        <f t="shared" si="14"/>
        <v>0</v>
      </c>
      <c r="Q35" s="103">
        <f t="shared" si="2"/>
        <v>0</v>
      </c>
      <c r="R35" s="103">
        <f t="shared" si="3"/>
        <v>0</v>
      </c>
      <c r="S35" s="103">
        <f t="shared" si="4"/>
        <v>0</v>
      </c>
      <c r="T35" s="111" t="s">
        <v>47</v>
      </c>
      <c r="U35" s="104">
        <f t="shared" si="6"/>
        <v>0</v>
      </c>
      <c r="V35" s="106">
        <f t="shared" si="7"/>
        <v>0</v>
      </c>
    </row>
    <row r="36" spans="2:23">
      <c r="B36" s="97"/>
      <c r="C36" s="97" t="s">
        <v>78</v>
      </c>
      <c r="D36" s="99"/>
      <c r="E36" s="100"/>
      <c r="F36" s="100"/>
      <c r="G36" s="100"/>
      <c r="H36" s="111" t="s">
        <v>47</v>
      </c>
      <c r="I36" s="101"/>
      <c r="J36" s="113">
        <f>Vertrouwelijk_papier660ltr_1x_per_4_weken</f>
        <v>0</v>
      </c>
      <c r="K36" s="110">
        <f>Vertrouwelijk_papier660ltr_1_x_per_2_weken</f>
        <v>0</v>
      </c>
      <c r="L36" s="110">
        <f>Vertrouwelijk_papier660ltr_1_x_per_week</f>
        <v>0</v>
      </c>
      <c r="M36" s="110">
        <f>Vertrouwelijk_papier660ltr_2x_per_week</f>
        <v>0</v>
      </c>
      <c r="N36" s="111" t="s">
        <v>47</v>
      </c>
      <c r="O36" s="112">
        <f>Vertrouwelijk_papier660ltr_extra_lediging</f>
        <v>0</v>
      </c>
      <c r="P36" s="102">
        <f t="shared" si="14"/>
        <v>0</v>
      </c>
      <c r="Q36" s="103">
        <f t="shared" si="2"/>
        <v>0</v>
      </c>
      <c r="R36" s="103">
        <f t="shared" si="3"/>
        <v>0</v>
      </c>
      <c r="S36" s="103">
        <f t="shared" si="4"/>
        <v>0</v>
      </c>
      <c r="T36" s="111" t="s">
        <v>47</v>
      </c>
      <c r="U36" s="104">
        <f t="shared" si="6"/>
        <v>0</v>
      </c>
      <c r="V36" s="106">
        <f t="shared" si="7"/>
        <v>0</v>
      </c>
    </row>
    <row r="37" spans="2:23" ht="14.65" thickBot="1">
      <c r="B37" s="114"/>
      <c r="C37" s="114" t="s">
        <v>102</v>
      </c>
      <c r="D37" s="115">
        <f>1+1</f>
        <v>2</v>
      </c>
      <c r="E37" s="116"/>
      <c r="F37" s="116"/>
      <c r="G37" s="117" t="s">
        <v>47</v>
      </c>
      <c r="H37" s="118" t="s">
        <v>47</v>
      </c>
      <c r="I37" s="119"/>
      <c r="J37" s="120">
        <f>Glas240lt_1x_per_4_weken</f>
        <v>0</v>
      </c>
      <c r="K37" s="121">
        <f>Glas240ltr_1_x_per_2_weken</f>
        <v>0</v>
      </c>
      <c r="L37" s="121">
        <f>Glas240ltr_1_x_per_week</f>
        <v>0</v>
      </c>
      <c r="M37" s="117" t="s">
        <v>47</v>
      </c>
      <c r="N37" s="118" t="s">
        <v>47</v>
      </c>
      <c r="O37" s="122">
        <f>Glas240ltr_extra_lediging</f>
        <v>0</v>
      </c>
      <c r="P37" s="120">
        <f t="shared" si="14"/>
        <v>0</v>
      </c>
      <c r="Q37" s="121">
        <f t="shared" si="2"/>
        <v>0</v>
      </c>
      <c r="R37" s="121">
        <f t="shared" si="3"/>
        <v>0</v>
      </c>
      <c r="S37" s="123" t="s">
        <v>47</v>
      </c>
      <c r="T37" s="121" t="s">
        <v>47</v>
      </c>
      <c r="U37" s="123">
        <f t="shared" si="6"/>
        <v>0</v>
      </c>
      <c r="V37" s="124">
        <f t="shared" si="7"/>
        <v>0</v>
      </c>
    </row>
    <row r="38" spans="2:23" ht="14.65" thickBot="1">
      <c r="J38" s="125"/>
      <c r="K38" s="125"/>
      <c r="L38" s="125"/>
      <c r="M38" s="125"/>
      <c r="N38" s="125"/>
      <c r="P38" s="125"/>
      <c r="Q38" s="125"/>
      <c r="R38" s="125"/>
      <c r="S38" s="125"/>
      <c r="T38" s="125"/>
      <c r="U38" s="125"/>
      <c r="V38" s="126"/>
      <c r="W38" s="127">
        <f>SUM(V4:V37)</f>
        <v>0</v>
      </c>
    </row>
    <row r="39" spans="2:23" ht="14.65" thickBot="1">
      <c r="J39" s="125"/>
      <c r="K39" s="125"/>
      <c r="L39" s="125"/>
      <c r="M39" s="125"/>
      <c r="N39" s="125"/>
      <c r="P39" s="125"/>
      <c r="Q39" s="125"/>
      <c r="R39" s="125"/>
      <c r="S39" s="125"/>
      <c r="T39" s="125"/>
      <c r="U39" s="125"/>
      <c r="V39" s="126"/>
      <c r="W39" s="128"/>
    </row>
    <row r="40" spans="2:23" ht="30.4" thickBot="1">
      <c r="B40" s="71"/>
      <c r="D40" s="214" t="s">
        <v>93</v>
      </c>
      <c r="E40" s="215"/>
      <c r="F40" s="215"/>
      <c r="G40" s="215"/>
      <c r="H40" s="215"/>
      <c r="I40" s="216"/>
      <c r="J40" s="215" t="s">
        <v>88</v>
      </c>
      <c r="K40" s="215"/>
      <c r="L40" s="215"/>
      <c r="M40" s="215"/>
      <c r="N40" s="215"/>
      <c r="O40" s="216"/>
      <c r="P40" s="217" t="s">
        <v>35</v>
      </c>
      <c r="Q40" s="217"/>
      <c r="R40" s="217"/>
      <c r="S40" s="217"/>
      <c r="T40" s="217"/>
      <c r="U40" s="217"/>
      <c r="V40" s="218"/>
      <c r="W40" s="72" t="s">
        <v>105</v>
      </c>
    </row>
    <row r="41" spans="2:23" s="136" customFormat="1" ht="85.9" thickBot="1">
      <c r="B41" s="129" t="s">
        <v>2</v>
      </c>
      <c r="C41" s="130" t="s">
        <v>37</v>
      </c>
      <c r="D41" s="75" t="s">
        <v>45</v>
      </c>
      <c r="E41" s="77" t="s">
        <v>84</v>
      </c>
      <c r="F41" s="131" t="s">
        <v>94</v>
      </c>
      <c r="G41" s="131" t="s">
        <v>121</v>
      </c>
      <c r="H41" s="131"/>
      <c r="I41" s="132"/>
      <c r="J41" s="77" t="s">
        <v>46</v>
      </c>
      <c r="K41" s="77" t="s">
        <v>85</v>
      </c>
      <c r="L41" s="131" t="s">
        <v>86</v>
      </c>
      <c r="M41" s="77" t="s">
        <v>87</v>
      </c>
      <c r="N41" s="133"/>
      <c r="O41" s="132"/>
      <c r="P41" s="75" t="s">
        <v>96</v>
      </c>
      <c r="Q41" s="77" t="s">
        <v>95</v>
      </c>
      <c r="R41" s="131" t="s">
        <v>97</v>
      </c>
      <c r="S41" s="77" t="s">
        <v>98</v>
      </c>
      <c r="T41" s="134"/>
      <c r="U41" s="134"/>
      <c r="V41" s="135"/>
    </row>
    <row r="42" spans="2:23">
      <c r="B42" s="87"/>
      <c r="C42" s="88" t="s">
        <v>38</v>
      </c>
      <c r="D42" s="89"/>
      <c r="E42" s="137"/>
      <c r="F42" s="90" t="s">
        <v>47</v>
      </c>
      <c r="G42" s="90" t="s">
        <v>47</v>
      </c>
      <c r="H42" s="90"/>
      <c r="I42" s="91"/>
      <c r="J42" s="89">
        <f>Rest240ltr_Lediging_op_Afroep</f>
        <v>0</v>
      </c>
      <c r="K42" s="90">
        <f>Rest240ltr_Huur_container</f>
        <v>0</v>
      </c>
      <c r="L42" s="90" t="s">
        <v>47</v>
      </c>
      <c r="M42" s="90" t="s">
        <v>47</v>
      </c>
      <c r="N42" s="90"/>
      <c r="O42" s="138"/>
      <c r="P42" s="139">
        <f>D42*J42</f>
        <v>0</v>
      </c>
      <c r="Q42" s="93">
        <f>(E42*K42)*12</f>
        <v>0</v>
      </c>
      <c r="R42" s="140" t="s">
        <v>47</v>
      </c>
      <c r="S42" s="138" t="s">
        <v>47</v>
      </c>
      <c r="T42" s="141"/>
      <c r="U42" s="142"/>
      <c r="V42" s="143">
        <f>SUM(P42:U42)</f>
        <v>0</v>
      </c>
    </row>
    <row r="43" spans="2:23">
      <c r="B43" s="97"/>
      <c r="C43" s="97" t="s">
        <v>62</v>
      </c>
      <c r="D43" s="99"/>
      <c r="E43" s="144"/>
      <c r="F43" s="100" t="s">
        <v>47</v>
      </c>
      <c r="G43" s="100" t="s">
        <v>47</v>
      </c>
      <c r="H43" s="100"/>
      <c r="I43" s="101"/>
      <c r="J43" s="99">
        <f>Rest500ltr_Lediging_op_Afroep</f>
        <v>0</v>
      </c>
      <c r="K43" s="100">
        <f>Rest500ltr_Huur_container</f>
        <v>0</v>
      </c>
      <c r="L43" s="100" t="s">
        <v>47</v>
      </c>
      <c r="M43" s="100" t="s">
        <v>47</v>
      </c>
      <c r="N43" s="100"/>
      <c r="O43" s="145"/>
      <c r="P43" s="146">
        <f t="shared" ref="P43:P81" si="15">D43*J43</f>
        <v>0</v>
      </c>
      <c r="Q43" s="103">
        <f t="shared" ref="Q43:Q81" si="16">(E43*K43)*12</f>
        <v>0</v>
      </c>
      <c r="R43" s="147" t="s">
        <v>47</v>
      </c>
      <c r="S43" s="145" t="s">
        <v>47</v>
      </c>
      <c r="T43" s="148"/>
      <c r="U43" s="149"/>
      <c r="V43" s="143">
        <f t="shared" ref="V43:V81" si="17">SUM(P43:U43)</f>
        <v>0</v>
      </c>
    </row>
    <row r="44" spans="2:23">
      <c r="B44" s="97"/>
      <c r="C44" s="97" t="s">
        <v>39</v>
      </c>
      <c r="D44" s="99">
        <v>52</v>
      </c>
      <c r="E44" s="144">
        <v>1</v>
      </c>
      <c r="F44" s="100" t="s">
        <v>47</v>
      </c>
      <c r="G44" s="100" t="s">
        <v>47</v>
      </c>
      <c r="H44" s="100"/>
      <c r="I44" s="101"/>
      <c r="J44" s="99">
        <f>Rest660ltr_Lediging_op_Afroep</f>
        <v>0</v>
      </c>
      <c r="K44" s="100">
        <f>Rest660ltr_Huur_container</f>
        <v>0</v>
      </c>
      <c r="L44" s="100" t="s">
        <v>47</v>
      </c>
      <c r="M44" s="100" t="s">
        <v>47</v>
      </c>
      <c r="N44" s="100"/>
      <c r="O44" s="145"/>
      <c r="P44" s="146">
        <f t="shared" si="15"/>
        <v>0</v>
      </c>
      <c r="Q44" s="103">
        <f t="shared" si="16"/>
        <v>0</v>
      </c>
      <c r="R44" s="147" t="s">
        <v>47</v>
      </c>
      <c r="S44" s="145" t="s">
        <v>47</v>
      </c>
      <c r="T44" s="148"/>
      <c r="U44" s="149"/>
      <c r="V44" s="143">
        <f t="shared" si="17"/>
        <v>0</v>
      </c>
    </row>
    <row r="45" spans="2:23">
      <c r="B45" s="97"/>
      <c r="C45" s="97" t="s">
        <v>66</v>
      </c>
      <c r="D45" s="99"/>
      <c r="E45" s="144"/>
      <c r="F45" s="100" t="s">
        <v>47</v>
      </c>
      <c r="G45" s="100" t="s">
        <v>47</v>
      </c>
      <c r="H45" s="100"/>
      <c r="I45" s="101"/>
      <c r="J45" s="99">
        <f>Rest750_770ltr_Lediging_op_Afroep</f>
        <v>0</v>
      </c>
      <c r="K45" s="100">
        <f>Rest750_770ltr_Huur_container</f>
        <v>0</v>
      </c>
      <c r="L45" s="100" t="s">
        <v>47</v>
      </c>
      <c r="M45" s="100" t="s">
        <v>47</v>
      </c>
      <c r="N45" s="100"/>
      <c r="O45" s="145"/>
      <c r="P45" s="146">
        <f t="shared" si="15"/>
        <v>0</v>
      </c>
      <c r="Q45" s="103">
        <f t="shared" si="16"/>
        <v>0</v>
      </c>
      <c r="R45" s="147" t="s">
        <v>47</v>
      </c>
      <c r="S45" s="145" t="s">
        <v>47</v>
      </c>
      <c r="T45" s="148"/>
      <c r="U45" s="149"/>
      <c r="V45" s="143">
        <f t="shared" si="17"/>
        <v>0</v>
      </c>
    </row>
    <row r="46" spans="2:23">
      <c r="B46" s="97"/>
      <c r="C46" s="97" t="s">
        <v>63</v>
      </c>
      <c r="D46" s="99"/>
      <c r="E46" s="144"/>
      <c r="F46" s="100" t="s">
        <v>47</v>
      </c>
      <c r="G46" s="100" t="s">
        <v>47</v>
      </c>
      <c r="H46" s="100"/>
      <c r="I46" s="101"/>
      <c r="J46" s="99">
        <f>Rest1000ltr_Lediging_op_Afroep</f>
        <v>0</v>
      </c>
      <c r="K46" s="100">
        <f>Rest1000ltr_Huur_container</f>
        <v>0</v>
      </c>
      <c r="L46" s="100" t="s">
        <v>47</v>
      </c>
      <c r="M46" s="100" t="s">
        <v>47</v>
      </c>
      <c r="N46" s="100"/>
      <c r="O46" s="145"/>
      <c r="P46" s="146">
        <f t="shared" si="15"/>
        <v>0</v>
      </c>
      <c r="Q46" s="103">
        <f t="shared" si="16"/>
        <v>0</v>
      </c>
      <c r="R46" s="147" t="s">
        <v>47</v>
      </c>
      <c r="S46" s="145" t="s">
        <v>47</v>
      </c>
      <c r="T46" s="148"/>
      <c r="U46" s="149"/>
      <c r="V46" s="143">
        <f t="shared" si="17"/>
        <v>0</v>
      </c>
    </row>
    <row r="47" spans="2:23">
      <c r="B47" s="97"/>
      <c r="C47" s="97" t="s">
        <v>64</v>
      </c>
      <c r="D47" s="99">
        <v>52</v>
      </c>
      <c r="E47" s="144">
        <v>1</v>
      </c>
      <c r="F47" s="100" t="s">
        <v>47</v>
      </c>
      <c r="G47" s="100" t="s">
        <v>47</v>
      </c>
      <c r="H47" s="100"/>
      <c r="I47" s="101"/>
      <c r="J47" s="99">
        <f>Rest1100ltr_Lediging_op_Afroep</f>
        <v>0</v>
      </c>
      <c r="K47" s="100">
        <f>Rest1100ltr_Huur_container</f>
        <v>0</v>
      </c>
      <c r="L47" s="100" t="s">
        <v>47</v>
      </c>
      <c r="M47" s="100" t="s">
        <v>47</v>
      </c>
      <c r="N47" s="100"/>
      <c r="O47" s="145"/>
      <c r="P47" s="146">
        <f t="shared" si="15"/>
        <v>0</v>
      </c>
      <c r="Q47" s="103">
        <f t="shared" si="16"/>
        <v>0</v>
      </c>
      <c r="R47" s="147" t="s">
        <v>47</v>
      </c>
      <c r="S47" s="145" t="s">
        <v>47</v>
      </c>
      <c r="T47" s="148"/>
      <c r="U47" s="149"/>
      <c r="V47" s="143">
        <f t="shared" si="17"/>
        <v>0</v>
      </c>
    </row>
    <row r="48" spans="2:23">
      <c r="B48" s="97"/>
      <c r="C48" s="97" t="s">
        <v>65</v>
      </c>
      <c r="D48" s="99"/>
      <c r="E48" s="144"/>
      <c r="F48" s="100" t="s">
        <v>47</v>
      </c>
      <c r="G48" s="100" t="s">
        <v>47</v>
      </c>
      <c r="H48" s="100"/>
      <c r="I48" s="101"/>
      <c r="J48" s="99">
        <f>Rest1300ltr_Lediging_op_Afroep</f>
        <v>0</v>
      </c>
      <c r="K48" s="100">
        <f>Rest1300ltr_Huur_container</f>
        <v>0</v>
      </c>
      <c r="L48" s="100" t="s">
        <v>47</v>
      </c>
      <c r="M48" s="100" t="s">
        <v>47</v>
      </c>
      <c r="N48" s="100"/>
      <c r="O48" s="145"/>
      <c r="P48" s="146">
        <f t="shared" si="15"/>
        <v>0</v>
      </c>
      <c r="Q48" s="103">
        <f t="shared" si="16"/>
        <v>0</v>
      </c>
      <c r="R48" s="147" t="s">
        <v>47</v>
      </c>
      <c r="S48" s="145" t="s">
        <v>47</v>
      </c>
      <c r="T48" s="148"/>
      <c r="U48" s="149"/>
      <c r="V48" s="143">
        <f t="shared" si="17"/>
        <v>0</v>
      </c>
    </row>
    <row r="49" spans="2:22">
      <c r="B49" s="97"/>
      <c r="C49" s="97" t="s">
        <v>40</v>
      </c>
      <c r="D49" s="99"/>
      <c r="E49" s="144"/>
      <c r="F49" s="100" t="s">
        <v>47</v>
      </c>
      <c r="G49" s="100" t="s">
        <v>47</v>
      </c>
      <c r="H49" s="100"/>
      <c r="I49" s="101"/>
      <c r="J49" s="99">
        <f>Rest1600ltr_Lediging_op_Afroep</f>
        <v>0</v>
      </c>
      <c r="K49" s="100">
        <f>Rest1600ltr_Huur_container</f>
        <v>0</v>
      </c>
      <c r="L49" s="100" t="s">
        <v>47</v>
      </c>
      <c r="M49" s="100" t="s">
        <v>47</v>
      </c>
      <c r="N49" s="100"/>
      <c r="O49" s="145"/>
      <c r="P49" s="146">
        <f t="shared" si="15"/>
        <v>0</v>
      </c>
      <c r="Q49" s="103">
        <f t="shared" si="16"/>
        <v>0</v>
      </c>
      <c r="R49" s="147" t="s">
        <v>47</v>
      </c>
      <c r="S49" s="145" t="s">
        <v>47</v>
      </c>
      <c r="T49" s="148"/>
      <c r="U49" s="149"/>
      <c r="V49" s="143">
        <f t="shared" si="17"/>
        <v>0</v>
      </c>
    </row>
    <row r="50" spans="2:22">
      <c r="B50" s="97"/>
      <c r="C50" s="97" t="s">
        <v>41</v>
      </c>
      <c r="D50" s="99"/>
      <c r="E50" s="144"/>
      <c r="F50" s="100" t="s">
        <v>47</v>
      </c>
      <c r="G50" s="100" t="s">
        <v>47</v>
      </c>
      <c r="H50" s="100"/>
      <c r="I50" s="101"/>
      <c r="J50" s="99">
        <f>Rest2500ltr_Lediging_op_Afroep</f>
        <v>0</v>
      </c>
      <c r="K50" s="100">
        <f>Rest2500ltr_Huur_container</f>
        <v>0</v>
      </c>
      <c r="L50" s="100" t="s">
        <v>47</v>
      </c>
      <c r="M50" s="100" t="s">
        <v>47</v>
      </c>
      <c r="N50" s="100"/>
      <c r="O50" s="145"/>
      <c r="P50" s="146">
        <f t="shared" si="15"/>
        <v>0</v>
      </c>
      <c r="Q50" s="103">
        <f t="shared" si="16"/>
        <v>0</v>
      </c>
      <c r="R50" s="147" t="s">
        <v>47</v>
      </c>
      <c r="S50" s="145" t="s">
        <v>47</v>
      </c>
      <c r="T50" s="148"/>
      <c r="U50" s="149"/>
      <c r="V50" s="143">
        <f t="shared" si="17"/>
        <v>0</v>
      </c>
    </row>
    <row r="51" spans="2:22" ht="28.5">
      <c r="B51" s="97"/>
      <c r="C51" s="97" t="s">
        <v>123</v>
      </c>
      <c r="D51" s="100" t="s">
        <v>47</v>
      </c>
      <c r="E51" s="144">
        <v>1</v>
      </c>
      <c r="F51" s="100">
        <v>14</v>
      </c>
      <c r="G51" s="100">
        <f>3*14</f>
        <v>42</v>
      </c>
      <c r="H51" s="150"/>
      <c r="I51" s="101"/>
      <c r="J51" s="99" t="s">
        <v>47</v>
      </c>
      <c r="K51" s="100">
        <f>Perscontainer_10_m3_Huur</f>
        <v>0</v>
      </c>
      <c r="L51" s="100">
        <f>Perscontainer_10_m3_Transport</f>
        <v>0</v>
      </c>
      <c r="M51" s="100">
        <f>Perscontainer_10_m3_Verwerking_per_ton</f>
        <v>0</v>
      </c>
      <c r="N51" s="100"/>
      <c r="O51" s="145"/>
      <c r="P51" s="146" t="s">
        <v>47</v>
      </c>
      <c r="Q51" s="103">
        <f>(E51*K51)*12</f>
        <v>0</v>
      </c>
      <c r="R51" s="102">
        <f>F51*L51</f>
        <v>0</v>
      </c>
      <c r="S51" s="104">
        <f>G51*M51</f>
        <v>0</v>
      </c>
      <c r="T51" s="148"/>
      <c r="U51" s="149"/>
      <c r="V51" s="143">
        <f t="shared" si="17"/>
        <v>0</v>
      </c>
    </row>
    <row r="52" spans="2:22">
      <c r="B52" s="97"/>
      <c r="C52" s="97" t="s">
        <v>42</v>
      </c>
      <c r="D52" s="99">
        <f>26+260+26+26</f>
        <v>338</v>
      </c>
      <c r="E52" s="144">
        <f>3+10</f>
        <v>13</v>
      </c>
      <c r="F52" s="100" t="s">
        <v>47</v>
      </c>
      <c r="G52" s="100" t="s">
        <v>47</v>
      </c>
      <c r="H52" s="150"/>
      <c r="I52" s="101"/>
      <c r="J52" s="99">
        <f>Papier240ltr_Afroep_lediging</f>
        <v>0</v>
      </c>
      <c r="K52" s="100">
        <f>Papier240ltr_Huur_container</f>
        <v>0</v>
      </c>
      <c r="L52" s="100" t="s">
        <v>47</v>
      </c>
      <c r="M52" s="100" t="s">
        <v>47</v>
      </c>
      <c r="N52" s="100"/>
      <c r="O52" s="145"/>
      <c r="P52" s="146">
        <f t="shared" si="15"/>
        <v>0</v>
      </c>
      <c r="Q52" s="103">
        <f t="shared" si="16"/>
        <v>0</v>
      </c>
      <c r="R52" s="147" t="s">
        <v>47</v>
      </c>
      <c r="S52" s="145" t="s">
        <v>47</v>
      </c>
      <c r="T52" s="148"/>
      <c r="U52" s="149"/>
      <c r="V52" s="143">
        <f t="shared" si="17"/>
        <v>0</v>
      </c>
    </row>
    <row r="53" spans="2:22">
      <c r="B53" s="97"/>
      <c r="C53" s="97" t="s">
        <v>67</v>
      </c>
      <c r="D53" s="99"/>
      <c r="E53" s="144"/>
      <c r="F53" s="100" t="s">
        <v>47</v>
      </c>
      <c r="G53" s="100" t="s">
        <v>47</v>
      </c>
      <c r="H53" s="150"/>
      <c r="I53" s="101"/>
      <c r="J53" s="99">
        <f>Papier500ltr_Afroep_lediging</f>
        <v>0</v>
      </c>
      <c r="K53" s="100">
        <f>Papier500ltr_Huur_container</f>
        <v>0</v>
      </c>
      <c r="L53" s="100" t="s">
        <v>47</v>
      </c>
      <c r="M53" s="100" t="s">
        <v>47</v>
      </c>
      <c r="N53" s="100"/>
      <c r="O53" s="145"/>
      <c r="P53" s="146">
        <f t="shared" si="15"/>
        <v>0</v>
      </c>
      <c r="Q53" s="103">
        <f t="shared" si="16"/>
        <v>0</v>
      </c>
      <c r="R53" s="147" t="s">
        <v>47</v>
      </c>
      <c r="S53" s="145" t="s">
        <v>47</v>
      </c>
      <c r="T53" s="148"/>
      <c r="U53" s="149"/>
      <c r="V53" s="143">
        <f t="shared" si="17"/>
        <v>0</v>
      </c>
    </row>
    <row r="54" spans="2:22">
      <c r="B54" s="97"/>
      <c r="C54" s="97" t="s">
        <v>43</v>
      </c>
      <c r="D54" s="99">
        <v>208</v>
      </c>
      <c r="E54" s="144">
        <v>6</v>
      </c>
      <c r="F54" s="100" t="s">
        <v>47</v>
      </c>
      <c r="G54" s="100" t="s">
        <v>47</v>
      </c>
      <c r="H54" s="150"/>
      <c r="I54" s="101"/>
      <c r="J54" s="99">
        <f>Papier660ltr_Afroep_lediging</f>
        <v>0</v>
      </c>
      <c r="K54" s="100">
        <f>Papier660ltr_Huur_container</f>
        <v>0</v>
      </c>
      <c r="L54" s="100" t="s">
        <v>47</v>
      </c>
      <c r="M54" s="100" t="s">
        <v>47</v>
      </c>
      <c r="N54" s="100"/>
      <c r="O54" s="145"/>
      <c r="P54" s="146">
        <f t="shared" si="15"/>
        <v>0</v>
      </c>
      <c r="Q54" s="103">
        <f t="shared" si="16"/>
        <v>0</v>
      </c>
      <c r="R54" s="147" t="s">
        <v>47</v>
      </c>
      <c r="S54" s="145" t="s">
        <v>47</v>
      </c>
      <c r="T54" s="148"/>
      <c r="U54" s="149"/>
      <c r="V54" s="143">
        <f t="shared" si="17"/>
        <v>0</v>
      </c>
    </row>
    <row r="55" spans="2:22">
      <c r="B55" s="97"/>
      <c r="C55" s="97" t="s">
        <v>68</v>
      </c>
      <c r="D55" s="99">
        <v>260</v>
      </c>
      <c r="E55" s="144">
        <v>6</v>
      </c>
      <c r="F55" s="100" t="s">
        <v>47</v>
      </c>
      <c r="G55" s="100" t="s">
        <v>47</v>
      </c>
      <c r="H55" s="150"/>
      <c r="I55" s="101"/>
      <c r="J55" s="99">
        <f>Papier750_770ltr_Afroep_lediging</f>
        <v>0</v>
      </c>
      <c r="K55" s="100">
        <f>Papier750_770ltr_Huur_container</f>
        <v>0</v>
      </c>
      <c r="L55" s="100" t="s">
        <v>47</v>
      </c>
      <c r="M55" s="100" t="s">
        <v>47</v>
      </c>
      <c r="N55" s="100"/>
      <c r="O55" s="145"/>
      <c r="P55" s="146">
        <f t="shared" si="15"/>
        <v>0</v>
      </c>
      <c r="Q55" s="103">
        <f t="shared" si="16"/>
        <v>0</v>
      </c>
      <c r="R55" s="147" t="s">
        <v>47</v>
      </c>
      <c r="S55" s="145" t="s">
        <v>47</v>
      </c>
      <c r="T55" s="148"/>
      <c r="U55" s="149"/>
      <c r="V55" s="143">
        <f t="shared" si="17"/>
        <v>0</v>
      </c>
    </row>
    <row r="56" spans="2:22">
      <c r="B56" s="97"/>
      <c r="C56" s="97" t="s">
        <v>69</v>
      </c>
      <c r="D56" s="99"/>
      <c r="E56" s="144"/>
      <c r="F56" s="100" t="s">
        <v>47</v>
      </c>
      <c r="G56" s="100" t="s">
        <v>47</v>
      </c>
      <c r="H56" s="150"/>
      <c r="I56" s="101"/>
      <c r="J56" s="99">
        <f>Papier1000ltr_Afroep_lediging</f>
        <v>0</v>
      </c>
      <c r="K56" s="100">
        <f>Papier1000ltr_Huur_container</f>
        <v>0</v>
      </c>
      <c r="L56" s="100" t="s">
        <v>47</v>
      </c>
      <c r="M56" s="100" t="s">
        <v>47</v>
      </c>
      <c r="N56" s="100"/>
      <c r="O56" s="145"/>
      <c r="P56" s="146">
        <f t="shared" si="15"/>
        <v>0</v>
      </c>
      <c r="Q56" s="103">
        <f t="shared" si="16"/>
        <v>0</v>
      </c>
      <c r="R56" s="147" t="s">
        <v>47</v>
      </c>
      <c r="S56" s="145" t="s">
        <v>47</v>
      </c>
      <c r="T56" s="148"/>
      <c r="U56" s="149"/>
      <c r="V56" s="143">
        <f t="shared" si="17"/>
        <v>0</v>
      </c>
    </row>
    <row r="57" spans="2:22">
      <c r="B57" s="97"/>
      <c r="C57" s="97" t="s">
        <v>44</v>
      </c>
      <c r="D57" s="99"/>
      <c r="E57" s="144"/>
      <c r="F57" s="100" t="s">
        <v>47</v>
      </c>
      <c r="G57" s="100" t="s">
        <v>47</v>
      </c>
      <c r="H57" s="150"/>
      <c r="I57" s="101"/>
      <c r="J57" s="99">
        <f>Papier1100ltr_Afroep_lediging</f>
        <v>0</v>
      </c>
      <c r="K57" s="100">
        <f>Papier1100ltr_Huur_container</f>
        <v>0</v>
      </c>
      <c r="L57" s="100" t="s">
        <v>47</v>
      </c>
      <c r="M57" s="100" t="s">
        <v>47</v>
      </c>
      <c r="N57" s="100"/>
      <c r="O57" s="145"/>
      <c r="P57" s="146">
        <f t="shared" si="15"/>
        <v>0</v>
      </c>
      <c r="Q57" s="103">
        <f t="shared" si="16"/>
        <v>0</v>
      </c>
      <c r="R57" s="147" t="s">
        <v>47</v>
      </c>
      <c r="S57" s="145" t="s">
        <v>47</v>
      </c>
      <c r="T57" s="148"/>
      <c r="U57" s="149"/>
      <c r="V57" s="143">
        <f t="shared" si="17"/>
        <v>0</v>
      </c>
    </row>
    <row r="58" spans="2:22">
      <c r="B58" s="97"/>
      <c r="C58" s="97" t="s">
        <v>119</v>
      </c>
      <c r="D58" s="99"/>
      <c r="E58" s="144"/>
      <c r="F58" s="100" t="s">
        <v>47</v>
      </c>
      <c r="G58" s="100" t="s">
        <v>47</v>
      </c>
      <c r="H58" s="150"/>
      <c r="I58" s="101"/>
      <c r="J58" s="99">
        <f>Papier1300ltr_Lediging_op_Afroep</f>
        <v>0</v>
      </c>
      <c r="K58" s="100">
        <f>Papier1300ltr_Huur_container</f>
        <v>0</v>
      </c>
      <c r="L58" s="100" t="s">
        <v>47</v>
      </c>
      <c r="M58" s="100" t="s">
        <v>47</v>
      </c>
      <c r="N58" s="100"/>
      <c r="O58" s="145"/>
      <c r="P58" s="146"/>
      <c r="Q58" s="103">
        <f t="shared" si="16"/>
        <v>0</v>
      </c>
      <c r="R58" s="147" t="s">
        <v>47</v>
      </c>
      <c r="S58" s="100" t="s">
        <v>47</v>
      </c>
      <c r="T58" s="148"/>
      <c r="U58" s="149"/>
      <c r="V58" s="143">
        <f t="shared" si="17"/>
        <v>0</v>
      </c>
    </row>
    <row r="59" spans="2:22">
      <c r="B59" s="97"/>
      <c r="C59" s="97" t="s">
        <v>70</v>
      </c>
      <c r="D59" s="99"/>
      <c r="E59" s="144"/>
      <c r="F59" s="100" t="s">
        <v>47</v>
      </c>
      <c r="G59" s="100" t="s">
        <v>47</v>
      </c>
      <c r="H59" s="150"/>
      <c r="I59" s="101"/>
      <c r="J59" s="99">
        <f>PMD240ltr_Afroep_lediging</f>
        <v>0</v>
      </c>
      <c r="K59" s="100">
        <f>PMD240ltr_Huur_container</f>
        <v>0</v>
      </c>
      <c r="L59" s="100" t="s">
        <v>47</v>
      </c>
      <c r="M59" s="100" t="s">
        <v>47</v>
      </c>
      <c r="N59" s="100"/>
      <c r="O59" s="145"/>
      <c r="P59" s="146">
        <f t="shared" si="15"/>
        <v>0</v>
      </c>
      <c r="Q59" s="103">
        <f t="shared" si="16"/>
        <v>0</v>
      </c>
      <c r="R59" s="147" t="s">
        <v>47</v>
      </c>
      <c r="S59" s="145" t="s">
        <v>47</v>
      </c>
      <c r="T59" s="148"/>
      <c r="U59" s="149"/>
      <c r="V59" s="143">
        <f t="shared" si="17"/>
        <v>0</v>
      </c>
    </row>
    <row r="60" spans="2:22">
      <c r="B60" s="97"/>
      <c r="C60" s="97" t="s">
        <v>71</v>
      </c>
      <c r="D60" s="99"/>
      <c r="E60" s="144"/>
      <c r="F60" s="100" t="s">
        <v>47</v>
      </c>
      <c r="G60" s="100" t="s">
        <v>47</v>
      </c>
      <c r="H60" s="150"/>
      <c r="I60" s="101"/>
      <c r="J60" s="99">
        <f>PMD500ltr_Afroep_lediging</f>
        <v>0</v>
      </c>
      <c r="K60" s="100">
        <f>PMD500ltr_Huur_container</f>
        <v>0</v>
      </c>
      <c r="L60" s="100" t="s">
        <v>47</v>
      </c>
      <c r="M60" s="100" t="s">
        <v>47</v>
      </c>
      <c r="N60" s="100"/>
      <c r="O60" s="145"/>
      <c r="P60" s="146">
        <f t="shared" si="15"/>
        <v>0</v>
      </c>
      <c r="Q60" s="103">
        <f t="shared" si="16"/>
        <v>0</v>
      </c>
      <c r="R60" s="147" t="s">
        <v>47</v>
      </c>
      <c r="S60" s="145" t="s">
        <v>47</v>
      </c>
      <c r="T60" s="148"/>
      <c r="U60" s="149"/>
      <c r="V60" s="143">
        <f t="shared" si="17"/>
        <v>0</v>
      </c>
    </row>
    <row r="61" spans="2:22">
      <c r="B61" s="97"/>
      <c r="C61" s="97" t="s">
        <v>72</v>
      </c>
      <c r="D61" s="99"/>
      <c r="E61" s="144"/>
      <c r="F61" s="100" t="s">
        <v>47</v>
      </c>
      <c r="G61" s="100" t="s">
        <v>47</v>
      </c>
      <c r="H61" s="150"/>
      <c r="I61" s="101"/>
      <c r="J61" s="99">
        <f>PMD660ltr_Afroep_lediging</f>
        <v>0</v>
      </c>
      <c r="K61" s="100">
        <f>PMD660ltr_huur_container</f>
        <v>0</v>
      </c>
      <c r="L61" s="100" t="s">
        <v>47</v>
      </c>
      <c r="M61" s="100" t="s">
        <v>47</v>
      </c>
      <c r="N61" s="100"/>
      <c r="O61" s="145"/>
      <c r="P61" s="146">
        <f t="shared" si="15"/>
        <v>0</v>
      </c>
      <c r="Q61" s="103">
        <f t="shared" si="16"/>
        <v>0</v>
      </c>
      <c r="R61" s="147" t="s">
        <v>47</v>
      </c>
      <c r="S61" s="145" t="s">
        <v>47</v>
      </c>
      <c r="T61" s="148"/>
      <c r="U61" s="149"/>
      <c r="V61" s="143">
        <f t="shared" si="17"/>
        <v>0</v>
      </c>
    </row>
    <row r="62" spans="2:22">
      <c r="B62" s="97"/>
      <c r="C62" s="97" t="s">
        <v>73</v>
      </c>
      <c r="D62" s="99">
        <v>24</v>
      </c>
      <c r="E62" s="144">
        <v>1</v>
      </c>
      <c r="F62" s="100" t="s">
        <v>47</v>
      </c>
      <c r="G62" s="100" t="s">
        <v>47</v>
      </c>
      <c r="H62" s="150"/>
      <c r="I62" s="101"/>
      <c r="J62" s="99">
        <f>PMD750_770ltr_Afroep_lediging</f>
        <v>0</v>
      </c>
      <c r="K62" s="100">
        <f>PMD750_770ltr_Huur_container</f>
        <v>0</v>
      </c>
      <c r="L62" s="100" t="s">
        <v>47</v>
      </c>
      <c r="M62" s="100" t="s">
        <v>47</v>
      </c>
      <c r="N62" s="100"/>
      <c r="O62" s="145"/>
      <c r="P62" s="146">
        <f t="shared" si="15"/>
        <v>0</v>
      </c>
      <c r="Q62" s="103">
        <f t="shared" si="16"/>
        <v>0</v>
      </c>
      <c r="R62" s="147" t="s">
        <v>47</v>
      </c>
      <c r="S62" s="145" t="s">
        <v>47</v>
      </c>
      <c r="T62" s="148"/>
      <c r="U62" s="149"/>
      <c r="V62" s="143">
        <f t="shared" si="17"/>
        <v>0</v>
      </c>
    </row>
    <row r="63" spans="2:22">
      <c r="B63" s="97"/>
      <c r="C63" s="97" t="s">
        <v>74</v>
      </c>
      <c r="D63" s="99"/>
      <c r="E63" s="144"/>
      <c r="F63" s="100" t="s">
        <v>47</v>
      </c>
      <c r="G63" s="100" t="s">
        <v>47</v>
      </c>
      <c r="H63" s="100"/>
      <c r="I63" s="101"/>
      <c r="J63" s="99">
        <f>PMD1000ltr_Afroep_lediging</f>
        <v>0</v>
      </c>
      <c r="K63" s="100">
        <f>PMD1000ltr_Huur_container</f>
        <v>0</v>
      </c>
      <c r="L63" s="100" t="s">
        <v>47</v>
      </c>
      <c r="M63" s="100" t="s">
        <v>47</v>
      </c>
      <c r="N63" s="100"/>
      <c r="O63" s="145"/>
      <c r="P63" s="146">
        <f t="shared" si="15"/>
        <v>0</v>
      </c>
      <c r="Q63" s="103">
        <f t="shared" si="16"/>
        <v>0</v>
      </c>
      <c r="R63" s="147" t="s">
        <v>47</v>
      </c>
      <c r="S63" s="145" t="s">
        <v>47</v>
      </c>
      <c r="T63" s="148"/>
      <c r="U63" s="149"/>
      <c r="V63" s="143">
        <f t="shared" si="17"/>
        <v>0</v>
      </c>
    </row>
    <row r="64" spans="2:22">
      <c r="B64" s="97"/>
      <c r="C64" s="97" t="s">
        <v>75</v>
      </c>
      <c r="D64" s="99"/>
      <c r="E64" s="144"/>
      <c r="F64" s="100" t="s">
        <v>47</v>
      </c>
      <c r="G64" s="100" t="s">
        <v>47</v>
      </c>
      <c r="H64" s="100"/>
      <c r="I64" s="101"/>
      <c r="J64" s="99">
        <f>PMD1100ltr_Afroep_lediging</f>
        <v>0</v>
      </c>
      <c r="K64" s="100">
        <f>PMD1100ltr_Huur_container</f>
        <v>0</v>
      </c>
      <c r="L64" s="100" t="s">
        <v>47</v>
      </c>
      <c r="M64" s="100" t="s">
        <v>47</v>
      </c>
      <c r="N64" s="100"/>
      <c r="O64" s="145"/>
      <c r="P64" s="146">
        <f t="shared" si="15"/>
        <v>0</v>
      </c>
      <c r="Q64" s="103">
        <f t="shared" si="16"/>
        <v>0</v>
      </c>
      <c r="R64" s="147" t="s">
        <v>47</v>
      </c>
      <c r="S64" s="145" t="s">
        <v>47</v>
      </c>
      <c r="T64" s="148"/>
      <c r="U64" s="149"/>
      <c r="V64" s="143">
        <f t="shared" si="17"/>
        <v>0</v>
      </c>
    </row>
    <row r="65" spans="2:22">
      <c r="B65" s="97"/>
      <c r="C65" s="97" t="s">
        <v>126</v>
      </c>
      <c r="D65" s="99"/>
      <c r="E65" s="144"/>
      <c r="F65" s="100" t="s">
        <v>47</v>
      </c>
      <c r="G65" s="100" t="s">
        <v>47</v>
      </c>
      <c r="H65" s="150"/>
      <c r="I65" s="101"/>
      <c r="J65" s="99">
        <f>PD_240ltr_lediging</f>
        <v>0</v>
      </c>
      <c r="K65" s="100">
        <f>PD_240ltr_huur_container</f>
        <v>0</v>
      </c>
      <c r="L65" s="100" t="s">
        <v>47</v>
      </c>
      <c r="M65" s="100" t="s">
        <v>47</v>
      </c>
      <c r="N65" s="100"/>
      <c r="O65" s="145"/>
      <c r="P65" s="146">
        <f t="shared" ref="P65:P70" si="18">D65*J65</f>
        <v>0</v>
      </c>
      <c r="Q65" s="103">
        <f t="shared" ref="Q65:Q70" si="19">(E65*K65)*12</f>
        <v>0</v>
      </c>
      <c r="R65" s="147" t="s">
        <v>47</v>
      </c>
      <c r="S65" s="145" t="s">
        <v>47</v>
      </c>
      <c r="T65" s="148"/>
      <c r="U65" s="149"/>
      <c r="V65" s="143">
        <f t="shared" ref="V65:V70" si="20">SUM(P65:U65)</f>
        <v>0</v>
      </c>
    </row>
    <row r="66" spans="2:22">
      <c r="B66" s="97"/>
      <c r="C66" s="97" t="s">
        <v>127</v>
      </c>
      <c r="D66" s="99"/>
      <c r="E66" s="144"/>
      <c r="F66" s="100" t="s">
        <v>47</v>
      </c>
      <c r="G66" s="100" t="s">
        <v>47</v>
      </c>
      <c r="H66" s="150"/>
      <c r="I66" s="101"/>
      <c r="J66" s="99">
        <f>PD_500ltr_lediging</f>
        <v>0</v>
      </c>
      <c r="K66" s="100">
        <f>PD_500ltr_huur_container</f>
        <v>0</v>
      </c>
      <c r="L66" s="100" t="s">
        <v>47</v>
      </c>
      <c r="M66" s="100" t="s">
        <v>47</v>
      </c>
      <c r="N66" s="100"/>
      <c r="O66" s="145"/>
      <c r="P66" s="146">
        <f t="shared" si="18"/>
        <v>0</v>
      </c>
      <c r="Q66" s="103">
        <f t="shared" si="19"/>
        <v>0</v>
      </c>
      <c r="R66" s="147" t="s">
        <v>47</v>
      </c>
      <c r="S66" s="145" t="s">
        <v>47</v>
      </c>
      <c r="T66" s="148"/>
      <c r="U66" s="149"/>
      <c r="V66" s="143">
        <f t="shared" si="20"/>
        <v>0</v>
      </c>
    </row>
    <row r="67" spans="2:22">
      <c r="B67" s="97"/>
      <c r="C67" s="97" t="s">
        <v>128</v>
      </c>
      <c r="D67" s="99"/>
      <c r="E67" s="144"/>
      <c r="F67" s="100" t="s">
        <v>47</v>
      </c>
      <c r="G67" s="100" t="s">
        <v>47</v>
      </c>
      <c r="H67" s="150"/>
      <c r="I67" s="101"/>
      <c r="J67" s="99">
        <f>PD_660ltr_lediging</f>
        <v>0</v>
      </c>
      <c r="K67" s="100">
        <f>PD_660ltr_huur_container</f>
        <v>0</v>
      </c>
      <c r="L67" s="100" t="s">
        <v>47</v>
      </c>
      <c r="M67" s="100" t="s">
        <v>47</v>
      </c>
      <c r="N67" s="100"/>
      <c r="O67" s="145"/>
      <c r="P67" s="146">
        <f t="shared" si="18"/>
        <v>0</v>
      </c>
      <c r="Q67" s="103">
        <f t="shared" si="19"/>
        <v>0</v>
      </c>
      <c r="R67" s="147" t="s">
        <v>47</v>
      </c>
      <c r="S67" s="145" t="s">
        <v>47</v>
      </c>
      <c r="T67" s="148"/>
      <c r="U67" s="149"/>
      <c r="V67" s="143">
        <f t="shared" si="20"/>
        <v>0</v>
      </c>
    </row>
    <row r="68" spans="2:22">
      <c r="B68" s="97"/>
      <c r="C68" s="97" t="s">
        <v>129</v>
      </c>
      <c r="D68" s="99"/>
      <c r="E68" s="144"/>
      <c r="F68" s="100" t="s">
        <v>47</v>
      </c>
      <c r="G68" s="100" t="s">
        <v>47</v>
      </c>
      <c r="H68" s="150"/>
      <c r="I68" s="101"/>
      <c r="J68" s="99">
        <f>PD_750_770ltr_lediging</f>
        <v>0</v>
      </c>
      <c r="K68" s="100">
        <f>PD_750_770ltr_huur_container</f>
        <v>0</v>
      </c>
      <c r="L68" s="100" t="s">
        <v>47</v>
      </c>
      <c r="M68" s="100" t="s">
        <v>47</v>
      </c>
      <c r="N68" s="100"/>
      <c r="O68" s="145"/>
      <c r="P68" s="146">
        <f t="shared" si="18"/>
        <v>0</v>
      </c>
      <c r="Q68" s="103">
        <f t="shared" si="19"/>
        <v>0</v>
      </c>
      <c r="R68" s="147" t="s">
        <v>47</v>
      </c>
      <c r="S68" s="145" t="s">
        <v>47</v>
      </c>
      <c r="T68" s="148"/>
      <c r="U68" s="149"/>
      <c r="V68" s="143">
        <f t="shared" si="20"/>
        <v>0</v>
      </c>
    </row>
    <row r="69" spans="2:22">
      <c r="B69" s="97"/>
      <c r="C69" s="97" t="s">
        <v>130</v>
      </c>
      <c r="D69" s="99"/>
      <c r="E69" s="144"/>
      <c r="F69" s="100" t="s">
        <v>47</v>
      </c>
      <c r="G69" s="100" t="s">
        <v>47</v>
      </c>
      <c r="H69" s="100"/>
      <c r="I69" s="101"/>
      <c r="J69" s="99">
        <f>PD_1000ltr_lediging</f>
        <v>0</v>
      </c>
      <c r="K69" s="100">
        <f>PD_1000ltr_huur_container</f>
        <v>0</v>
      </c>
      <c r="L69" s="100" t="s">
        <v>47</v>
      </c>
      <c r="M69" s="100" t="s">
        <v>47</v>
      </c>
      <c r="N69" s="100"/>
      <c r="O69" s="145"/>
      <c r="P69" s="146">
        <f t="shared" si="18"/>
        <v>0</v>
      </c>
      <c r="Q69" s="103">
        <f t="shared" si="19"/>
        <v>0</v>
      </c>
      <c r="R69" s="147" t="s">
        <v>47</v>
      </c>
      <c r="S69" s="145" t="s">
        <v>47</v>
      </c>
      <c r="T69" s="148"/>
      <c r="U69" s="149"/>
      <c r="V69" s="143">
        <f t="shared" si="20"/>
        <v>0</v>
      </c>
    </row>
    <row r="70" spans="2:22">
      <c r="B70" s="97"/>
      <c r="C70" s="97" t="s">
        <v>131</v>
      </c>
      <c r="D70" s="99"/>
      <c r="E70" s="144"/>
      <c r="F70" s="100" t="s">
        <v>47</v>
      </c>
      <c r="G70" s="100" t="s">
        <v>47</v>
      </c>
      <c r="H70" s="100"/>
      <c r="I70" s="101"/>
      <c r="J70" s="99">
        <f>PD_1100ltr_lediging</f>
        <v>0</v>
      </c>
      <c r="K70" s="100">
        <f>PD_1100ltr_huur_container</f>
        <v>0</v>
      </c>
      <c r="L70" s="100" t="s">
        <v>47</v>
      </c>
      <c r="M70" s="100" t="s">
        <v>47</v>
      </c>
      <c r="N70" s="100"/>
      <c r="O70" s="145"/>
      <c r="P70" s="146">
        <f t="shared" si="18"/>
        <v>0</v>
      </c>
      <c r="Q70" s="103">
        <f t="shared" si="19"/>
        <v>0</v>
      </c>
      <c r="R70" s="147" t="s">
        <v>47</v>
      </c>
      <c r="S70" s="145" t="s">
        <v>47</v>
      </c>
      <c r="T70" s="148"/>
      <c r="U70" s="149"/>
      <c r="V70" s="143">
        <f t="shared" si="20"/>
        <v>0</v>
      </c>
    </row>
    <row r="71" spans="2:22">
      <c r="B71" s="97"/>
      <c r="C71" s="97" t="s">
        <v>83</v>
      </c>
      <c r="D71" s="99"/>
      <c r="E71" s="144"/>
      <c r="F71" s="100" t="s">
        <v>47</v>
      </c>
      <c r="G71" s="100" t="s">
        <v>47</v>
      </c>
      <c r="H71" s="150"/>
      <c r="I71" s="101"/>
      <c r="J71" s="99">
        <f>GFT120ltr_Afroep_lediging</f>
        <v>0</v>
      </c>
      <c r="K71" s="100">
        <f>GFT120ltr_Huur_container</f>
        <v>0</v>
      </c>
      <c r="L71" s="100" t="s">
        <v>47</v>
      </c>
      <c r="M71" s="100" t="s">
        <v>47</v>
      </c>
      <c r="N71" s="100"/>
      <c r="O71" s="145"/>
      <c r="P71" s="146">
        <f t="shared" si="15"/>
        <v>0</v>
      </c>
      <c r="Q71" s="103">
        <f t="shared" si="16"/>
        <v>0</v>
      </c>
      <c r="R71" s="147" t="s">
        <v>47</v>
      </c>
      <c r="S71" s="145" t="s">
        <v>47</v>
      </c>
      <c r="T71" s="148"/>
      <c r="U71" s="149"/>
      <c r="V71" s="143">
        <f t="shared" si="17"/>
        <v>0</v>
      </c>
    </row>
    <row r="72" spans="2:22">
      <c r="B72" s="97"/>
      <c r="C72" s="97" t="s">
        <v>82</v>
      </c>
      <c r="D72" s="99"/>
      <c r="E72" s="144"/>
      <c r="F72" s="100" t="s">
        <v>47</v>
      </c>
      <c r="G72" s="100" t="s">
        <v>47</v>
      </c>
      <c r="H72" s="150"/>
      <c r="I72" s="101"/>
      <c r="J72" s="99">
        <f>GFT240ltr_Afroep_lediging</f>
        <v>0</v>
      </c>
      <c r="K72" s="100">
        <f>GFT240ltr_Huur_container</f>
        <v>0</v>
      </c>
      <c r="L72" s="100" t="s">
        <v>47</v>
      </c>
      <c r="M72" s="100" t="s">
        <v>47</v>
      </c>
      <c r="N72" s="100"/>
      <c r="O72" s="145"/>
      <c r="P72" s="146">
        <f t="shared" si="15"/>
        <v>0</v>
      </c>
      <c r="Q72" s="103">
        <f t="shared" si="16"/>
        <v>0</v>
      </c>
      <c r="R72" s="147" t="s">
        <v>47</v>
      </c>
      <c r="S72" s="145" t="s">
        <v>47</v>
      </c>
      <c r="T72" s="148"/>
      <c r="U72" s="149"/>
      <c r="V72" s="143">
        <f t="shared" si="17"/>
        <v>0</v>
      </c>
    </row>
    <row r="73" spans="2:22">
      <c r="B73" s="97"/>
      <c r="C73" s="97" t="s">
        <v>76</v>
      </c>
      <c r="D73" s="99">
        <f>(8*26)+312+50+13</f>
        <v>583</v>
      </c>
      <c r="E73" s="144">
        <f>13+50</f>
        <v>63</v>
      </c>
      <c r="F73" s="100" t="s">
        <v>47</v>
      </c>
      <c r="G73" s="100" t="s">
        <v>47</v>
      </c>
      <c r="H73" s="100"/>
      <c r="I73" s="101"/>
      <c r="J73" s="99">
        <f>Vertrouwelijk_papier240ltr_Afroep_lediging</f>
        <v>0</v>
      </c>
      <c r="K73" s="100">
        <f>Vertrouwelijk_papier240ltr_Huur_container</f>
        <v>0</v>
      </c>
      <c r="L73" s="100" t="s">
        <v>47</v>
      </c>
      <c r="M73" s="100" t="s">
        <v>47</v>
      </c>
      <c r="N73" s="100"/>
      <c r="O73" s="145"/>
      <c r="P73" s="146">
        <f t="shared" si="15"/>
        <v>0</v>
      </c>
      <c r="Q73" s="103">
        <f t="shared" si="16"/>
        <v>0</v>
      </c>
      <c r="R73" s="147" t="s">
        <v>47</v>
      </c>
      <c r="S73" s="145" t="s">
        <v>47</v>
      </c>
      <c r="T73" s="148"/>
      <c r="U73" s="149"/>
      <c r="V73" s="143">
        <f t="shared" si="17"/>
        <v>0</v>
      </c>
    </row>
    <row r="74" spans="2:22">
      <c r="B74" s="97"/>
      <c r="C74" s="97" t="s">
        <v>77</v>
      </c>
      <c r="D74" s="99">
        <v>156</v>
      </c>
      <c r="E74" s="144">
        <v>6</v>
      </c>
      <c r="F74" s="100" t="s">
        <v>47</v>
      </c>
      <c r="G74" s="100" t="s">
        <v>47</v>
      </c>
      <c r="H74" s="100"/>
      <c r="I74" s="101"/>
      <c r="J74" s="99">
        <f>Vertrouwelijk_papier500ltr_Afroep_lediging</f>
        <v>0</v>
      </c>
      <c r="K74" s="100">
        <f>Vertrouwelijk_papier500ltr_Huur_container</f>
        <v>0</v>
      </c>
      <c r="L74" s="100" t="s">
        <v>47</v>
      </c>
      <c r="M74" s="100" t="s">
        <v>47</v>
      </c>
      <c r="N74" s="100"/>
      <c r="O74" s="145"/>
      <c r="P74" s="146">
        <f t="shared" si="15"/>
        <v>0</v>
      </c>
      <c r="Q74" s="103">
        <f t="shared" si="16"/>
        <v>0</v>
      </c>
      <c r="R74" s="147" t="s">
        <v>47</v>
      </c>
      <c r="S74" s="145" t="s">
        <v>47</v>
      </c>
      <c r="T74" s="148"/>
      <c r="U74" s="149"/>
      <c r="V74" s="143">
        <f t="shared" si="17"/>
        <v>0</v>
      </c>
    </row>
    <row r="75" spans="2:22">
      <c r="B75" s="97"/>
      <c r="C75" s="97" t="s">
        <v>78</v>
      </c>
      <c r="D75" s="99"/>
      <c r="E75" s="144"/>
      <c r="F75" s="100" t="s">
        <v>47</v>
      </c>
      <c r="G75" s="100" t="s">
        <v>47</v>
      </c>
      <c r="H75" s="100"/>
      <c r="I75" s="101"/>
      <c r="J75" s="99">
        <f>Vertrouwelijk_papier660ltr_Afroep_lediging</f>
        <v>0</v>
      </c>
      <c r="K75" s="100">
        <f>Vertrouwelijk_papier660ltr_Huur_container</f>
        <v>0</v>
      </c>
      <c r="L75" s="100" t="s">
        <v>47</v>
      </c>
      <c r="M75" s="100" t="s">
        <v>47</v>
      </c>
      <c r="N75" s="100"/>
      <c r="O75" s="145"/>
      <c r="P75" s="146">
        <f t="shared" si="15"/>
        <v>0</v>
      </c>
      <c r="Q75" s="103">
        <f t="shared" si="16"/>
        <v>0</v>
      </c>
      <c r="R75" s="147" t="s">
        <v>47</v>
      </c>
      <c r="S75" s="145" t="s">
        <v>47</v>
      </c>
      <c r="T75" s="148"/>
      <c r="U75" s="149"/>
      <c r="V75" s="143">
        <f t="shared" si="17"/>
        <v>0</v>
      </c>
    </row>
    <row r="76" spans="2:22">
      <c r="B76" s="97"/>
      <c r="C76" s="97" t="s">
        <v>100</v>
      </c>
      <c r="D76" s="99">
        <v>48</v>
      </c>
      <c r="E76" s="144">
        <v>2</v>
      </c>
      <c r="F76" s="100" t="s">
        <v>47</v>
      </c>
      <c r="G76" s="100" t="s">
        <v>47</v>
      </c>
      <c r="H76" s="100"/>
      <c r="I76" s="101"/>
      <c r="J76" s="99">
        <f>Glas240ltr_Afroep</f>
        <v>0</v>
      </c>
      <c r="K76" s="100">
        <f>Glas240ltr_huur_container_afroep</f>
        <v>0</v>
      </c>
      <c r="L76" s="100" t="s">
        <v>47</v>
      </c>
      <c r="M76" s="100" t="s">
        <v>47</v>
      </c>
      <c r="N76" s="100"/>
      <c r="O76" s="145"/>
      <c r="P76" s="146">
        <f t="shared" si="15"/>
        <v>0</v>
      </c>
      <c r="Q76" s="103">
        <f t="shared" si="16"/>
        <v>0</v>
      </c>
      <c r="R76" s="147" t="s">
        <v>47</v>
      </c>
      <c r="S76" s="145" t="s">
        <v>47</v>
      </c>
      <c r="T76" s="148"/>
      <c r="U76" s="149"/>
      <c r="V76" s="143">
        <f t="shared" si="17"/>
        <v>0</v>
      </c>
    </row>
    <row r="77" spans="2:22">
      <c r="B77" s="97"/>
      <c r="C77" s="151" t="s">
        <v>91</v>
      </c>
      <c r="D77" s="99">
        <v>3</v>
      </c>
      <c r="E77" s="144">
        <v>1</v>
      </c>
      <c r="F77" s="100" t="s">
        <v>47</v>
      </c>
      <c r="G77" s="100" t="s">
        <v>47</v>
      </c>
      <c r="H77" s="100"/>
      <c r="I77" s="101"/>
      <c r="J77" s="99">
        <f>Batterijen_60ltr_Afroep_lediging</f>
        <v>0</v>
      </c>
      <c r="K77" s="100">
        <f>Batterijen60ltr_Huur_container</f>
        <v>0</v>
      </c>
      <c r="L77" s="100" t="s">
        <v>47</v>
      </c>
      <c r="M77" s="100" t="s">
        <v>47</v>
      </c>
      <c r="N77" s="100"/>
      <c r="O77" s="145"/>
      <c r="P77" s="146">
        <f t="shared" si="15"/>
        <v>0</v>
      </c>
      <c r="Q77" s="103">
        <f t="shared" si="16"/>
        <v>0</v>
      </c>
      <c r="R77" s="147" t="s">
        <v>47</v>
      </c>
      <c r="S77" s="145" t="s">
        <v>47</v>
      </c>
      <c r="T77" s="148"/>
      <c r="U77" s="149"/>
      <c r="V77" s="143">
        <f t="shared" si="17"/>
        <v>0</v>
      </c>
    </row>
    <row r="78" spans="2:22">
      <c r="B78" s="97"/>
      <c r="C78" s="152" t="s">
        <v>92</v>
      </c>
      <c r="D78" s="99">
        <v>3</v>
      </c>
      <c r="E78" s="144">
        <v>1</v>
      </c>
      <c r="F78" s="100" t="s">
        <v>47</v>
      </c>
      <c r="G78" s="100" t="s">
        <v>47</v>
      </c>
      <c r="H78" s="100"/>
      <c r="I78" s="101"/>
      <c r="J78" s="99">
        <f>Spuiten_en_naalden_box_10_ltr_Afroep_lediging</f>
        <v>0</v>
      </c>
      <c r="K78" s="100">
        <f>Spuiten_en_naalden10ltr_Huur_box</f>
        <v>0</v>
      </c>
      <c r="L78" s="100" t="s">
        <v>47</v>
      </c>
      <c r="M78" s="100" t="s">
        <v>47</v>
      </c>
      <c r="N78" s="100"/>
      <c r="O78" s="145"/>
      <c r="P78" s="146">
        <f t="shared" si="15"/>
        <v>0</v>
      </c>
      <c r="Q78" s="103">
        <f t="shared" si="16"/>
        <v>0</v>
      </c>
      <c r="R78" s="147" t="s">
        <v>47</v>
      </c>
      <c r="S78" s="145" t="s">
        <v>47</v>
      </c>
      <c r="T78" s="148"/>
      <c r="U78" s="149"/>
      <c r="V78" s="143">
        <f t="shared" si="17"/>
        <v>0</v>
      </c>
    </row>
    <row r="79" spans="2:22">
      <c r="B79" s="97"/>
      <c r="C79" s="152" t="s">
        <v>90</v>
      </c>
      <c r="D79" s="99">
        <v>3</v>
      </c>
      <c r="E79" s="144">
        <v>1</v>
      </c>
      <c r="F79" s="100" t="s">
        <v>47</v>
      </c>
      <c r="G79" s="100" t="s">
        <v>47</v>
      </c>
      <c r="H79" s="100"/>
      <c r="I79" s="101"/>
      <c r="J79" s="99">
        <f>medicijnbox_10_ltr_Afroep_lediging</f>
        <v>0</v>
      </c>
      <c r="K79" s="100">
        <f>Medicijnen10ltr_Huur_box</f>
        <v>0</v>
      </c>
      <c r="L79" s="100" t="s">
        <v>47</v>
      </c>
      <c r="M79" s="100" t="s">
        <v>47</v>
      </c>
      <c r="N79" s="100"/>
      <c r="O79" s="145"/>
      <c r="P79" s="146">
        <f t="shared" si="15"/>
        <v>0</v>
      </c>
      <c r="Q79" s="103">
        <f t="shared" si="16"/>
        <v>0</v>
      </c>
      <c r="R79" s="147" t="s">
        <v>47</v>
      </c>
      <c r="S79" s="145" t="s">
        <v>47</v>
      </c>
      <c r="T79" s="148"/>
      <c r="U79" s="149"/>
      <c r="V79" s="143">
        <f t="shared" si="17"/>
        <v>0</v>
      </c>
    </row>
    <row r="80" spans="2:22">
      <c r="B80" s="97"/>
      <c r="C80" s="152" t="s">
        <v>89</v>
      </c>
      <c r="D80" s="99">
        <v>3</v>
      </c>
      <c r="E80" s="144">
        <v>1</v>
      </c>
      <c r="F80" s="100" t="s">
        <v>47</v>
      </c>
      <c r="G80" s="100" t="s">
        <v>47</v>
      </c>
      <c r="H80" s="100"/>
      <c r="I80" s="101"/>
      <c r="J80" s="99">
        <f>Kentekens240ltr_Afroep_lediging</f>
        <v>0</v>
      </c>
      <c r="K80" s="100">
        <f>Kentekens240ltr_Huur_container</f>
        <v>0</v>
      </c>
      <c r="L80" s="100" t="s">
        <v>47</v>
      </c>
      <c r="M80" s="100" t="s">
        <v>47</v>
      </c>
      <c r="N80" s="100"/>
      <c r="O80" s="145"/>
      <c r="P80" s="146">
        <f t="shared" si="15"/>
        <v>0</v>
      </c>
      <c r="Q80" s="103">
        <f t="shared" si="16"/>
        <v>0</v>
      </c>
      <c r="R80" s="147" t="s">
        <v>47</v>
      </c>
      <c r="S80" s="145" t="s">
        <v>47</v>
      </c>
      <c r="T80" s="148"/>
      <c r="U80" s="149"/>
      <c r="V80" s="143">
        <f t="shared" si="17"/>
        <v>0</v>
      </c>
    </row>
    <row r="81" spans="2:23" ht="17.25" customHeight="1" thickBot="1">
      <c r="B81" s="114"/>
      <c r="C81" s="153" t="s">
        <v>122</v>
      </c>
      <c r="D81" s="115">
        <v>3</v>
      </c>
      <c r="E81" s="154">
        <v>1</v>
      </c>
      <c r="F81" s="116" t="s">
        <v>47</v>
      </c>
      <c r="G81" s="116" t="s">
        <v>47</v>
      </c>
      <c r="H81" s="116"/>
      <c r="I81" s="119"/>
      <c r="J81" s="115">
        <f>Sleutels240ltr_Afroep_lediging</f>
        <v>0</v>
      </c>
      <c r="K81" s="116">
        <f>Sleutels240ltr_Huur_container</f>
        <v>0</v>
      </c>
      <c r="L81" s="116" t="s">
        <v>47</v>
      </c>
      <c r="M81" s="116" t="s">
        <v>47</v>
      </c>
      <c r="N81" s="116"/>
      <c r="O81" s="155"/>
      <c r="P81" s="156">
        <f t="shared" si="15"/>
        <v>0</v>
      </c>
      <c r="Q81" s="121">
        <f t="shared" si="16"/>
        <v>0</v>
      </c>
      <c r="R81" s="157" t="s">
        <v>47</v>
      </c>
      <c r="S81" s="155" t="s">
        <v>47</v>
      </c>
      <c r="T81" s="158"/>
      <c r="U81" s="159"/>
      <c r="V81" s="143">
        <f t="shared" si="17"/>
        <v>0</v>
      </c>
    </row>
    <row r="82" spans="2:23" ht="17.25" customHeight="1" thickBot="1">
      <c r="B82" s="160"/>
      <c r="C82" s="161"/>
      <c r="D82" s="162"/>
      <c r="E82" s="163"/>
      <c r="F82" s="163"/>
      <c r="G82" s="162"/>
      <c r="H82" s="162"/>
      <c r="I82" s="162"/>
      <c r="J82" s="161"/>
      <c r="K82" s="161"/>
      <c r="L82" s="161"/>
      <c r="M82" s="161"/>
      <c r="N82" s="161"/>
      <c r="O82" s="161"/>
      <c r="P82" s="161"/>
      <c r="Q82" s="164"/>
      <c r="R82" s="164"/>
      <c r="S82" s="164"/>
      <c r="T82" s="164"/>
      <c r="U82" s="159"/>
      <c r="V82" s="165"/>
      <c r="W82" s="127">
        <f>SUM(V42:V81)</f>
        <v>0</v>
      </c>
    </row>
    <row r="83" spans="2:23" ht="25.35" customHeight="1">
      <c r="E83" s="126"/>
      <c r="F83" s="126"/>
      <c r="Q83" s="125"/>
      <c r="R83" s="125"/>
      <c r="S83" s="125"/>
      <c r="T83" s="125"/>
      <c r="U83" s="125"/>
      <c r="W83" s="125"/>
    </row>
    <row r="84" spans="2:23">
      <c r="C84" s="166"/>
      <c r="F84" s="167"/>
      <c r="K84" s="125"/>
      <c r="U84" s="168"/>
      <c r="W84" s="125"/>
    </row>
    <row r="85" spans="2:23">
      <c r="C85" s="166"/>
      <c r="F85" s="167"/>
      <c r="K85" s="125"/>
      <c r="U85" s="168"/>
      <c r="W85" s="125"/>
    </row>
    <row r="86" spans="2:23" ht="14.65" thickBot="1"/>
    <row r="87" spans="2:23" ht="23.65" thickBot="1">
      <c r="Q87" s="213" t="s">
        <v>48</v>
      </c>
      <c r="R87" s="213"/>
      <c r="S87" s="213"/>
      <c r="T87" s="213"/>
      <c r="U87" s="213"/>
      <c r="W87" s="169">
        <f>W38+W82</f>
        <v>0</v>
      </c>
    </row>
  </sheetData>
  <sheetProtection algorithmName="SHA-512" hashValue="Yjg+62w3Ou2wQIuNNtZrPskpHVNG7drbRdk5sp2xr/7W0AfsRpiMJxyW6SR9jXo+EEpT+oXT9O7Q662d7YCJHQ==" saltValue="sCEuU1Fc9kljAupNKtKvsQ==" spinCount="100000" sheet="1" objects="1" scenarios="1"/>
  <mergeCells count="8">
    <mergeCell ref="B1:D1"/>
    <mergeCell ref="Q87:U87"/>
    <mergeCell ref="D2:I2"/>
    <mergeCell ref="J2:O2"/>
    <mergeCell ref="D40:I40"/>
    <mergeCell ref="J40:O40"/>
    <mergeCell ref="P2:V2"/>
    <mergeCell ref="P40:V40"/>
  </mergeCells>
  <pageMargins left="0.70866141732283472" right="0.70866141732283472" top="0.74803149606299213" bottom="0.74803149606299213" header="0.31496062992125984" footer="0.31496062992125984"/>
  <pageSetup paperSize="8" scale="31" orientation="landscape" r:id="rId1"/>
  <colBreaks count="1" manualBreakCount="1">
    <brk id="2" max="8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5da0ebd0e31edfa0e37216fe8760c8b">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75a5a0ac405189989cc6066221bfabae"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FormConfiguration><![CDATA[{"formFields":[],"formDataEntries":[]}]]></TemplafyFormConfiguration>
</file>

<file path=customXml/item4.xml><?xml version="1.0" encoding="utf-8"?>
<TemplafyTemplateConfiguration><![CDATA[{"transformationConfigurations":[],"templateName":"blankspreadsheet","templateDescription":"","enableDocumentContentUpdater":false,"version":"2.0"}]]></TemplafyTemplateConfiguration>
</file>

<file path=customXml/item5.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Props1.xml><?xml version="1.0" encoding="utf-8"?>
<ds:datastoreItem xmlns:ds="http://schemas.openxmlformats.org/officeDocument/2006/customXml" ds:itemID="{ABA9A7C8-9288-47BC-8C12-67260745ACB3}">
  <ds:schemaRefs>
    <ds:schemaRef ds:uri="http://schemas.microsoft.com/sharepoint/v3/contenttype/forms"/>
  </ds:schemaRefs>
</ds:datastoreItem>
</file>

<file path=customXml/itemProps2.xml><?xml version="1.0" encoding="utf-8"?>
<ds:datastoreItem xmlns:ds="http://schemas.openxmlformats.org/officeDocument/2006/customXml" ds:itemID="{1199CEE8-BA84-4FDD-A514-1CC9C20A9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d072ca85-ceee-4ba7-9f7c-14d79416f14b"/>
    <ds:schemaRef ds:uri="16c3c7ec-065b-46fd-9a79-9384ce86c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426A89-3B12-47AC-ADFB-3DDD37C1D37C}">
  <ds:schemaRefs/>
</ds:datastoreItem>
</file>

<file path=customXml/itemProps4.xml><?xml version="1.0" encoding="utf-8"?>
<ds:datastoreItem xmlns:ds="http://schemas.openxmlformats.org/officeDocument/2006/customXml" ds:itemID="{A4BB016A-A7E2-4ADE-9137-2BA2DA115578}">
  <ds:schemaRefs/>
</ds:datastoreItem>
</file>

<file path=customXml/itemProps5.xml><?xml version="1.0" encoding="utf-8"?>
<ds:datastoreItem xmlns:ds="http://schemas.openxmlformats.org/officeDocument/2006/customXml" ds:itemID="{BC0175AC-C8F0-4751-AA0E-F462DE07B8F9}">
  <ds:schemaRefs>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16c3c7ec-065b-46fd-9a79-9384ce86cc5f"/>
    <ds:schemaRef ds:uri="http://schemas.microsoft.com/sharepoint/v3"/>
    <ds:schemaRef ds:uri="http://purl.org/dc/terms/"/>
    <ds:schemaRef ds:uri="d072ca85-ceee-4ba7-9f7c-14d79416f14b"/>
    <ds:schemaRef ds:uri="e1f914b6-a544-4516-8258-dce33e67d544"/>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268</vt:i4>
      </vt:variant>
    </vt:vector>
  </HeadingPairs>
  <TitlesOfParts>
    <vt:vector size="273" baseType="lpstr">
      <vt:lpstr>Instructie</vt:lpstr>
      <vt:lpstr>1. Invulblad Voorblad</vt:lpstr>
      <vt:lpstr>2. Invulblad Abonnement</vt:lpstr>
      <vt:lpstr>3. Invulblad Legen op afroep</vt:lpstr>
      <vt:lpstr>Totaalprijs</vt:lpstr>
      <vt:lpstr>'1. Invulblad Voorblad'!Afdrukbereik</vt:lpstr>
      <vt:lpstr>'2. Invulblad Abonnement'!Afdrukbereik</vt:lpstr>
      <vt:lpstr>'3. Invulblad Legen op afroep'!Afdrukbereik</vt:lpstr>
      <vt:lpstr>Instructie!Afdrukbereik</vt:lpstr>
      <vt:lpstr>Totaalprijs!Afdrukbereik</vt:lpstr>
      <vt:lpstr>Batterijen_60ltr_Afroep_lediging</vt:lpstr>
      <vt:lpstr>Batterijen60ltr_Huur_container</vt:lpstr>
      <vt:lpstr>GFT120ltr_1_x_per_week</vt:lpstr>
      <vt:lpstr>GFT120ltr_1x_2_per_weken</vt:lpstr>
      <vt:lpstr>GFT120ltr_2x_per_week</vt:lpstr>
      <vt:lpstr>GFT120ltr_Afroep_lediging</vt:lpstr>
      <vt:lpstr>GFT120ltr_extra_lediging</vt:lpstr>
      <vt:lpstr>GFT120ltr_Huur_container</vt:lpstr>
      <vt:lpstr>GFT240ltr_1_x_per_week</vt:lpstr>
      <vt:lpstr>GFT240ltr_1x_2_per_weken</vt:lpstr>
      <vt:lpstr>GFT240ltr_2x_per_week</vt:lpstr>
      <vt:lpstr>GFT240ltr_Afroep_lediging</vt:lpstr>
      <vt:lpstr>GFT240ltr_extra_lediging</vt:lpstr>
      <vt:lpstr>GFT240ltr_Huur_container</vt:lpstr>
      <vt:lpstr>Glas240lt_1x_per_4_weken</vt:lpstr>
      <vt:lpstr>Glas240ltr_1_x_per_2_weken</vt:lpstr>
      <vt:lpstr>Glas240ltr_1_x_per_week</vt:lpstr>
      <vt:lpstr>Glas240ltr_Afroep</vt:lpstr>
      <vt:lpstr>Glas240ltr_extra_lediging</vt:lpstr>
      <vt:lpstr>Glas240ltr_huur_container_afroep</vt:lpstr>
      <vt:lpstr>Inschrijflijst</vt:lpstr>
      <vt:lpstr>Kentekens240ltr_Afroep_lediging</vt:lpstr>
      <vt:lpstr>Kentekens240ltr_Huur_container</vt:lpstr>
      <vt:lpstr>medicijnbox_10_ltr_Afroep_lediging</vt:lpstr>
      <vt:lpstr>Medicijnen10ltr_Huur_box</vt:lpstr>
      <vt:lpstr>Papier1000ltr_1_x_per_2_weken</vt:lpstr>
      <vt:lpstr>Papier1000ltr_1_x_per_week</vt:lpstr>
      <vt:lpstr>Papier1000ltr_1x_per_4_weken</vt:lpstr>
      <vt:lpstr>Papier1000ltr_2x_per_week</vt:lpstr>
      <vt:lpstr>Papier1000ltr_Afroep_lediging</vt:lpstr>
      <vt:lpstr>Papier1000ltr_extra_lediging</vt:lpstr>
      <vt:lpstr>Papier1000ltr_Huur_container</vt:lpstr>
      <vt:lpstr>Papier1100ltr_1_x_per_2_weken</vt:lpstr>
      <vt:lpstr>Papier1100ltr_1_x_per_week</vt:lpstr>
      <vt:lpstr>Papier1100ltr_1x_per_4_weken</vt:lpstr>
      <vt:lpstr>Papier1100ltr_2x_per_week</vt:lpstr>
      <vt:lpstr>Papier1100ltr_Afroep_lediging</vt:lpstr>
      <vt:lpstr>Papier1100ltr_extra_lediging</vt:lpstr>
      <vt:lpstr>Papier1100ltr_Huur_container</vt:lpstr>
      <vt:lpstr>Papier1300ltr_1x_per_2_weken</vt:lpstr>
      <vt:lpstr>Papier1300ltr_1x_per_4_weken</vt:lpstr>
      <vt:lpstr>Papier1300ltr_1x_per_week</vt:lpstr>
      <vt:lpstr>Papier1300ltr_2x_per_week</vt:lpstr>
      <vt:lpstr>Papier1300ltr_Extra_lediging</vt:lpstr>
      <vt:lpstr>Papier1300ltr_Huur_container</vt:lpstr>
      <vt:lpstr>Papier1300ltr_Lediging_op_Afroep</vt:lpstr>
      <vt:lpstr>Papier240ltr_1_x_per_2_weken</vt:lpstr>
      <vt:lpstr>Papier240ltr_1_x_per_week</vt:lpstr>
      <vt:lpstr>Papier240ltr_1x_per_4_weken</vt:lpstr>
      <vt:lpstr>Papier240ltr_2x_per_week</vt:lpstr>
      <vt:lpstr>Papier240ltr_Afroep_lediging</vt:lpstr>
      <vt:lpstr>Papier240ltr_extra_lediging</vt:lpstr>
      <vt:lpstr>Papier240ltr_Huur_container</vt:lpstr>
      <vt:lpstr>Papier500ltr_1_x_per_2_weken</vt:lpstr>
      <vt:lpstr>Papier500ltr_1_x_per_week</vt:lpstr>
      <vt:lpstr>Papier500ltr_1x_per_4_weken</vt:lpstr>
      <vt:lpstr>Papier500ltr_2x_per_week</vt:lpstr>
      <vt:lpstr>Papier500ltr_Afroep_lediging</vt:lpstr>
      <vt:lpstr>Papier500ltr_extra_lediging</vt:lpstr>
      <vt:lpstr>Papier500ltr_Huur_container</vt:lpstr>
      <vt:lpstr>Papier660ltr_1_x_per_2_weken</vt:lpstr>
      <vt:lpstr>Papier660ltr_1_x_per_week</vt:lpstr>
      <vt:lpstr>Papier660ltr_1x_per_4_weken</vt:lpstr>
      <vt:lpstr>Papier660ltr_2x_per_week</vt:lpstr>
      <vt:lpstr>Papier660ltr_Afroep_lediging</vt:lpstr>
      <vt:lpstr>Papier660ltr_extra_lediging</vt:lpstr>
      <vt:lpstr>Papier660ltr_Huur_container</vt:lpstr>
      <vt:lpstr>Papier750_770ltr_1_x_per_2_weken</vt:lpstr>
      <vt:lpstr>Papier750_770ltr_1_x_per_week</vt:lpstr>
      <vt:lpstr>Papier750_770ltr_1x_per_4_weken</vt:lpstr>
      <vt:lpstr>Papier750_770ltr_2x_per_week</vt:lpstr>
      <vt:lpstr>Papier750_770ltr_Afroep_lediging</vt:lpstr>
      <vt:lpstr>Papier750_770ltr_extra_lediging</vt:lpstr>
      <vt:lpstr>Papier750_770ltr_Huur_container</vt:lpstr>
      <vt:lpstr>PD_1000ltr_1_x_per_2_weken</vt:lpstr>
      <vt:lpstr>PD_1000ltr_1_x_per_week</vt:lpstr>
      <vt:lpstr>PD_1000ltr_1x_per_4_weken</vt:lpstr>
      <vt:lpstr>PD_1000ltr_2x_per_week</vt:lpstr>
      <vt:lpstr>PD_1000ltr_extra_lediging</vt:lpstr>
      <vt:lpstr>PD_1000ltr_huur_container</vt:lpstr>
      <vt:lpstr>PD_1000ltr_lediging</vt:lpstr>
      <vt:lpstr>PD_1100ltr_1_x_per_2_weken</vt:lpstr>
      <vt:lpstr>PD_1100ltr_1_x_per_week</vt:lpstr>
      <vt:lpstr>PD_1100ltr_1x_per_4_weken</vt:lpstr>
      <vt:lpstr>PD_1100ltr_2x_per_week</vt:lpstr>
      <vt:lpstr>PD_1100ltr_extra_lediging</vt:lpstr>
      <vt:lpstr>PD_1100ltr_huur_container</vt:lpstr>
      <vt:lpstr>PD_1100ltr_lediging</vt:lpstr>
      <vt:lpstr>PD_240ltr_1_x_per_2_weken</vt:lpstr>
      <vt:lpstr>PD_240ltr_1_x_per_week</vt:lpstr>
      <vt:lpstr>PD_240ltr_1x_per_4_weken</vt:lpstr>
      <vt:lpstr>PD_240ltr_2x_per_week</vt:lpstr>
      <vt:lpstr>PD_240ltr_extra_lediging</vt:lpstr>
      <vt:lpstr>PD_240ltr_huur_container</vt:lpstr>
      <vt:lpstr>PD_240ltr_lediging</vt:lpstr>
      <vt:lpstr>PD_500ltr_1_x_per_2_weken</vt:lpstr>
      <vt:lpstr>PD_500ltr_1_x_per_week</vt:lpstr>
      <vt:lpstr>PD_500ltr_1x_per_4_weken</vt:lpstr>
      <vt:lpstr>PD_500ltr_2x_per_week</vt:lpstr>
      <vt:lpstr>PD_500ltr_extra_lediging</vt:lpstr>
      <vt:lpstr>PD_500ltr_huur_container</vt:lpstr>
      <vt:lpstr>PD_500ltr_lediging</vt:lpstr>
      <vt:lpstr>PD_660ltr_1_x_per_2_weken</vt:lpstr>
      <vt:lpstr>PD_660ltr_1_x_per_week</vt:lpstr>
      <vt:lpstr>PD_660ltr_1x_per_4_weken</vt:lpstr>
      <vt:lpstr>PD_660ltr_2x_per_week</vt:lpstr>
      <vt:lpstr>PD_660ltr_extra_lediging</vt:lpstr>
      <vt:lpstr>PD_660ltr_huur_container</vt:lpstr>
      <vt:lpstr>PD_660ltr_lediging</vt:lpstr>
      <vt:lpstr>PD_750_770ltr_1_x_per_2_weken</vt:lpstr>
      <vt:lpstr>PD_750_770ltr_1_x_per_week</vt:lpstr>
      <vt:lpstr>PD_750_770ltr_1x_per_4_weken</vt:lpstr>
      <vt:lpstr>PD_750_770ltr_2x_per_week</vt:lpstr>
      <vt:lpstr>PD_750_770ltr_extra_lediging</vt:lpstr>
      <vt:lpstr>PD_750_770ltr_huur_container</vt:lpstr>
      <vt:lpstr>PD_750_770ltr_lediging</vt:lpstr>
      <vt:lpstr>Perscontainer_10_m3_Huur</vt:lpstr>
      <vt:lpstr>Perscontainer_10_m3_Transport</vt:lpstr>
      <vt:lpstr>Perscontainer_10_m3_Verwerking_per_ton</vt:lpstr>
      <vt:lpstr>PMD1000ltr_1_x_per_2_weken</vt:lpstr>
      <vt:lpstr>PMD1000ltr_1_x_per_week</vt:lpstr>
      <vt:lpstr>PMD1000ltr_1x_per_4_weken</vt:lpstr>
      <vt:lpstr>PMD1000ltr_2x_per_week</vt:lpstr>
      <vt:lpstr>PMD1000ltr_Afroep_lediging</vt:lpstr>
      <vt:lpstr>PMD1000ltr_extra_lediging</vt:lpstr>
      <vt:lpstr>PMD1000ltr_Huur_container</vt:lpstr>
      <vt:lpstr>PMD1100ltr_1_x_per_2_weken</vt:lpstr>
      <vt:lpstr>PMD1100ltr_1_x_per_week</vt:lpstr>
      <vt:lpstr>PMD1100ltr_1x_per_4_weken</vt:lpstr>
      <vt:lpstr>PMD1100ltr_2x_per_week</vt:lpstr>
      <vt:lpstr>PMD1100ltr_Afroep_lediging</vt:lpstr>
      <vt:lpstr>PMD1100ltr_extra_lediging</vt:lpstr>
      <vt:lpstr>PMD1100ltr_Huur_container</vt:lpstr>
      <vt:lpstr>PMD240ltr_1_x_per_2_weken</vt:lpstr>
      <vt:lpstr>PMD240ltr_1_x_per_week</vt:lpstr>
      <vt:lpstr>PMD240ltr_1x_per_4_weken</vt:lpstr>
      <vt:lpstr>PMD240ltr_2x_per_week</vt:lpstr>
      <vt:lpstr>PMD240ltr_Afroep_lediging</vt:lpstr>
      <vt:lpstr>PMD240ltr_extra_lediging</vt:lpstr>
      <vt:lpstr>PMD240ltr_Huur_container</vt:lpstr>
      <vt:lpstr>PMD500ltr_1_x_per_2_weken</vt:lpstr>
      <vt:lpstr>PMD500ltr_1_x_per_week</vt:lpstr>
      <vt:lpstr>PMD500ltr_1x_per_4_weken</vt:lpstr>
      <vt:lpstr>PMD500ltr_2x_per_week</vt:lpstr>
      <vt:lpstr>PMD500ltr_Afroep_lediging</vt:lpstr>
      <vt:lpstr>PMD500ltr_extra_lediging</vt:lpstr>
      <vt:lpstr>PMD500ltr_Huur_container</vt:lpstr>
      <vt:lpstr>PMD660ltr_1_x_per_2_weken</vt:lpstr>
      <vt:lpstr>PMD660ltr_1_x_per_week</vt:lpstr>
      <vt:lpstr>PMD660ltr_1x_per_4_weken</vt:lpstr>
      <vt:lpstr>PMD660ltr_2x_per_week</vt:lpstr>
      <vt:lpstr>PMD660ltr_Afroep_lediging</vt:lpstr>
      <vt:lpstr>PMD660ltr_extra_lediging</vt:lpstr>
      <vt:lpstr>PMD660ltr_huur_container</vt:lpstr>
      <vt:lpstr>PMD750_770ltr_1_x_per_2_weken</vt:lpstr>
      <vt:lpstr>PMD750_770ltr_1_x_per_week</vt:lpstr>
      <vt:lpstr>PMD750_770ltr_1x_per_4_weken</vt:lpstr>
      <vt:lpstr>PMD750_770ltr_2x_per_week</vt:lpstr>
      <vt:lpstr>PMD750_770ltr_Afroep_lediging</vt:lpstr>
      <vt:lpstr>PMD750_770ltr_extra_lediging</vt:lpstr>
      <vt:lpstr>PMD750_770ltr_Huur_container</vt:lpstr>
      <vt:lpstr>Rest_10m3_Huur_Perscontainer</vt:lpstr>
      <vt:lpstr>Rest1000ltr_1_x_per_week</vt:lpstr>
      <vt:lpstr>Rest1000ltr_1x_per_2_weken</vt:lpstr>
      <vt:lpstr>Rest1000ltr_1x_per_4_weken</vt:lpstr>
      <vt:lpstr>Rest1000ltr_2x_per_week</vt:lpstr>
      <vt:lpstr>Rest1000ltr_3_x_per_week</vt:lpstr>
      <vt:lpstr>Rest1000ltr_Afroep_lediging</vt:lpstr>
      <vt:lpstr>Rest1000ltr_Extra_lediging</vt:lpstr>
      <vt:lpstr>Rest1000ltr_Huur_container</vt:lpstr>
      <vt:lpstr>Rest1000ltr_Lediging_op_Afroep</vt:lpstr>
      <vt:lpstr>Rest1100ltr_1_x_per_week</vt:lpstr>
      <vt:lpstr>Rest1100ltr_1x_per_2_weken</vt:lpstr>
      <vt:lpstr>Rest1100ltr_1x_per_4_weken</vt:lpstr>
      <vt:lpstr>Rest1100ltr_2x_per_week</vt:lpstr>
      <vt:lpstr>Rest1100ltr_3_x_per_week</vt:lpstr>
      <vt:lpstr>Rest1100ltr_Extra_lediging</vt:lpstr>
      <vt:lpstr>Rest1100ltr_Huur_container</vt:lpstr>
      <vt:lpstr>Rest1100ltr_Lediging_op_Afroep</vt:lpstr>
      <vt:lpstr>Rest1300ltr_1_x_per_week</vt:lpstr>
      <vt:lpstr>Rest1300ltr_1x_per_2_weken</vt:lpstr>
      <vt:lpstr>Rest1300ltr_1x_per_4_weken</vt:lpstr>
      <vt:lpstr>Rest1300ltr_2x_per_week</vt:lpstr>
      <vt:lpstr>Rest1300ltr_3_x_per_week</vt:lpstr>
      <vt:lpstr>Rest1300ltr_Extra_lediging</vt:lpstr>
      <vt:lpstr>Rest1300ltr_Huur_container</vt:lpstr>
      <vt:lpstr>Rest1300ltr_Lediging_op_Afroep</vt:lpstr>
      <vt:lpstr>Rest1600ltr_1_x_per_week</vt:lpstr>
      <vt:lpstr>Rest1600ltr_1x_per_2_weken</vt:lpstr>
      <vt:lpstr>Rest1600ltr_1x_per_4_weken</vt:lpstr>
      <vt:lpstr>Rest1600ltr_2x_per_week</vt:lpstr>
      <vt:lpstr>Rest1600ltr_3_x_per_week</vt:lpstr>
      <vt:lpstr>Rest1600ltr_Extra_lediging</vt:lpstr>
      <vt:lpstr>Rest1600ltr_Huur_container</vt:lpstr>
      <vt:lpstr>Rest1600ltr_Lediging_op_Afroep</vt:lpstr>
      <vt:lpstr>Rest240ltr_1_x_per_2_weken</vt:lpstr>
      <vt:lpstr>Rest240ltr_1_x_per_week</vt:lpstr>
      <vt:lpstr>Rest240ltr_1x_per_4_weken</vt:lpstr>
      <vt:lpstr>Rest240ltr_2x_per_week</vt:lpstr>
      <vt:lpstr>Rest240ltr_3_x_per_week</vt:lpstr>
      <vt:lpstr>Rest240ltr_Extra_lediging</vt:lpstr>
      <vt:lpstr>Rest240ltr_Huur_container</vt:lpstr>
      <vt:lpstr>Rest240ltr_Lediging_op_Afroep</vt:lpstr>
      <vt:lpstr>Rest2500ltr_1_x_per_week</vt:lpstr>
      <vt:lpstr>Rest2500ltr_1x_per_2_weken</vt:lpstr>
      <vt:lpstr>Rest2500ltr_1x_per_4_weken</vt:lpstr>
      <vt:lpstr>Rest2500ltr_2x_per_week</vt:lpstr>
      <vt:lpstr>Rest2500ltr_3_x_per_week</vt:lpstr>
      <vt:lpstr>Rest2500ltr_Extra_lediging</vt:lpstr>
      <vt:lpstr>Rest2500ltr_Huur_container</vt:lpstr>
      <vt:lpstr>Rest2500ltr_Lediging_op_Afroep</vt:lpstr>
      <vt:lpstr>Rest500ltr_1_x_per_week</vt:lpstr>
      <vt:lpstr>Rest500ltr_1x_per_2_weken</vt:lpstr>
      <vt:lpstr>Rest500ltr_1x_per_4_weken</vt:lpstr>
      <vt:lpstr>Rest500ltr_2x_per_week</vt:lpstr>
      <vt:lpstr>Rest500ltr_3_x_per_week</vt:lpstr>
      <vt:lpstr>Rest500ltr_Afroep_lediging</vt:lpstr>
      <vt:lpstr>Rest500ltr_Extra_lediging</vt:lpstr>
      <vt:lpstr>Rest500ltr_Huur_container</vt:lpstr>
      <vt:lpstr>Rest500ltr_Lediging_op_Afroep</vt:lpstr>
      <vt:lpstr>Rest6600ltr_1x_per_2_weken</vt:lpstr>
      <vt:lpstr>Rest660ltr_1_x_per_week</vt:lpstr>
      <vt:lpstr>Rest660ltr_1x_per_4_weken</vt:lpstr>
      <vt:lpstr>Rest660ltr_2x_per_week</vt:lpstr>
      <vt:lpstr>Rest660ltr_3_x_per_week</vt:lpstr>
      <vt:lpstr>Rest660ltr_Afroep_lediging</vt:lpstr>
      <vt:lpstr>Rest660ltr_Extra_lediging</vt:lpstr>
      <vt:lpstr>Rest660ltr_Huur_container</vt:lpstr>
      <vt:lpstr>Rest660ltr_Lediging_op_Afroep</vt:lpstr>
      <vt:lpstr>Rest750_770ltr_1_x_per_week</vt:lpstr>
      <vt:lpstr>Rest750_770ltr_1x_per_2_weken</vt:lpstr>
      <vt:lpstr>Rest750_770ltr_1x_per_4_weken</vt:lpstr>
      <vt:lpstr>Rest750_770ltr_2x_per_week</vt:lpstr>
      <vt:lpstr>Rest750_770ltr_3_x_per_week</vt:lpstr>
      <vt:lpstr>Rest750_770ltr_Afroep_lediging</vt:lpstr>
      <vt:lpstr>Rest750_770ltr_Extra_lediging</vt:lpstr>
      <vt:lpstr>Rest750_770ltr_Huur_container</vt:lpstr>
      <vt:lpstr>Rest750_770ltr_Lediging_op_Afroep</vt:lpstr>
      <vt:lpstr>Sleutels240ltr_Afroep_lediging</vt:lpstr>
      <vt:lpstr>Sleutels240ltr_Huur_container</vt:lpstr>
      <vt:lpstr>Spuiten_en_naalden_box_10_ltr_Afroep_lediging</vt:lpstr>
      <vt:lpstr>Spuiten_en_naalden10ltr_Huur_box</vt:lpstr>
      <vt:lpstr>Vertrouwelijk_papier240ltr_1_x_per_2_weken</vt:lpstr>
      <vt:lpstr>Vertrouwelijk_papier240ltr_1_x_per_week</vt:lpstr>
      <vt:lpstr>Vertrouwelijk_papier240ltr_1x_per_4_weken</vt:lpstr>
      <vt:lpstr>Vertrouwelijk_papier240ltr_2x_per_week</vt:lpstr>
      <vt:lpstr>Vertrouwelijk_papier240ltr_Afroep_lediging</vt:lpstr>
      <vt:lpstr>Vertrouwelijk_papier240ltr_extra_lediging</vt:lpstr>
      <vt:lpstr>Vertrouwelijk_papier240ltr_Huur_container</vt:lpstr>
      <vt:lpstr>Vertrouwelijk_papier500ltr_1_x_per_2_weken</vt:lpstr>
      <vt:lpstr>Vertrouwelijk_papier500ltr_1_x_per_week</vt:lpstr>
      <vt:lpstr>Vertrouwelijk_papier500ltr_1x_per_4_weken</vt:lpstr>
      <vt:lpstr>Vertrouwelijk_papier500ltr_2x_per_week</vt:lpstr>
      <vt:lpstr>Vertrouwelijk_papier500ltr_Afroep_lediging</vt:lpstr>
      <vt:lpstr>Vertrouwelijk_papier500ltr_extra_lediging</vt:lpstr>
      <vt:lpstr>Vertrouwelijk_papier500ltr_Huur_container</vt:lpstr>
      <vt:lpstr>Vertrouwelijk_papier660ltr_1_x_per_2_weken</vt:lpstr>
      <vt:lpstr>Vertrouwelijk_papier660ltr_1_x_per_week</vt:lpstr>
      <vt:lpstr>Vertrouwelijk_papier660ltr_1x_per_4_weken</vt:lpstr>
      <vt:lpstr>Vertrouwelijk_papier660ltr_2x_per_week</vt:lpstr>
      <vt:lpstr>Vertrouwelijk_papier660ltr_Afroep_lediging</vt:lpstr>
      <vt:lpstr>Vertrouwelijk_papier660ltr_extra_lediging</vt:lpstr>
      <vt:lpstr>Vertrouwelijk_papier660ltr_Huur_container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2025-03-18T15:27:42Z</dcterms:created>
  <dcterms:modified xsi:type="dcterms:W3CDTF">2025-09-18T17:33:24Z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almere</vt:lpwstr>
  </property>
  <property fmtid="{D5CDD505-2E9C-101B-9397-08002B2CF9AE}" pid="3" name="TemplafyTemplateId">
    <vt:lpwstr>970965593095143451</vt:lpwstr>
  </property>
  <property fmtid="{D5CDD505-2E9C-101B-9397-08002B2CF9AE}" pid="4" name="TemplafyUserProfileId">
    <vt:lpwstr>1141081431629628509</vt:lpwstr>
  </property>
  <property fmtid="{D5CDD505-2E9C-101B-9397-08002B2CF9AE}" pid="5" name="TemplafyFromBlank">
    <vt:bool>true</vt:bool>
  </property>
  <property fmtid="{D5CDD505-2E9C-101B-9397-08002B2CF9AE}" pid="6" name="ContentTypeId">
    <vt:lpwstr>0x0101001D6725027AA6D94184715C22B54FB4C8</vt:lpwstr>
  </property>
</Properties>
</file>