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U:\Rijkswaterstaat\31204894 Eemsgeul 2026\NvI\Documenten\"/>
    </mc:Choice>
  </mc:AlternateContent>
  <xr:revisionPtr revIDLastSave="0" documentId="13_ncr:1_{660D86DD-77E1-4C2F-B1EB-32EADE84C6B7}" xr6:coauthVersionLast="47" xr6:coauthVersionMax="47" xr10:uidLastSave="{00000000-0000-0000-0000-000000000000}"/>
  <bookViews>
    <workbookView xWindow="2730" yWindow="2730" windowWidth="33165" windowHeight="17700" tabRatio="863" firstSheet="2" activeTab="4" xr2:uid="{DAFB1C0C-E40E-4472-9490-AAED4905553B}"/>
  </bookViews>
  <sheets>
    <sheet name="Basisgegevens van Wiebe" sheetId="2" state="hidden" r:id="rId1"/>
    <sheet name="Gedachten kronkels Wiebe" sheetId="1" state="hidden" r:id="rId2"/>
    <sheet name="Fictief scenario" sheetId="3" r:id="rId3"/>
    <sheet name="Baggercycl per vak &amp; loslocatie" sheetId="5" state="hidden" r:id="rId4"/>
    <sheet name="Detailbegroting" sheetId="121" r:id="rId5"/>
    <sheet name="Concept" sheetId="18" state="hidden" r:id="rId6"/>
  </sheets>
  <definedNames>
    <definedName name="_Toc107909354" localSheetId="1">'Gedachten kronkels Wiebe'!$B$2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21" l="1"/>
  <c r="I8" i="121"/>
  <c r="J8" i="121"/>
  <c r="K8" i="121"/>
  <c r="L8" i="121"/>
  <c r="M8" i="121"/>
  <c r="N8" i="121"/>
  <c r="O8" i="121"/>
  <c r="O27" i="121" s="1"/>
  <c r="O29" i="121" s="1"/>
  <c r="P8" i="121"/>
  <c r="Q8" i="121"/>
  <c r="Q27" i="121" s="1"/>
  <c r="Q29" i="121" s="1"/>
  <c r="R8" i="121"/>
  <c r="S8" i="121"/>
  <c r="T8" i="121"/>
  <c r="U8" i="121"/>
  <c r="V8" i="121"/>
  <c r="W8" i="121"/>
  <c r="X8" i="121"/>
  <c r="Y8" i="121"/>
  <c r="Z8" i="121"/>
  <c r="AA8" i="121"/>
  <c r="AB8" i="121"/>
  <c r="AC8" i="121"/>
  <c r="AD8" i="121"/>
  <c r="AD27" i="121" s="1"/>
  <c r="AD29" i="121" s="1"/>
  <c r="AE8" i="121"/>
  <c r="AE27" i="121" s="1"/>
  <c r="AE29" i="121" s="1"/>
  <c r="AF8" i="121"/>
  <c r="AG8" i="121"/>
  <c r="AH8" i="121"/>
  <c r="AI8" i="121"/>
  <c r="AJ8" i="121"/>
  <c r="AK8" i="121"/>
  <c r="AL8" i="121"/>
  <c r="AL27" i="121" s="1"/>
  <c r="AL29" i="121" s="1"/>
  <c r="AM8" i="121"/>
  <c r="AM27" i="121" s="1"/>
  <c r="AM29" i="121" s="1"/>
  <c r="H4" i="121" a="1"/>
  <c r="H4" i="121" s="1"/>
  <c r="I4" i="121" a="1"/>
  <c r="I4" i="121" s="1"/>
  <c r="J4" i="121" a="1"/>
  <c r="J4" i="121" s="1"/>
  <c r="K4" i="121" a="1"/>
  <c r="K4" i="121"/>
  <c r="L4" i="121" a="1"/>
  <c r="L4" i="121" s="1"/>
  <c r="M4" i="121" a="1"/>
  <c r="M4" i="121" s="1"/>
  <c r="N4" i="121" a="1"/>
  <c r="N4" i="121" s="1"/>
  <c r="O4" i="121" a="1"/>
  <c r="O4" i="121"/>
  <c r="P4" i="121" a="1"/>
  <c r="P4" i="121" s="1"/>
  <c r="Q4" i="121" a="1"/>
  <c r="Q4" i="121" s="1"/>
  <c r="R4" i="121" a="1"/>
  <c r="R4" i="121" s="1"/>
  <c r="S4" i="121" a="1"/>
  <c r="S4" i="121"/>
  <c r="T4" i="121" a="1"/>
  <c r="T4" i="121" s="1"/>
  <c r="U4" i="121" a="1"/>
  <c r="U4" i="121" s="1"/>
  <c r="V4" i="121" a="1"/>
  <c r="V4" i="121" s="1"/>
  <c r="W4" i="121" a="1"/>
  <c r="W4" i="121"/>
  <c r="X4" i="121" a="1"/>
  <c r="X4" i="121" s="1"/>
  <c r="Y4" i="121" a="1"/>
  <c r="Y4" i="121" s="1"/>
  <c r="Z4" i="121" a="1"/>
  <c r="Z4" i="121" s="1"/>
  <c r="AA4" i="121" a="1"/>
  <c r="AA4" i="121"/>
  <c r="AB4" i="121" a="1"/>
  <c r="AB4" i="121" s="1"/>
  <c r="AC4" i="121" a="1"/>
  <c r="AC4" i="121" s="1"/>
  <c r="AD4" i="121" a="1"/>
  <c r="AD4" i="121" s="1"/>
  <c r="AE4" i="121" a="1"/>
  <c r="AE4" i="121"/>
  <c r="AF4" i="121" a="1"/>
  <c r="AF4" i="121" s="1"/>
  <c r="AG4" i="121" a="1"/>
  <c r="AG4" i="121" s="1"/>
  <c r="AH4" i="121" a="1"/>
  <c r="AH4" i="121" s="1"/>
  <c r="AI4" i="121" a="1"/>
  <c r="AI4" i="121"/>
  <c r="AJ4" i="121" a="1"/>
  <c r="AJ4" i="121" s="1"/>
  <c r="AK4" i="121" a="1"/>
  <c r="AK4" i="121" s="1"/>
  <c r="AL4" i="121" a="1"/>
  <c r="AL4" i="121" s="1"/>
  <c r="AM4" i="121" a="1"/>
  <c r="AM4" i="121"/>
  <c r="H5" i="121" a="1"/>
  <c r="H5" i="121" s="1"/>
  <c r="I5" i="121" a="1"/>
  <c r="I5" i="121" s="1"/>
  <c r="J5" i="121" a="1"/>
  <c r="J5" i="121" s="1"/>
  <c r="K5" i="121" a="1"/>
  <c r="K5" i="121"/>
  <c r="L5" i="121" a="1"/>
  <c r="L5" i="121" s="1"/>
  <c r="M5" i="121" a="1"/>
  <c r="M5" i="121" s="1"/>
  <c r="N5" i="121" a="1"/>
  <c r="N5" i="121" s="1"/>
  <c r="O5" i="121" a="1"/>
  <c r="O5" i="121"/>
  <c r="P5" i="121" a="1"/>
  <c r="P5" i="121" s="1"/>
  <c r="Q5" i="121" a="1"/>
  <c r="Q5" i="121" s="1"/>
  <c r="R5" i="121" a="1"/>
  <c r="R5" i="121" s="1"/>
  <c r="S5" i="121" a="1"/>
  <c r="S5" i="121"/>
  <c r="T5" i="121" a="1"/>
  <c r="T5" i="121" s="1"/>
  <c r="U5" i="121" a="1"/>
  <c r="U5" i="121" s="1"/>
  <c r="V5" i="121" a="1"/>
  <c r="V5" i="121" s="1"/>
  <c r="W5" i="121" a="1"/>
  <c r="W5" i="121"/>
  <c r="X5" i="121" a="1"/>
  <c r="X5" i="121" s="1"/>
  <c r="Y5" i="121" a="1"/>
  <c r="Y5" i="121" s="1"/>
  <c r="Z5" i="121" a="1"/>
  <c r="Z5" i="121" s="1"/>
  <c r="AA5" i="121" a="1"/>
  <c r="AA5" i="121"/>
  <c r="AB5" i="121" a="1"/>
  <c r="AB5" i="121" s="1"/>
  <c r="AC5" i="121" a="1"/>
  <c r="AC5" i="121" s="1"/>
  <c r="AD5" i="121" a="1"/>
  <c r="AD5" i="121" s="1"/>
  <c r="AE5" i="121" a="1"/>
  <c r="AE5" i="121" s="1"/>
  <c r="AF5" i="121" a="1"/>
  <c r="AF5" i="121" s="1"/>
  <c r="AG5" i="121" a="1"/>
  <c r="AG5" i="121" s="1"/>
  <c r="AH5" i="121" a="1"/>
  <c r="AH5" i="121" s="1"/>
  <c r="AI5" i="121" a="1"/>
  <c r="AI5" i="121"/>
  <c r="AJ5" i="121" a="1"/>
  <c r="AJ5" i="121" s="1"/>
  <c r="AK5" i="121" a="1"/>
  <c r="AK5" i="121" s="1"/>
  <c r="AL5" i="121" a="1"/>
  <c r="AL5" i="121" s="1"/>
  <c r="AM5" i="121" a="1"/>
  <c r="AM5" i="121"/>
  <c r="H3" i="121" a="1"/>
  <c r="H3" i="121" s="1"/>
  <c r="H27" i="121"/>
  <c r="H29" i="121" s="1"/>
  <c r="I27" i="121"/>
  <c r="I29" i="121" s="1"/>
  <c r="J27" i="121"/>
  <c r="J29" i="121" s="1"/>
  <c r="K27" i="121"/>
  <c r="K29" i="121" s="1"/>
  <c r="L27" i="121"/>
  <c r="L29" i="121" s="1"/>
  <c r="M27" i="121"/>
  <c r="N27" i="121"/>
  <c r="N29" i="121" s="1"/>
  <c r="P27" i="121"/>
  <c r="R27" i="121"/>
  <c r="S27" i="121"/>
  <c r="S29" i="121" s="1"/>
  <c r="T27" i="121"/>
  <c r="T29" i="121" s="1"/>
  <c r="U27" i="121"/>
  <c r="U29" i="121" s="1"/>
  <c r="V27" i="121"/>
  <c r="V29" i="121" s="1"/>
  <c r="W27" i="121"/>
  <c r="W29" i="121" s="1"/>
  <c r="X27" i="121"/>
  <c r="X29" i="121" s="1"/>
  <c r="Y27" i="121"/>
  <c r="Y29" i="121" s="1"/>
  <c r="Z27" i="121"/>
  <c r="Z29" i="121" s="1"/>
  <c r="AA27" i="121"/>
  <c r="AA29" i="121" s="1"/>
  <c r="AB27" i="121"/>
  <c r="AB29" i="121" s="1"/>
  <c r="AC27" i="121"/>
  <c r="AF27" i="121"/>
  <c r="AG27" i="121"/>
  <c r="AG29" i="121" s="1"/>
  <c r="AH27" i="121"/>
  <c r="AH29" i="121" s="1"/>
  <c r="AI27" i="121"/>
  <c r="AI29" i="121" s="1"/>
  <c r="AJ27" i="121"/>
  <c r="AJ29" i="121" s="1"/>
  <c r="AK27" i="121"/>
  <c r="M29" i="121"/>
  <c r="P29" i="121"/>
  <c r="R29" i="121"/>
  <c r="AC29" i="121"/>
  <c r="AF29" i="121"/>
  <c r="AK29" i="121"/>
  <c r="H39" i="121"/>
  <c r="J39" i="121"/>
  <c r="O39" i="121"/>
  <c r="R39" i="121"/>
  <c r="W39" i="121"/>
  <c r="Z39" i="121"/>
  <c r="AE39" i="121"/>
  <c r="AH39" i="121"/>
  <c r="AM39" i="121"/>
  <c r="I39" i="121"/>
  <c r="K39" i="121"/>
  <c r="L39" i="121"/>
  <c r="M39" i="121"/>
  <c r="N39" i="121"/>
  <c r="N40" i="121" s="1"/>
  <c r="P39" i="121"/>
  <c r="Q39" i="121"/>
  <c r="S39" i="121"/>
  <c r="T39" i="121"/>
  <c r="U39" i="121"/>
  <c r="V39" i="121"/>
  <c r="X39" i="121"/>
  <c r="Y39" i="121"/>
  <c r="AA39" i="121"/>
  <c r="AB39" i="121"/>
  <c r="AC39" i="121"/>
  <c r="AD39" i="121"/>
  <c r="AF39" i="121"/>
  <c r="AG39" i="121"/>
  <c r="AI39" i="121"/>
  <c r="AJ39" i="121"/>
  <c r="AK39" i="121"/>
  <c r="AL39" i="121"/>
  <c r="B13" i="18"/>
  <c r="B15" i="18" s="1"/>
  <c r="B3" i="18"/>
  <c r="B3" i="5"/>
  <c r="B13" i="5"/>
  <c r="B15" i="5" s="1"/>
  <c r="I15" i="5" s="1"/>
  <c r="I4" i="5"/>
  <c r="G4" i="5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F24" i="2"/>
  <c r="F9" i="2"/>
  <c r="G24" i="2"/>
  <c r="L24" i="2"/>
  <c r="C54" i="2" s="1"/>
  <c r="H54" i="2" s="1"/>
  <c r="L10" i="2"/>
  <c r="C40" i="2" s="1"/>
  <c r="H40" i="2" s="1"/>
  <c r="L11" i="2"/>
  <c r="C41" i="2" s="1"/>
  <c r="L12" i="2"/>
  <c r="C42" i="2"/>
  <c r="L13" i="2"/>
  <c r="C43" i="2"/>
  <c r="H43" i="2" s="1"/>
  <c r="L14" i="2"/>
  <c r="C44" i="2" s="1"/>
  <c r="H44" i="2" s="1"/>
  <c r="L15" i="2"/>
  <c r="C45" i="2" s="1"/>
  <c r="H45" i="2" s="1"/>
  <c r="L16" i="2"/>
  <c r="C46" i="2"/>
  <c r="L17" i="2"/>
  <c r="C47" i="2"/>
  <c r="H47" i="2" s="1"/>
  <c r="L18" i="2"/>
  <c r="C48" i="2"/>
  <c r="L19" i="2"/>
  <c r="C49" i="2" s="1"/>
  <c r="L20" i="2"/>
  <c r="C50" i="2"/>
  <c r="L21" i="2"/>
  <c r="C51" i="2"/>
  <c r="H51" i="2" s="1"/>
  <c r="L22" i="2"/>
  <c r="C52" i="2" s="1"/>
  <c r="H52" i="2" s="1"/>
  <c r="L23" i="2"/>
  <c r="C53" i="2" s="1"/>
  <c r="H53" i="2" s="1"/>
  <c r="L9" i="2"/>
  <c r="C39" i="2" s="1"/>
  <c r="H39" i="2" s="1"/>
  <c r="H41" i="2"/>
  <c r="H42" i="2"/>
  <c r="H46" i="2"/>
  <c r="H48" i="2"/>
  <c r="H49" i="2"/>
  <c r="H50" i="2"/>
  <c r="F10" i="2"/>
  <c r="E10" i="2"/>
  <c r="N10" i="2" s="1"/>
  <c r="D68" i="2" s="1"/>
  <c r="E11" i="2"/>
  <c r="N11" i="2"/>
  <c r="D69" i="2" s="1"/>
  <c r="H69" i="2" s="1"/>
  <c r="E12" i="2"/>
  <c r="N12" i="2" s="1"/>
  <c r="D70" i="2" s="1"/>
  <c r="E13" i="2"/>
  <c r="N13" i="2" s="1"/>
  <c r="D71" i="2" s="1"/>
  <c r="E14" i="2"/>
  <c r="N14" i="2" s="1"/>
  <c r="D72" i="2"/>
  <c r="E15" i="2"/>
  <c r="N15" i="2"/>
  <c r="D73" i="2" s="1"/>
  <c r="E16" i="2"/>
  <c r="N16" i="2"/>
  <c r="D74" i="2"/>
  <c r="E17" i="2"/>
  <c r="N17" i="2"/>
  <c r="D75" i="2"/>
  <c r="E18" i="2"/>
  <c r="N18" i="2" s="1"/>
  <c r="D76" i="2" s="1"/>
  <c r="E19" i="2"/>
  <c r="N19" i="2"/>
  <c r="D77" i="2" s="1"/>
  <c r="H77" i="2" s="1"/>
  <c r="E20" i="2"/>
  <c r="N20" i="2"/>
  <c r="D78" i="2" s="1"/>
  <c r="H78" i="2" s="1"/>
  <c r="E21" i="2"/>
  <c r="N21" i="2" s="1"/>
  <c r="D79" i="2" s="1"/>
  <c r="E22" i="2"/>
  <c r="N22" i="2" s="1"/>
  <c r="D80" i="2" s="1"/>
  <c r="E23" i="2"/>
  <c r="N23" i="2"/>
  <c r="D81" i="2" s="1"/>
  <c r="H81" i="2" s="1"/>
  <c r="E24" i="2"/>
  <c r="N24" i="2"/>
  <c r="D82" i="2"/>
  <c r="E9" i="2"/>
  <c r="N9" i="2"/>
  <c r="D67" i="2" s="1"/>
  <c r="D10" i="2"/>
  <c r="M10" i="2" s="1"/>
  <c r="C68" i="2" s="1"/>
  <c r="D11" i="2"/>
  <c r="M11" i="2"/>
  <c r="C69" i="2" s="1"/>
  <c r="D12" i="2"/>
  <c r="M12" i="2" s="1"/>
  <c r="C70" i="2" s="1"/>
  <c r="D13" i="2"/>
  <c r="M13" i="2" s="1"/>
  <c r="C71" i="2" s="1"/>
  <c r="D14" i="2"/>
  <c r="M14" i="2" s="1"/>
  <c r="C72" i="2"/>
  <c r="D15" i="2"/>
  <c r="M15" i="2" s="1"/>
  <c r="C73" i="2" s="1"/>
  <c r="D16" i="2"/>
  <c r="M16" i="2"/>
  <c r="C74" i="2"/>
  <c r="D17" i="2"/>
  <c r="M17" i="2"/>
  <c r="C75" i="2"/>
  <c r="D18" i="2"/>
  <c r="M18" i="2" s="1"/>
  <c r="C76" i="2" s="1"/>
  <c r="D19" i="2"/>
  <c r="M19" i="2"/>
  <c r="C77" i="2" s="1"/>
  <c r="G77" i="2" s="1"/>
  <c r="D20" i="2"/>
  <c r="M20" i="2"/>
  <c r="C78" i="2"/>
  <c r="D21" i="2"/>
  <c r="M21" i="2" s="1"/>
  <c r="C79" i="2" s="1"/>
  <c r="D22" i="2"/>
  <c r="M22" i="2" s="1"/>
  <c r="C80" i="2"/>
  <c r="D23" i="2"/>
  <c r="M23" i="2"/>
  <c r="C81" i="2" s="1"/>
  <c r="D24" i="2"/>
  <c r="M24" i="2"/>
  <c r="C82" i="2"/>
  <c r="D9" i="2"/>
  <c r="M9" i="2"/>
  <c r="C67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9" i="2"/>
  <c r="F11" i="2"/>
  <c r="F12" i="2"/>
  <c r="F13" i="2"/>
  <c r="F14" i="2"/>
  <c r="F15" i="2"/>
  <c r="F16" i="2"/>
  <c r="F17" i="2"/>
  <c r="F18" i="2"/>
  <c r="F19" i="2"/>
  <c r="F20" i="2"/>
  <c r="F21" i="2"/>
  <c r="F22" i="2"/>
  <c r="G82" i="2"/>
  <c r="H82" i="2"/>
  <c r="I82" i="2"/>
  <c r="H74" i="2"/>
  <c r="G74" i="2"/>
  <c r="I15" i="18" l="1"/>
  <c r="H2" i="121" a="1"/>
  <c r="H2" i="121" s="1"/>
  <c r="H55" i="2"/>
  <c r="I40" i="121"/>
  <c r="H73" i="2"/>
  <c r="G73" i="2"/>
  <c r="Y40" i="121"/>
  <c r="I77" i="2"/>
  <c r="G78" i="2"/>
  <c r="I78" i="2" s="1"/>
  <c r="G70" i="2"/>
  <c r="H70" i="2"/>
  <c r="I70" i="2" s="1"/>
  <c r="H67" i="2"/>
  <c r="G67" i="2"/>
  <c r="H80" i="2"/>
  <c r="G80" i="2"/>
  <c r="AM40" i="121"/>
  <c r="G81" i="2"/>
  <c r="I81" i="2" s="1"/>
  <c r="H75" i="2"/>
  <c r="G75" i="2"/>
  <c r="H72" i="2"/>
  <c r="G72" i="2"/>
  <c r="H68" i="2"/>
  <c r="G68" i="2"/>
  <c r="H76" i="2"/>
  <c r="G76" i="2"/>
  <c r="W40" i="121"/>
  <c r="H79" i="2"/>
  <c r="I79" i="2" s="1"/>
  <c r="G79" i="2"/>
  <c r="Q55" i="2"/>
  <c r="H71" i="2"/>
  <c r="I71" i="2" s="1"/>
  <c r="G71" i="2"/>
  <c r="I74" i="2"/>
  <c r="G69" i="2"/>
  <c r="I69" i="2" s="1"/>
  <c r="J40" i="121"/>
  <c r="H40" i="121" l="1"/>
  <c r="X40" i="121"/>
  <c r="AA40" i="121"/>
  <c r="AF40" i="121"/>
  <c r="AE40" i="121"/>
  <c r="S40" i="121"/>
  <c r="AL40" i="121"/>
  <c r="AD40" i="121"/>
  <c r="AI40" i="121"/>
  <c r="AJ40" i="121"/>
  <c r="P40" i="121"/>
  <c r="R40" i="121"/>
  <c r="AC40" i="121"/>
  <c r="Z40" i="121"/>
  <c r="I75" i="2"/>
  <c r="G83" i="2"/>
  <c r="U40" i="121"/>
  <c r="I73" i="2"/>
  <c r="I76" i="2"/>
  <c r="AG40" i="121"/>
  <c r="AH40" i="121"/>
  <c r="AB40" i="121"/>
  <c r="I67" i="2"/>
  <c r="I83" i="2" s="1"/>
  <c r="I86" i="2" s="1"/>
  <c r="H83" i="2"/>
  <c r="M40" i="121"/>
  <c r="I80" i="2"/>
  <c r="V40" i="121"/>
  <c r="L40" i="121"/>
  <c r="I72" i="2"/>
  <c r="Q40" i="121"/>
  <c r="T40" i="121"/>
  <c r="K40" i="121"/>
  <c r="I68" i="2"/>
  <c r="O40" i="121" l="1"/>
  <c r="AK40" i="121"/>
  <c r="G2" i="121" l="1"/>
  <c r="I2" i="121" a="1"/>
  <c r="I2" i="12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<sst xmlns="http://schemas.openxmlformats.org/spreadsheetml/2006/main" count="541" uniqueCount="160">
  <si>
    <t>Fictief scenario</t>
  </si>
  <si>
    <t>hoeveelheden / jaar</t>
  </si>
  <si>
    <t>afstand</t>
  </si>
  <si>
    <t>afgerond</t>
  </si>
  <si>
    <t>laadlocatie</t>
  </si>
  <si>
    <t>P1 alt</t>
  </si>
  <si>
    <t>P3 alt</t>
  </si>
  <si>
    <t>[TDS]</t>
  </si>
  <si>
    <t>nm</t>
  </si>
  <si>
    <t>P3</t>
  </si>
  <si>
    <t>P3 kort</t>
  </si>
  <si>
    <t>A1</t>
  </si>
  <si>
    <t>A2</t>
  </si>
  <si>
    <t>n.v.t.</t>
  </si>
  <si>
    <t>A3</t>
  </si>
  <si>
    <t>A4</t>
  </si>
  <si>
    <t>B</t>
  </si>
  <si>
    <t>C1</t>
  </si>
  <si>
    <t>C2</t>
  </si>
  <si>
    <t>C3</t>
  </si>
  <si>
    <t>C4</t>
  </si>
  <si>
    <t>C5</t>
  </si>
  <si>
    <t>D1</t>
  </si>
  <si>
    <t>D2</t>
  </si>
  <si>
    <t>E1</t>
  </si>
  <si>
    <t>E2</t>
  </si>
  <si>
    <t>F</t>
  </si>
  <si>
    <t>H</t>
  </si>
  <si>
    <t>Staat van ontleding</t>
  </si>
  <si>
    <t>in te vullen door aannemer</t>
  </si>
  <si>
    <t>A - Sleephopperwerkzaamheden</t>
  </si>
  <si>
    <t xml:space="preserve">I) Laden en lossen </t>
  </si>
  <si>
    <t>Vak</t>
  </si>
  <si>
    <t>hoeveelheden totaal</t>
  </si>
  <si>
    <t>tarief laden</t>
  </si>
  <si>
    <t xml:space="preserve">subtotaal </t>
  </si>
  <si>
    <t>MKI-Waarde</t>
  </si>
  <si>
    <t>[€/TDS]</t>
  </si>
  <si>
    <t>[€]</t>
  </si>
  <si>
    <t>totaal</t>
  </si>
  <si>
    <t>II) Varen Vol en Leeg</t>
  </si>
  <si>
    <t>Tarief transport vol (€/nm)</t>
  </si>
  <si>
    <t>gemiddelde TDS / reis</t>
  </si>
  <si>
    <t>Tarief transport leeg (€/nm)</t>
  </si>
  <si>
    <t>Hoeveelheden per loslocatie</t>
  </si>
  <si>
    <t>afstand naar loslocatie</t>
  </si>
  <si>
    <t>subtotaal varen Vol</t>
  </si>
  <si>
    <t>subtotaal varen Leeg</t>
  </si>
  <si>
    <t>Subtotaal Varen</t>
  </si>
  <si>
    <t>P3 Alt</t>
  </si>
  <si>
    <t xml:space="preserve">B - Addionele werkzaamheden </t>
  </si>
  <si>
    <t>[nm]</t>
  </si>
  <si>
    <t xml:space="preserve">Subtotaal sleephopperzuiger </t>
  </si>
  <si>
    <t>............................</t>
  </si>
  <si>
    <t>…...........</t>
  </si>
  <si>
    <r>
      <t>Bijlage A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Verdana"/>
        <family val="2"/>
      </rPr>
      <t>Format Concept staat van ontleding van de inschrijvingssom</t>
    </r>
  </si>
  <si>
    <t>Format moet opgesteld worden door de kostendeskundige van het project en dient ter vergelijking met de raming.</t>
  </si>
  <si>
    <t>Vaarafstanden [in km]</t>
  </si>
  <si>
    <t>A – SLEEPHOPPERWERKZAAMHEDEN</t>
  </si>
  <si>
    <t>P0</t>
  </si>
  <si>
    <t>P1</t>
  </si>
  <si>
    <t>P2 [C1-C3]</t>
  </si>
  <si>
    <t>P4</t>
  </si>
  <si>
    <t>P6</t>
  </si>
  <si>
    <t xml:space="preserve">I - Laadcomponent per baggervak </t>
  </si>
  <si>
    <t>Laad locatie</t>
  </si>
  <si>
    <t>Verspreidings locatie P1 alt</t>
  </si>
  <si>
    <t xml:space="preserve">Verspreidings locatie P1 </t>
  </si>
  <si>
    <t xml:space="preserve">Verspreidings locatie P3 </t>
  </si>
  <si>
    <t>Tarief per eenheid P0</t>
  </si>
  <si>
    <t>Tarief per eenheid P1</t>
  </si>
  <si>
    <t>Tarief per eenheid P3</t>
  </si>
  <si>
    <t>Aannemingssom op basis van indicatieve hoeveelheid</t>
  </si>
  <si>
    <t>A – Subtotaal sleephopperwerkzaamheden</t>
  </si>
  <si>
    <t>Prijs = TDS × tarief baggervak + volafstand × €X + leegafstand × €Y + stortvergoeding</t>
  </si>
  <si>
    <t>1) Laadcomponent per baggervak (€/TDS)</t>
  </si>
  <si>
    <t>Fictief TDS</t>
  </si>
  <si>
    <t>Laadprijs €/TDS</t>
  </si>
  <si>
    <t>Subtotaal (€)</t>
  </si>
  <si>
    <t>A</t>
  </si>
  <si>
    <t>C</t>
  </si>
  <si>
    <t>D</t>
  </si>
  <si>
    <t>Totaal</t>
  </si>
  <si>
    <t>—</t>
  </si>
  <si>
    <t>2) Transport vol (€/TDS·nm)</t>
  </si>
  <si>
    <t>Formule per vak: TDSv×Dv×tTDS_v \times D_v \times tTDSv​×Dv​×t</t>
  </si>
  <si>
    <t>TDS</t>
  </si>
  <si>
    <t>Afstand (nm)</t>
  </si>
  <si>
    <t>t (€/TDS·nm)</t>
  </si>
  <si>
    <t>3) Transport leeg (€/nm)</t>
  </si>
  <si>
    <t>Berekening: #reizenv_vv​ = TDSvTDS_vTDSv​ / (gem. TDS/reis).</t>
  </si>
  <si>
    <t>Leegkosten per vak = #reizen × afstand × e (€/nm)</t>
  </si>
  <si>
    <t>#reizen (=TDS/200)</t>
  </si>
  <si>
    <t>Afstand nm</t>
  </si>
  <si>
    <t>e (€/nm)</t>
  </si>
  <si>
    <t>4) Stort (€/TDS)</t>
  </si>
  <si>
    <t>Omschrijving</t>
  </si>
  <si>
    <t>TDS totaal</t>
  </si>
  <si>
    <t>S (€/TDS)</t>
  </si>
  <si>
    <t>Stortvergoeding</t>
  </si>
  <si>
    <t>Contracthoeveelheden per verspreidingslocatie [TDS]</t>
  </si>
  <si>
    <t>Baggervak</t>
  </si>
  <si>
    <t>ED76 Doekegat Noord (P1Alt)</t>
  </si>
  <si>
    <t>Gegevens over in te zetten materieel</t>
  </si>
  <si>
    <t>Bagger eenheid / Hopper</t>
  </si>
  <si>
    <t>&lt;Naam in te zetten materieel&gt;</t>
  </si>
  <si>
    <t>Baggervak in combinatie met spreidingsvak</t>
  </si>
  <si>
    <t>Hoeveelheid te verwerken in situ m3</t>
  </si>
  <si>
    <t>Maximale beuninhoud</t>
  </si>
  <si>
    <t>m3</t>
  </si>
  <si>
    <t>-</t>
  </si>
  <si>
    <t>Gehanteerde belading</t>
  </si>
  <si>
    <t>Gemiddeld brandstofverbruik</t>
  </si>
  <si>
    <t>m3/uur</t>
  </si>
  <si>
    <t>Laadtijd</t>
  </si>
  <si>
    <t>min</t>
  </si>
  <si>
    <t>Volvaren</t>
  </si>
  <si>
    <t>Directe kosten</t>
  </si>
  <si>
    <t>km</t>
  </si>
  <si>
    <t>Loonkosten</t>
  </si>
  <si>
    <t>Lossen</t>
  </si>
  <si>
    <t>Kosten van brandstof en smeermiddelen</t>
  </si>
  <si>
    <t>Leegvaren</t>
  </si>
  <si>
    <t>Rente en afschrijving</t>
  </si>
  <si>
    <t>Onderhoud en reparatie</t>
  </si>
  <si>
    <t>Totaal excl. verlet</t>
  </si>
  <si>
    <t>Verzekering</t>
  </si>
  <si>
    <t>Verlet</t>
  </si>
  <si>
    <t>Totaal incl. verlet</t>
  </si>
  <si>
    <t>Totale baggerkosten per
Baggervak - Spreidingsvakcombinatie</t>
  </si>
  <si>
    <t>ED102 Huibertgat (P3ALt)</t>
  </si>
  <si>
    <t>Laadlocatie</t>
  </si>
  <si>
    <t>Laadlocatie / Vak</t>
  </si>
  <si>
    <t>Verspreidingslocatie</t>
  </si>
  <si>
    <t>Productiegegevens SHZ</t>
  </si>
  <si>
    <t>Totale te verwerken hoeveelheid</t>
  </si>
  <si>
    <t>Directe kosten SHZ</t>
  </si>
  <si>
    <t>Totale baggerkosten per
Baggervak - Verpreidingsvakcombinatie</t>
  </si>
  <si>
    <t>Meerjarig onderhoud als TDS-tarief</t>
  </si>
  <si>
    <t>MKI</t>
  </si>
  <si>
    <t>hoeveelheid brandstof laden</t>
  </si>
  <si>
    <t>ton</t>
  </si>
  <si>
    <t>hoeveelheid brandstof volvaren</t>
  </si>
  <si>
    <t>hoeveelheid brandstof leegvaren</t>
  </si>
  <si>
    <t>hoeveelheid brandstof lossen</t>
  </si>
  <si>
    <t>hoeveelheid brandstof totaal</t>
  </si>
  <si>
    <t>MKI per Functionele eenheid</t>
  </si>
  <si>
    <t>euro per ton</t>
  </si>
  <si>
    <t>Type brandstof of mix van brandstoffen</t>
  </si>
  <si>
    <t>MKI waarde Meerjarig onderhoud</t>
  </si>
  <si>
    <t>euro</t>
  </si>
  <si>
    <t>MKI als TDS-tarief</t>
  </si>
  <si>
    <t>euro/TDS</t>
  </si>
  <si>
    <t>€/uur</t>
  </si>
  <si>
    <t>&lt;Naam&gt;</t>
  </si>
  <si>
    <t xml:space="preserve">Naam in te zetten materieel </t>
  </si>
  <si>
    <t>Verspreidingslocatie:_x000D_
P3Alt_x000D_
ED102 Huibertgat</t>
  </si>
  <si>
    <t>periode t/m 31 december 2027</t>
  </si>
  <si>
    <t>Verspreidingslocatie:
P1Alt
(ED76 Doekegat Noord) </t>
  </si>
  <si>
    <t>periode vanaf 01 januari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</si>
</sst>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 [$€-2]\ * #,##0.00_ ;_ [$€-2]\ * \-#,##0.00_ ;_ [$€-2]\ * &quot;-&quot;??_ ;_ @_ "/>
    <numFmt numFmtId="167" formatCode="_ * #,##0_ ;_ * \-#,##0_ ;_ * &quot;-&quot;??_ ;_ @_ "/>
    <numFmt numFmtId="168" formatCode="_ [$€-2]\ * #,##0.00000_ ;_ [$€-2]\ * \-#,##0.00000_ ;_ [$€-2]\ * &quot;-&quot;??_ ;_ @_ "/>
  </numFmts>
  <fonts count="2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rgb="FF000000"/>
      <name val="Verdana"/>
      <family val="2"/>
    </font>
    <font>
      <sz val="7"/>
      <color rgb="FF000000"/>
      <name val="Times New Roman"/>
      <family val="1"/>
    </font>
    <font>
      <b/>
      <i/>
      <sz val="8"/>
      <color rgb="FF3366FF"/>
      <name val="Verdan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sz val="7"/>
      <color theme="1"/>
      <name val="Times New Roman"/>
      <family val="1"/>
    </font>
    <font>
      <sz val="9"/>
      <color theme="1"/>
      <name val="Calibri"/>
      <family val="2"/>
    </font>
    <font>
      <b/>
      <sz val="13.5"/>
      <color theme="1"/>
      <name val="Verdana"/>
      <family val="2"/>
    </font>
    <font>
      <b/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i/>
      <sz val="9"/>
      <color theme="1"/>
      <name val="Verdana"/>
      <family val="2"/>
    </font>
    <font>
      <sz val="18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sz val="9"/>
      <color rgb="FF0070C0"/>
      <name val="Verdana"/>
      <family val="2"/>
    </font>
    <font>
      <sz val="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64" fontId="9" fillId="0" borderId="0" xfId="1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6" fillId="0" borderId="0" xfId="0" applyFont="1" applyAlignment="1">
      <alignment vertical="center"/>
    </xf>
    <xf numFmtId="0" fontId="11" fillId="0" borderId="4" xfId="0" applyFont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3" borderId="0" xfId="0" applyNumberFormat="1" applyFill="1" applyAlignment="1">
      <alignment horizontal="left"/>
    </xf>
    <xf numFmtId="1" fontId="2" fillId="0" borderId="0" xfId="0" applyNumberFormat="1" applyFont="1"/>
    <xf numFmtId="1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right"/>
    </xf>
    <xf numFmtId="1" fontId="2" fillId="0" borderId="8" xfId="0" applyNumberFormat="1" applyFont="1" applyBorder="1"/>
    <xf numFmtId="0" fontId="0" fillId="6" borderId="0" xfId="0" applyFill="1"/>
    <xf numFmtId="165" fontId="0" fillId="0" borderId="0" xfId="0" applyNumberFormat="1" applyAlignment="1">
      <alignment vertical="center" wrapText="1"/>
    </xf>
    <xf numFmtId="165" fontId="0" fillId="0" borderId="0" xfId="0" applyNumberFormat="1"/>
    <xf numFmtId="1" fontId="14" fillId="0" borderId="0" xfId="0" applyNumberFormat="1" applyFont="1"/>
    <xf numFmtId="1" fontId="15" fillId="0" borderId="0" xfId="0" applyNumberFormat="1" applyFont="1"/>
    <xf numFmtId="3" fontId="16" fillId="4" borderId="8" xfId="0" applyNumberFormat="1" applyFont="1" applyFill="1" applyBorder="1" applyAlignment="1">
      <alignment horizontal="right"/>
    </xf>
    <xf numFmtId="3" fontId="16" fillId="0" borderId="8" xfId="0" applyNumberFormat="1" applyFont="1" applyBorder="1" applyAlignment="1">
      <alignment horizontal="right"/>
    </xf>
    <xf numFmtId="3" fontId="16" fillId="5" borderId="8" xfId="0" applyNumberFormat="1" applyFont="1" applyFill="1" applyBorder="1" applyAlignment="1">
      <alignment horizontal="right"/>
    </xf>
    <xf numFmtId="0" fontId="13" fillId="7" borderId="0" xfId="0" applyFont="1" applyFill="1"/>
    <xf numFmtId="0" fontId="0" fillId="7" borderId="0" xfId="0" applyFill="1"/>
    <xf numFmtId="0" fontId="0" fillId="0" borderId="0" xfId="0" applyAlignment="1">
      <alignment horizontal="center" vertical="center" wrapText="1"/>
    </xf>
    <xf numFmtId="3" fontId="16" fillId="0" borderId="18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 vertical="center" wrapText="1"/>
    </xf>
    <xf numFmtId="1" fontId="2" fillId="0" borderId="5" xfId="0" applyNumberFormat="1" applyFont="1" applyBorder="1"/>
    <xf numFmtId="3" fontId="0" fillId="0" borderId="6" xfId="0" applyNumberFormat="1" applyBorder="1"/>
    <xf numFmtId="3" fontId="0" fillId="0" borderId="6" xfId="0" applyNumberForma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165" fontId="0" fillId="0" borderId="8" xfId="0" applyNumberFormat="1" applyBorder="1" applyAlignment="1">
      <alignment vertical="center" wrapText="1"/>
    </xf>
    <xf numFmtId="165" fontId="0" fillId="0" borderId="8" xfId="0" applyNumberFormat="1" applyBorder="1"/>
    <xf numFmtId="1" fontId="2" fillId="0" borderId="7" xfId="0" applyNumberFormat="1" applyFont="1" applyBorder="1" applyAlignment="1">
      <alignment horizontal="right" wrapText="1"/>
    </xf>
    <xf numFmtId="1" fontId="0" fillId="0" borderId="3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 wrapText="1"/>
    </xf>
    <xf numFmtId="1" fontId="2" fillId="0" borderId="6" xfId="0" applyNumberFormat="1" applyFont="1" applyBorder="1" applyAlignment="1">
      <alignment horizontal="right" wrapText="1"/>
    </xf>
    <xf numFmtId="0" fontId="0" fillId="0" borderId="6" xfId="0" applyBorder="1" applyAlignment="1">
      <alignment horizontal="right"/>
    </xf>
    <xf numFmtId="1" fontId="2" fillId="0" borderId="8" xfId="0" applyNumberFormat="1" applyFont="1" applyBorder="1" applyAlignment="1">
      <alignment horizontal="right" wrapText="1"/>
    </xf>
    <xf numFmtId="1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1" fontId="2" fillId="0" borderId="5" xfId="0" applyNumberFormat="1" applyFont="1" applyBorder="1" applyAlignment="1">
      <alignment horizontal="right"/>
    </xf>
    <xf numFmtId="0" fontId="0" fillId="6" borderId="6" xfId="0" applyFill="1" applyBorder="1" applyAlignment="1">
      <alignment horizontal="right" vertical="center" wrapText="1"/>
    </xf>
    <xf numFmtId="1" fontId="2" fillId="0" borderId="8" xfId="0" applyNumberFormat="1" applyFont="1" applyBorder="1" applyAlignment="1">
      <alignment horizontal="right"/>
    </xf>
    <xf numFmtId="0" fontId="0" fillId="6" borderId="0" xfId="0" applyFill="1" applyAlignment="1">
      <alignment horizontal="right" vertical="center" wrapText="1"/>
    </xf>
    <xf numFmtId="1" fontId="2" fillId="0" borderId="9" xfId="0" applyNumberFormat="1" applyFont="1" applyBorder="1" applyAlignment="1">
      <alignment horizontal="right"/>
    </xf>
    <xf numFmtId="0" fontId="0" fillId="6" borderId="2" xfId="0" applyFill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0" fontId="0" fillId="0" borderId="15" xfId="0" applyBorder="1" applyAlignment="1">
      <alignment horizontal="right"/>
    </xf>
    <xf numFmtId="0" fontId="12" fillId="0" borderId="8" xfId="0" applyFont="1" applyBorder="1" applyAlignment="1">
      <alignment horizontal="right"/>
    </xf>
    <xf numFmtId="9" fontId="0" fillId="0" borderId="0" xfId="0" applyNumberFormat="1" applyAlignment="1">
      <alignment horizontal="right"/>
    </xf>
    <xf numFmtId="9" fontId="0" fillId="0" borderId="3" xfId="0" applyNumberFormat="1" applyBorder="1" applyAlignment="1">
      <alignment horizontal="right"/>
    </xf>
    <xf numFmtId="0" fontId="12" fillId="0" borderId="16" xfId="0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1" fontId="2" fillId="0" borderId="3" xfId="0" applyNumberFormat="1" applyFont="1" applyBorder="1" applyAlignment="1">
      <alignment horizontal="right"/>
    </xf>
    <xf numFmtId="1" fontId="2" fillId="0" borderId="16" xfId="0" applyNumberFormat="1" applyFont="1" applyBorder="1" applyAlignment="1">
      <alignment horizontal="right"/>
    </xf>
    <xf numFmtId="1" fontId="2" fillId="4" borderId="15" xfId="0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right"/>
    </xf>
    <xf numFmtId="3" fontId="0" fillId="4" borderId="3" xfId="0" applyNumberFormat="1" applyFill="1" applyBorder="1" applyAlignment="1">
      <alignment horizontal="right"/>
    </xf>
    <xf numFmtId="1" fontId="0" fillId="4" borderId="8" xfId="0" applyNumberFormat="1" applyFill="1" applyBorder="1" applyAlignment="1">
      <alignment horizontal="right"/>
    </xf>
    <xf numFmtId="1" fontId="0" fillId="4" borderId="16" xfId="0" applyNumberFormat="1" applyFill="1" applyBorder="1" applyAlignment="1">
      <alignment horizontal="right"/>
    </xf>
    <xf numFmtId="1" fontId="2" fillId="0" borderId="15" xfId="0" applyNumberFormat="1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1" fontId="0" fillId="0" borderId="8" xfId="0" applyNumberFormat="1" applyBorder="1" applyAlignment="1">
      <alignment horizontal="right"/>
    </xf>
    <xf numFmtId="1" fontId="0" fillId="0" borderId="16" xfId="0" applyNumberFormat="1" applyBorder="1" applyAlignment="1">
      <alignment horizontal="right"/>
    </xf>
    <xf numFmtId="1" fontId="2" fillId="0" borderId="17" xfId="0" applyNumberFormat="1" applyFon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0" fontId="2" fillId="0" borderId="10" xfId="0" applyFont="1" applyBorder="1"/>
    <xf numFmtId="1" fontId="0" fillId="0" borderId="0" xfId="0" applyNumberFormat="1" applyAlignment="1">
      <alignment horizontal="right"/>
    </xf>
    <xf numFmtId="1" fontId="0" fillId="0" borderId="3" xfId="0" applyNumberFormat="1" applyBorder="1" applyAlignment="1">
      <alignment horizontal="right"/>
    </xf>
    <xf numFmtId="0" fontId="0" fillId="0" borderId="4" xfId="0" applyBorder="1"/>
    <xf numFmtId="1" fontId="0" fillId="0" borderId="2" xfId="0" applyNumberFormat="1" applyBorder="1" applyAlignment="1">
      <alignment horizontal="right" wrapText="1"/>
    </xf>
    <xf numFmtId="0" fontId="0" fillId="0" borderId="16" xfId="0" applyBorder="1"/>
    <xf numFmtId="1" fontId="0" fillId="0" borderId="18" xfId="0" applyNumberFormat="1" applyBorder="1" applyAlignment="1">
      <alignment horizontal="right"/>
    </xf>
    <xf numFmtId="1" fontId="0" fillId="0" borderId="21" xfId="0" applyNumberFormat="1" applyBorder="1" applyAlignment="1">
      <alignment horizontal="right"/>
    </xf>
    <xf numFmtId="0" fontId="0" fillId="0" borderId="3" xfId="0" applyBorder="1"/>
    <xf numFmtId="3" fontId="0" fillId="0" borderId="3" xfId="0" applyNumberFormat="1" applyBorder="1"/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2" fillId="0" borderId="22" xfId="0" applyNumberFormat="1" applyFont="1" applyBorder="1"/>
    <xf numFmtId="0" fontId="0" fillId="0" borderId="23" xfId="0" applyBorder="1"/>
    <xf numFmtId="3" fontId="2" fillId="0" borderId="24" xfId="0" applyNumberFormat="1" applyFont="1" applyBorder="1" applyAlignment="1">
      <alignment horizontal="right"/>
    </xf>
    <xf numFmtId="1" fontId="2" fillId="0" borderId="25" xfId="0" applyNumberFormat="1" applyFont="1" applyBorder="1" applyAlignment="1">
      <alignment horizontal="right" wrapText="1"/>
    </xf>
    <xf numFmtId="0" fontId="0" fillId="0" borderId="26" xfId="0" applyBorder="1" applyAlignment="1">
      <alignment horizontal="right"/>
    </xf>
    <xf numFmtId="1" fontId="0" fillId="0" borderId="27" xfId="0" applyNumberFormat="1" applyBorder="1" applyAlignment="1">
      <alignment horizontal="right" wrapText="1"/>
    </xf>
    <xf numFmtId="1" fontId="14" fillId="0" borderId="22" xfId="0" applyNumberFormat="1" applyFont="1" applyBorder="1"/>
    <xf numFmtId="166" fontId="0" fillId="0" borderId="7" xfId="0" applyNumberFormat="1" applyBorder="1" applyAlignment="1">
      <alignment horizontal="right" vertical="center" wrapText="1"/>
    </xf>
    <xf numFmtId="166" fontId="0" fillId="0" borderId="3" xfId="0" applyNumberFormat="1" applyBorder="1" applyAlignment="1">
      <alignment horizontal="right" vertical="center" wrapText="1"/>
    </xf>
    <xf numFmtId="166" fontId="0" fillId="0" borderId="1" xfId="0" applyNumberForma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/>
    </xf>
    <xf numFmtId="166" fontId="0" fillId="6" borderId="6" xfId="0" applyNumberFormat="1" applyFill="1" applyBorder="1" applyAlignment="1">
      <alignment horizontal="right" vertical="center" wrapText="1"/>
    </xf>
    <xf numFmtId="166" fontId="0" fillId="6" borderId="0" xfId="0" applyNumberFormat="1" applyFill="1" applyAlignment="1">
      <alignment horizontal="right" vertical="center" wrapText="1"/>
    </xf>
    <xf numFmtId="166" fontId="0" fillId="6" borderId="2" xfId="0" applyNumberFormat="1" applyFill="1" applyBorder="1" applyAlignment="1">
      <alignment horizontal="right" vertical="center" wrapText="1"/>
    </xf>
    <xf numFmtId="166" fontId="0" fillId="6" borderId="7" xfId="0" applyNumberFormat="1" applyFill="1" applyBorder="1" applyAlignment="1">
      <alignment horizontal="right" vertical="center" wrapText="1"/>
    </xf>
    <xf numFmtId="166" fontId="0" fillId="6" borderId="3" xfId="0" applyNumberFormat="1" applyFill="1" applyBorder="1" applyAlignment="1">
      <alignment horizontal="right" vertical="center" wrapText="1"/>
    </xf>
    <xf numFmtId="166" fontId="0" fillId="6" borderId="1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7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0" fillId="0" borderId="0" xfId="0" applyAlignment="1">
      <alignment vertical="center"/>
    </xf>
    <xf numFmtId="167" fontId="0" fillId="0" borderId="0" xfId="1" applyNumberFormat="1" applyFont="1" applyAlignment="1">
      <alignment vertical="center"/>
    </xf>
    <xf numFmtId="167" fontId="0" fillId="6" borderId="0" xfId="1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18" fillId="8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6" fontId="0" fillId="6" borderId="0" xfId="0" applyNumberFormat="1" applyFill="1" applyAlignment="1">
      <alignment vertical="center"/>
    </xf>
    <xf numFmtId="166" fontId="18" fillId="9" borderId="0" xfId="0" applyNumberFormat="1" applyFont="1" applyFill="1"/>
    <xf numFmtId="166" fontId="18" fillId="0" borderId="0" xfId="0" applyNumberFormat="1" applyFont="1"/>
    <xf numFmtId="0" fontId="13" fillId="7" borderId="0" xfId="0" applyFont="1" applyFill="1" applyAlignment="1">
      <alignment vertical="center"/>
    </xf>
    <xf numFmtId="167" fontId="0" fillId="6" borderId="0" xfId="1" applyNumberFormat="1" applyFont="1" applyFill="1" applyAlignment="1">
      <alignment vertical="center" wrapText="1"/>
    </xf>
    <xf numFmtId="166" fontId="19" fillId="0" borderId="0" xfId="0" applyNumberFormat="1" applyFont="1"/>
    <xf numFmtId="0" fontId="15" fillId="0" borderId="0" xfId="0" applyFont="1" applyAlignment="1">
      <alignment horizontal="right" vertical="center" wrapText="1"/>
    </xf>
    <xf numFmtId="44" fontId="0" fillId="0" borderId="0" xfId="2" applyFont="1"/>
    <xf numFmtId="44" fontId="0" fillId="0" borderId="0" xfId="2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166" fontId="19" fillId="0" borderId="0" xfId="0" applyNumberFormat="1" applyFont="1" applyAlignment="1">
      <alignment vertical="center"/>
    </xf>
    <xf numFmtId="0" fontId="20" fillId="0" borderId="0" xfId="0" applyFont="1"/>
    <xf numFmtId="43" fontId="0" fillId="6" borderId="0" xfId="1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6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67" fontId="0" fillId="6" borderId="0" xfId="1" applyNumberFormat="1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14" fillId="0" borderId="11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6" fillId="6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righ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5263</xdr:colOff>
      <xdr:row>10</xdr:row>
      <xdr:rowOff>31858</xdr:rowOff>
    </xdr:from>
    <xdr:ext cx="13875629" cy="3223255"/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7E52F2CD-4C56-4B7E-BE68-526A169747FE}"/>
            </a:ext>
          </a:extLst>
        </xdr:cNvPr>
        <xdr:cNvSpPr/>
      </xdr:nvSpPr>
      <xdr:spPr>
        <a:xfrm rot="1068785">
          <a:off x="5460490" y="3460858"/>
          <a:ext cx="13875629" cy="322325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20000" b="1" cap="none" spc="0">
              <a:ln w="12700">
                <a:solidFill>
                  <a:schemeClr val="accent5"/>
                </a:solidFill>
                <a:prstDash val="solid"/>
              </a:ln>
              <a:pattFill prst="ltDn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effectLst/>
            </a:rPr>
            <a:t>Specimen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EB37A-E0A7-4CC2-949E-5A461395E77B}">
  <sheetPr codeName="Sheet1">
    <tabColor rgb="FFFFFF00"/>
  </sheetPr>
  <dimension ref="A2:U94"/>
  <sheetViews>
    <sheetView topLeftCell="A7" workbookViewId="0">
      <selection activeCell="F34" sqref="F34"/>
    </sheetView>
  </sheetViews>
  <sheetFormatPr defaultRowHeight="11.25" x14ac:dyDescent="0.15"/>
  <cols>
    <col min="2" max="6" width="13.625" customWidth="1"/>
    <col min="7" max="7" width="12.5" customWidth="1"/>
    <col min="8" max="8" width="12.875" customWidth="1"/>
    <col min="9" max="9" width="12.625" customWidth="1"/>
    <col min="11" max="14" width="9" customWidth="1"/>
    <col min="15" max="15" width="18.125" bestFit="1" customWidth="1"/>
    <col min="16" max="16" width="12" customWidth="1"/>
    <col min="17" max="17" width="10" bestFit="1" customWidth="1"/>
    <col min="18" max="19" width="9" customWidth="1"/>
    <col min="20" max="20" width="18.125" bestFit="1" customWidth="1"/>
    <col min="21" max="21" width="14.625" customWidth="1"/>
  </cols>
  <sheetData>
    <row r="2" spans="1:19" ht="15" x14ac:dyDescent="0.2">
      <c r="B2" s="44" t="s">
        <v>0</v>
      </c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9" x14ac:dyDescent="0.15">
      <c r="A3" s="31"/>
    </row>
    <row r="4" spans="1:19" ht="12" thickBot="1" x14ac:dyDescent="0.2">
      <c r="A4" s="31"/>
    </row>
    <row r="5" spans="1:19" ht="14.25" x14ac:dyDescent="0.2">
      <c r="A5" s="31"/>
      <c r="B5" s="95"/>
      <c r="C5" s="158" t="s">
        <v>1</v>
      </c>
      <c r="D5" s="159"/>
      <c r="E5" s="160"/>
      <c r="F5" s="162" t="s">
        <v>2</v>
      </c>
      <c r="G5" s="163"/>
      <c r="I5" t="s">
        <v>3</v>
      </c>
      <c r="K5" s="95"/>
      <c r="L5" s="158" t="s">
        <v>1</v>
      </c>
      <c r="M5" s="159"/>
      <c r="N5" s="160"/>
    </row>
    <row r="6" spans="1:19" ht="14.25" x14ac:dyDescent="0.2">
      <c r="A6" s="31"/>
      <c r="B6" s="75"/>
      <c r="C6" s="76"/>
      <c r="D6" s="77">
        <v>0.5</v>
      </c>
      <c r="E6" s="78">
        <v>0.5</v>
      </c>
      <c r="F6" s="76"/>
      <c r="G6" s="79"/>
      <c r="K6" s="75"/>
      <c r="L6" s="76"/>
      <c r="M6" s="77">
        <v>0.5</v>
      </c>
      <c r="N6" s="78">
        <v>0.5</v>
      </c>
    </row>
    <row r="7" spans="1:19" ht="14.25" x14ac:dyDescent="0.2">
      <c r="A7" s="31"/>
      <c r="B7" s="88" t="s">
        <v>4</v>
      </c>
      <c r="C7" s="76"/>
      <c r="D7" s="80" t="s">
        <v>5</v>
      </c>
      <c r="E7" s="81" t="s">
        <v>6</v>
      </c>
      <c r="F7" s="69" t="s">
        <v>5</v>
      </c>
      <c r="G7" s="82" t="s">
        <v>6</v>
      </c>
      <c r="K7" s="88" t="s">
        <v>4</v>
      </c>
      <c r="L7" s="76"/>
      <c r="M7" s="80" t="s">
        <v>5</v>
      </c>
      <c r="N7" s="81" t="s">
        <v>6</v>
      </c>
    </row>
    <row r="8" spans="1:19" ht="12" x14ac:dyDescent="0.15">
      <c r="A8" s="31"/>
      <c r="B8" s="98"/>
      <c r="C8" s="90" t="s">
        <v>7</v>
      </c>
      <c r="D8" s="96" t="s">
        <v>7</v>
      </c>
      <c r="E8" s="97" t="s">
        <v>7</v>
      </c>
      <c r="F8" s="90" t="s">
        <v>8</v>
      </c>
      <c r="G8" s="91" t="s">
        <v>8</v>
      </c>
      <c r="K8" s="98"/>
      <c r="L8" s="90" t="s">
        <v>7</v>
      </c>
      <c r="M8" s="96" t="s">
        <v>7</v>
      </c>
      <c r="N8" s="97" t="s">
        <v>7</v>
      </c>
      <c r="Q8" s="13" t="s">
        <v>9</v>
      </c>
      <c r="R8" s="13" t="s">
        <v>10</v>
      </c>
      <c r="S8" s="28">
        <v>106792.54959863014</v>
      </c>
    </row>
    <row r="9" spans="1:19" ht="12" x14ac:dyDescent="0.15">
      <c r="A9" s="31"/>
      <c r="B9" s="83" t="s">
        <v>11</v>
      </c>
      <c r="C9" s="41">
        <v>106792.54959863014</v>
      </c>
      <c r="D9" s="84">
        <f t="shared" ref="D9:D24" si="0">$D$6*C9</f>
        <v>53396.27479931507</v>
      </c>
      <c r="E9" s="85">
        <f t="shared" ref="E9:E24" si="1">$E$6*C9</f>
        <v>53396.27479931507</v>
      </c>
      <c r="F9" s="86" t="e">
        <f>#REF!/1.852</f>
        <v>#REF!</v>
      </c>
      <c r="G9" s="87">
        <f t="shared" ref="G9:G22" si="2">Q10/1.852</f>
        <v>5.2375809935205178</v>
      </c>
      <c r="K9" s="83" t="s">
        <v>11</v>
      </c>
      <c r="L9" s="41">
        <f>ROUND(C9,-2)</f>
        <v>106800</v>
      </c>
      <c r="M9" s="41">
        <f>ROUND(D9,-2)</f>
        <v>53400</v>
      </c>
      <c r="N9" s="41">
        <f>ROUND(E9,-2)</f>
        <v>53400</v>
      </c>
      <c r="Q9" s="13"/>
      <c r="R9" s="13"/>
      <c r="S9" s="29">
        <v>47514.939760958907</v>
      </c>
    </row>
    <row r="10" spans="1:19" ht="12" x14ac:dyDescent="0.15">
      <c r="A10" s="31"/>
      <c r="B10" s="88" t="s">
        <v>12</v>
      </c>
      <c r="C10" s="42">
        <v>47514.939760958907</v>
      </c>
      <c r="D10" s="33">
        <f t="shared" si="0"/>
        <v>23757.469880479453</v>
      </c>
      <c r="E10" s="89">
        <f t="shared" si="1"/>
        <v>23757.469880479453</v>
      </c>
      <c r="F10" s="90" t="e">
        <f>#REF!/1.852</f>
        <v>#REF!</v>
      </c>
      <c r="G10" s="91">
        <f t="shared" si="2"/>
        <v>4.5896328293736497</v>
      </c>
      <c r="K10" s="88" t="s">
        <v>12</v>
      </c>
      <c r="L10" s="41">
        <f t="shared" ref="L10:L23" si="3">ROUND(C10,-2)</f>
        <v>47500</v>
      </c>
      <c r="M10" s="41">
        <f t="shared" ref="M10:M24" si="4">ROUND(D10,-2)</f>
        <v>23800</v>
      </c>
      <c r="N10" s="41">
        <f t="shared" ref="N10:N24" si="5">ROUND(E10,-2)</f>
        <v>23800</v>
      </c>
      <c r="Q10" s="13">
        <v>9.6999999999999993</v>
      </c>
      <c r="R10" s="18" t="s">
        <v>13</v>
      </c>
      <c r="S10" s="28">
        <v>47193.827494520548</v>
      </c>
    </row>
    <row r="11" spans="1:19" ht="12" x14ac:dyDescent="0.15">
      <c r="A11" s="31"/>
      <c r="B11" s="83" t="s">
        <v>14</v>
      </c>
      <c r="C11" s="41">
        <v>47193.827494520548</v>
      </c>
      <c r="D11" s="84">
        <f t="shared" si="0"/>
        <v>23596.913747260274</v>
      </c>
      <c r="E11" s="85">
        <f t="shared" si="1"/>
        <v>23596.913747260274</v>
      </c>
      <c r="F11" s="86" t="e">
        <f>#REF!/1.852</f>
        <v>#REF!</v>
      </c>
      <c r="G11" s="87">
        <f t="shared" si="2"/>
        <v>5.9395248380129591</v>
      </c>
      <c r="K11" s="83" t="s">
        <v>14</v>
      </c>
      <c r="L11" s="41">
        <f t="shared" si="3"/>
        <v>47200</v>
      </c>
      <c r="M11" s="41">
        <f t="shared" si="4"/>
        <v>23600</v>
      </c>
      <c r="N11" s="41">
        <f t="shared" si="5"/>
        <v>23600</v>
      </c>
      <c r="Q11" s="13">
        <v>8.5</v>
      </c>
      <c r="R11" s="18" t="s">
        <v>13</v>
      </c>
      <c r="S11" s="29">
        <v>821039.94540616416</v>
      </c>
    </row>
    <row r="12" spans="1:19" ht="12" x14ac:dyDescent="0.15">
      <c r="A12" s="31"/>
      <c r="B12" s="88" t="s">
        <v>15</v>
      </c>
      <c r="C12" s="42">
        <v>821039.94540616416</v>
      </c>
      <c r="D12" s="33">
        <f t="shared" si="0"/>
        <v>410519.97270308208</v>
      </c>
      <c r="E12" s="89">
        <f t="shared" si="1"/>
        <v>410519.97270308208</v>
      </c>
      <c r="F12" s="90" t="e">
        <f>#REF!/1.852</f>
        <v>#REF!</v>
      </c>
      <c r="G12" s="91">
        <f t="shared" si="2"/>
        <v>8.2073434125269973</v>
      </c>
      <c r="K12" s="88" t="s">
        <v>15</v>
      </c>
      <c r="L12" s="41">
        <f t="shared" si="3"/>
        <v>821000</v>
      </c>
      <c r="M12" s="41">
        <f t="shared" si="4"/>
        <v>410500</v>
      </c>
      <c r="N12" s="41">
        <f t="shared" si="5"/>
        <v>410500</v>
      </c>
      <c r="Q12" s="13">
        <v>11</v>
      </c>
      <c r="R12" s="18" t="s">
        <v>13</v>
      </c>
      <c r="S12" s="28">
        <v>18391.426207534249</v>
      </c>
    </row>
    <row r="13" spans="1:19" ht="12" x14ac:dyDescent="0.15">
      <c r="A13" s="31"/>
      <c r="B13" s="83" t="s">
        <v>16</v>
      </c>
      <c r="C13" s="41">
        <v>18391.426207534249</v>
      </c>
      <c r="D13" s="84">
        <f t="shared" si="0"/>
        <v>9195.7131037671243</v>
      </c>
      <c r="E13" s="85">
        <f t="shared" si="1"/>
        <v>9195.7131037671243</v>
      </c>
      <c r="F13" s="86" t="e">
        <f>#REF!/1.852</f>
        <v>#REF!</v>
      </c>
      <c r="G13" s="87">
        <f t="shared" si="2"/>
        <v>9.881209503239738</v>
      </c>
      <c r="K13" s="83" t="s">
        <v>16</v>
      </c>
      <c r="L13" s="41">
        <f t="shared" si="3"/>
        <v>18400</v>
      </c>
      <c r="M13" s="41">
        <f t="shared" si="4"/>
        <v>9200</v>
      </c>
      <c r="N13" s="41">
        <f t="shared" si="5"/>
        <v>9200</v>
      </c>
      <c r="Q13" s="13">
        <v>15.2</v>
      </c>
      <c r="R13" s="18" t="s">
        <v>13</v>
      </c>
      <c r="S13" s="29">
        <v>1373.53225</v>
      </c>
    </row>
    <row r="14" spans="1:19" ht="12" x14ac:dyDescent="0.15">
      <c r="A14" s="31"/>
      <c r="B14" s="88" t="s">
        <v>17</v>
      </c>
      <c r="C14" s="42">
        <v>1373.53225</v>
      </c>
      <c r="D14" s="33">
        <f t="shared" si="0"/>
        <v>686.76612499999999</v>
      </c>
      <c r="E14" s="89">
        <f t="shared" si="1"/>
        <v>686.76612499999999</v>
      </c>
      <c r="F14" s="90" t="e">
        <f>#REF!/1.852</f>
        <v>#REF!</v>
      </c>
      <c r="G14" s="91">
        <f t="shared" si="2"/>
        <v>11.285097192224621</v>
      </c>
      <c r="K14" s="88" t="s">
        <v>17</v>
      </c>
      <c r="L14" s="41">
        <f t="shared" si="3"/>
        <v>1400</v>
      </c>
      <c r="M14" s="41">
        <f t="shared" si="4"/>
        <v>700</v>
      </c>
      <c r="N14" s="41">
        <f t="shared" si="5"/>
        <v>700</v>
      </c>
      <c r="Q14" s="13">
        <v>18.299999999999997</v>
      </c>
      <c r="R14" s="18" t="s">
        <v>13</v>
      </c>
      <c r="S14" s="28">
        <v>2783.5330000000004</v>
      </c>
    </row>
    <row r="15" spans="1:19" ht="12" x14ac:dyDescent="0.15">
      <c r="A15" s="31"/>
      <c r="B15" s="83" t="s">
        <v>18</v>
      </c>
      <c r="C15" s="41">
        <v>2783.5330000000004</v>
      </c>
      <c r="D15" s="84">
        <f t="shared" si="0"/>
        <v>1391.7665000000002</v>
      </c>
      <c r="E15" s="85">
        <f t="shared" si="1"/>
        <v>1391.7665000000002</v>
      </c>
      <c r="F15" s="86" t="e">
        <f>#REF!/1.852</f>
        <v>#REF!</v>
      </c>
      <c r="G15" s="87">
        <f t="shared" si="2"/>
        <v>12.526997840172784</v>
      </c>
      <c r="K15" s="83" t="s">
        <v>18</v>
      </c>
      <c r="L15" s="41">
        <f t="shared" si="3"/>
        <v>2800</v>
      </c>
      <c r="M15" s="41">
        <f t="shared" si="4"/>
        <v>1400</v>
      </c>
      <c r="N15" s="41">
        <f t="shared" si="5"/>
        <v>1400</v>
      </c>
      <c r="Q15" s="13">
        <v>20.9</v>
      </c>
      <c r="R15" s="18" t="s">
        <v>13</v>
      </c>
      <c r="S15" s="29">
        <v>0</v>
      </c>
    </row>
    <row r="16" spans="1:19" ht="12" x14ac:dyDescent="0.15">
      <c r="A16" s="31"/>
      <c r="B16" s="88" t="s">
        <v>19</v>
      </c>
      <c r="C16" s="42">
        <v>0</v>
      </c>
      <c r="D16" s="33">
        <f t="shared" si="0"/>
        <v>0</v>
      </c>
      <c r="E16" s="89">
        <f t="shared" si="1"/>
        <v>0</v>
      </c>
      <c r="F16" s="90" t="e">
        <f>#REF!/1.852</f>
        <v>#REF!</v>
      </c>
      <c r="G16" s="91">
        <f t="shared" si="2"/>
        <v>13.930885529157667</v>
      </c>
      <c r="K16" s="88" t="s">
        <v>19</v>
      </c>
      <c r="L16" s="41">
        <f t="shared" si="3"/>
        <v>0</v>
      </c>
      <c r="M16" s="41">
        <f t="shared" si="4"/>
        <v>0</v>
      </c>
      <c r="N16" s="41">
        <f t="shared" si="5"/>
        <v>0</v>
      </c>
      <c r="Q16" s="13">
        <v>23.2</v>
      </c>
      <c r="R16" s="13">
        <v>20</v>
      </c>
      <c r="S16" s="28">
        <v>7851.2104999999992</v>
      </c>
    </row>
    <row r="17" spans="1:19" ht="12" x14ac:dyDescent="0.15">
      <c r="A17" s="31"/>
      <c r="B17" s="83" t="s">
        <v>20</v>
      </c>
      <c r="C17" s="41">
        <v>7851.2104999999992</v>
      </c>
      <c r="D17" s="84">
        <f t="shared" si="0"/>
        <v>3925.6052499999996</v>
      </c>
      <c r="E17" s="85">
        <f t="shared" si="1"/>
        <v>3925.6052499999996</v>
      </c>
      <c r="F17" s="86" t="e">
        <f>#REF!/1.852</f>
        <v>#REF!</v>
      </c>
      <c r="G17" s="87">
        <f t="shared" si="2"/>
        <v>15.496760259179265</v>
      </c>
      <c r="K17" s="83" t="s">
        <v>20</v>
      </c>
      <c r="L17" s="41">
        <f t="shared" si="3"/>
        <v>7900</v>
      </c>
      <c r="M17" s="41">
        <f t="shared" si="4"/>
        <v>3900</v>
      </c>
      <c r="N17" s="41">
        <f t="shared" si="5"/>
        <v>3900</v>
      </c>
      <c r="Q17" s="13">
        <v>25.8</v>
      </c>
      <c r="R17" s="13">
        <v>17.399999999999999</v>
      </c>
      <c r="S17" s="29">
        <v>183280.17790958902</v>
      </c>
    </row>
    <row r="18" spans="1:19" ht="12" x14ac:dyDescent="0.15">
      <c r="A18" s="31"/>
      <c r="B18" s="88" t="s">
        <v>21</v>
      </c>
      <c r="C18" s="42">
        <v>183280.17790958902</v>
      </c>
      <c r="D18" s="33">
        <f t="shared" si="0"/>
        <v>91640.088954794512</v>
      </c>
      <c r="E18" s="89">
        <f t="shared" si="1"/>
        <v>91640.088954794512</v>
      </c>
      <c r="F18" s="90" t="e">
        <f>#REF!/1.852</f>
        <v>#REF!</v>
      </c>
      <c r="G18" s="91">
        <f t="shared" si="2"/>
        <v>16.846652267818573</v>
      </c>
      <c r="K18" s="88" t="s">
        <v>21</v>
      </c>
      <c r="L18" s="41">
        <f t="shared" si="3"/>
        <v>183300</v>
      </c>
      <c r="M18" s="41">
        <f t="shared" si="4"/>
        <v>91600</v>
      </c>
      <c r="N18" s="41">
        <f t="shared" si="5"/>
        <v>91600</v>
      </c>
      <c r="Q18" s="13">
        <v>28.7</v>
      </c>
      <c r="R18" s="13">
        <v>14.5</v>
      </c>
      <c r="S18" s="28">
        <v>607462.06170136982</v>
      </c>
    </row>
    <row r="19" spans="1:19" ht="12" x14ac:dyDescent="0.15">
      <c r="A19" s="31"/>
      <c r="B19" s="83" t="s">
        <v>22</v>
      </c>
      <c r="C19" s="41">
        <v>607462.06170136982</v>
      </c>
      <c r="D19" s="84">
        <f t="shared" si="0"/>
        <v>303731.03085068491</v>
      </c>
      <c r="E19" s="85">
        <f t="shared" si="1"/>
        <v>303731.03085068491</v>
      </c>
      <c r="F19" s="86" t="e">
        <f>#REF!/1.852</f>
        <v>#REF!</v>
      </c>
      <c r="G19" s="87">
        <f t="shared" si="2"/>
        <v>18.034557235421165</v>
      </c>
      <c r="K19" s="83" t="s">
        <v>22</v>
      </c>
      <c r="L19" s="41">
        <f t="shared" si="3"/>
        <v>607500</v>
      </c>
      <c r="M19" s="41">
        <f t="shared" si="4"/>
        <v>303700</v>
      </c>
      <c r="N19" s="41">
        <f t="shared" si="5"/>
        <v>303700</v>
      </c>
      <c r="Q19" s="13">
        <v>31.2</v>
      </c>
      <c r="R19" s="13">
        <v>17</v>
      </c>
      <c r="S19" s="29">
        <v>166733.02463219181</v>
      </c>
    </row>
    <row r="20" spans="1:19" ht="12" x14ac:dyDescent="0.15">
      <c r="A20" s="31"/>
      <c r="B20" s="88" t="s">
        <v>23</v>
      </c>
      <c r="C20" s="42">
        <v>166733.02463219181</v>
      </c>
      <c r="D20" s="33">
        <f t="shared" si="0"/>
        <v>83366.512316095905</v>
      </c>
      <c r="E20" s="89">
        <f t="shared" si="1"/>
        <v>83366.512316095905</v>
      </c>
      <c r="F20" s="90" t="e">
        <f>#REF!/1.852</f>
        <v>#REF!</v>
      </c>
      <c r="G20" s="91">
        <f t="shared" si="2"/>
        <v>19.222462203023756</v>
      </c>
      <c r="K20" s="88" t="s">
        <v>23</v>
      </c>
      <c r="L20" s="41">
        <f t="shared" si="3"/>
        <v>166700</v>
      </c>
      <c r="M20" s="41">
        <f t="shared" si="4"/>
        <v>83400</v>
      </c>
      <c r="N20" s="41">
        <f t="shared" si="5"/>
        <v>83400</v>
      </c>
      <c r="Q20" s="13">
        <v>33.4</v>
      </c>
      <c r="R20" s="13">
        <v>19.2</v>
      </c>
      <c r="S20" s="28">
        <v>1088591.3789910956</v>
      </c>
    </row>
    <row r="21" spans="1:19" ht="12" x14ac:dyDescent="0.15">
      <c r="A21" s="31"/>
      <c r="B21" s="83" t="s">
        <v>24</v>
      </c>
      <c r="C21" s="41">
        <v>1088591.3789910956</v>
      </c>
      <c r="D21" s="84">
        <f t="shared" si="0"/>
        <v>544295.68949554779</v>
      </c>
      <c r="E21" s="85">
        <f t="shared" si="1"/>
        <v>544295.68949554779</v>
      </c>
      <c r="F21" s="86" t="e">
        <f>#REF!/1.852</f>
        <v>#REF!</v>
      </c>
      <c r="G21" s="87">
        <f t="shared" si="2"/>
        <v>20.248380129589631</v>
      </c>
      <c r="K21" s="83" t="s">
        <v>24</v>
      </c>
      <c r="L21" s="41">
        <f t="shared" si="3"/>
        <v>1088600</v>
      </c>
      <c r="M21" s="41">
        <f t="shared" si="4"/>
        <v>544300</v>
      </c>
      <c r="N21" s="41">
        <f t="shared" si="5"/>
        <v>544300</v>
      </c>
      <c r="Q21" s="13">
        <v>35.6</v>
      </c>
      <c r="R21" s="13">
        <v>21.400000000000002</v>
      </c>
      <c r="S21" s="29">
        <v>1541298.1637362996</v>
      </c>
    </row>
    <row r="22" spans="1:19" ht="12" x14ac:dyDescent="0.15">
      <c r="A22" s="31"/>
      <c r="B22" s="88" t="s">
        <v>25</v>
      </c>
      <c r="C22" s="43">
        <v>1541298.1637362996</v>
      </c>
      <c r="D22" s="33">
        <f t="shared" si="0"/>
        <v>770649.08186814981</v>
      </c>
      <c r="E22" s="89">
        <f t="shared" si="1"/>
        <v>770649.08186814981</v>
      </c>
      <c r="F22" s="90" t="e">
        <f>#REF!/1.852</f>
        <v>#REF!</v>
      </c>
      <c r="G22" s="91">
        <f t="shared" si="2"/>
        <v>21.490280777537794</v>
      </c>
      <c r="K22" s="88" t="s">
        <v>25</v>
      </c>
      <c r="L22" s="41">
        <f t="shared" si="3"/>
        <v>1541300</v>
      </c>
      <c r="M22" s="41">
        <f t="shared" si="4"/>
        <v>770600</v>
      </c>
      <c r="N22" s="41">
        <f t="shared" si="5"/>
        <v>770600</v>
      </c>
      <c r="Q22" s="13">
        <v>37.5</v>
      </c>
      <c r="R22" s="13">
        <v>23.3</v>
      </c>
      <c r="S22" s="28"/>
    </row>
    <row r="23" spans="1:19" ht="12" x14ac:dyDescent="0.15">
      <c r="B23" s="83" t="s">
        <v>26</v>
      </c>
      <c r="C23" s="41"/>
      <c r="D23" s="84">
        <f t="shared" si="0"/>
        <v>0</v>
      </c>
      <c r="E23" s="85">
        <f t="shared" si="1"/>
        <v>0</v>
      </c>
      <c r="G23" s="100"/>
      <c r="K23" s="83" t="s">
        <v>26</v>
      </c>
      <c r="L23" s="41">
        <f t="shared" si="3"/>
        <v>0</v>
      </c>
      <c r="M23" s="41">
        <f t="shared" si="4"/>
        <v>0</v>
      </c>
      <c r="N23" s="41">
        <f t="shared" si="5"/>
        <v>0</v>
      </c>
      <c r="Q23" s="13">
        <v>39.799999999999997</v>
      </c>
      <c r="R23" s="13">
        <v>25.599999999999998</v>
      </c>
      <c r="S23" s="29">
        <v>367239.37631438358</v>
      </c>
    </row>
    <row r="24" spans="1:19" ht="12.75" thickBot="1" x14ac:dyDescent="0.2">
      <c r="B24" s="92" t="s">
        <v>27</v>
      </c>
      <c r="C24" s="47">
        <v>367239.37631438358</v>
      </c>
      <c r="D24" s="93">
        <f t="shared" si="0"/>
        <v>183619.68815719179</v>
      </c>
      <c r="E24" s="94">
        <f t="shared" si="1"/>
        <v>183619.68815719179</v>
      </c>
      <c r="F24" s="101" t="e">
        <f>#REF!/1.852</f>
        <v>#REF!</v>
      </c>
      <c r="G24" s="102">
        <f>Q24/1.852</f>
        <v>22.516198704103669</v>
      </c>
      <c r="K24" s="92" t="s">
        <v>27</v>
      </c>
      <c r="L24" s="41">
        <f>ROUND(C24,-2)</f>
        <v>367200</v>
      </c>
      <c r="M24" s="41">
        <f t="shared" si="4"/>
        <v>183600</v>
      </c>
      <c r="N24" s="41">
        <f t="shared" si="5"/>
        <v>183600</v>
      </c>
      <c r="Q24" s="13">
        <v>41.699999999999996</v>
      </c>
      <c r="R24" s="13">
        <v>27.499999999999996</v>
      </c>
    </row>
    <row r="28" spans="1:19" ht="15" x14ac:dyDescent="0.2">
      <c r="B28" s="44" t="s">
        <v>28</v>
      </c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30" spans="1:19" x14ac:dyDescent="0.15">
      <c r="B30" s="161" t="s">
        <v>29</v>
      </c>
      <c r="C30" s="161"/>
    </row>
    <row r="31" spans="1:19" x14ac:dyDescent="0.15">
      <c r="B31" s="161"/>
      <c r="C31" s="161"/>
    </row>
    <row r="32" spans="1:19" x14ac:dyDescent="0.15">
      <c r="B32" s="46"/>
      <c r="C32" s="46"/>
    </row>
    <row r="33" spans="2:21" ht="15" x14ac:dyDescent="0.2">
      <c r="B33" s="40" t="s">
        <v>30</v>
      </c>
      <c r="N33" s="40" t="s">
        <v>30</v>
      </c>
      <c r="S33" s="40" t="s">
        <v>30</v>
      </c>
    </row>
    <row r="35" spans="2:21" ht="15" x14ac:dyDescent="0.2">
      <c r="B35" s="39" t="s">
        <v>31</v>
      </c>
      <c r="C35" s="40"/>
      <c r="D35" s="30"/>
      <c r="E35" s="30"/>
      <c r="F35" s="30"/>
      <c r="N35" s="39" t="s">
        <v>31</v>
      </c>
      <c r="O35" s="40"/>
      <c r="P35" s="30"/>
      <c r="S35" s="39" t="s">
        <v>31</v>
      </c>
      <c r="T35" s="40"/>
      <c r="U35" s="30"/>
    </row>
    <row r="37" spans="2:21" ht="15.75" customHeight="1" x14ac:dyDescent="0.15">
      <c r="B37" s="61" t="s">
        <v>32</v>
      </c>
      <c r="C37" s="62" t="s">
        <v>33</v>
      </c>
      <c r="D37" s="62" t="s">
        <v>34</v>
      </c>
      <c r="E37" s="63"/>
      <c r="F37" s="63"/>
      <c r="G37" s="63"/>
      <c r="H37" s="55" t="s">
        <v>35</v>
      </c>
      <c r="N37" s="61" t="s">
        <v>32</v>
      </c>
      <c r="O37" s="62" t="s">
        <v>33</v>
      </c>
      <c r="P37" s="62" t="s">
        <v>34</v>
      </c>
      <c r="Q37" s="55" t="s">
        <v>35</v>
      </c>
      <c r="S37" s="61" t="s">
        <v>32</v>
      </c>
      <c r="T37" s="62" t="s">
        <v>33</v>
      </c>
      <c r="U37" s="55" t="s">
        <v>36</v>
      </c>
    </row>
    <row r="38" spans="2:21" x14ac:dyDescent="0.15">
      <c r="B38" s="64"/>
      <c r="C38" s="65" t="s">
        <v>7</v>
      </c>
      <c r="D38" s="65" t="s">
        <v>37</v>
      </c>
      <c r="E38" s="66"/>
      <c r="F38" s="66"/>
      <c r="G38" s="66"/>
      <c r="H38" s="56" t="s">
        <v>38</v>
      </c>
      <c r="N38" s="64"/>
      <c r="O38" s="65" t="s">
        <v>7</v>
      </c>
      <c r="P38" s="65" t="s">
        <v>37</v>
      </c>
      <c r="Q38" s="56" t="s">
        <v>38</v>
      </c>
      <c r="S38" s="64"/>
      <c r="T38" s="65" t="s">
        <v>7</v>
      </c>
      <c r="U38" s="56"/>
    </row>
    <row r="39" spans="2:21" x14ac:dyDescent="0.15">
      <c r="B39" s="67" t="s">
        <v>11</v>
      </c>
      <c r="C39" s="51">
        <f>L9</f>
        <v>106800</v>
      </c>
      <c r="D39" s="68">
        <v>0.12</v>
      </c>
      <c r="E39" s="63"/>
      <c r="F39" s="63"/>
      <c r="G39" s="63"/>
      <c r="H39" s="57">
        <f t="shared" ref="H39:H54" si="6">D39*C39</f>
        <v>12816</v>
      </c>
      <c r="N39" s="67" t="s">
        <v>11</v>
      </c>
      <c r="O39" s="51">
        <v>106800</v>
      </c>
      <c r="P39" s="118">
        <v>0</v>
      </c>
      <c r="Q39" s="114">
        <f t="shared" ref="Q39:Q54" si="7">P39*O39</f>
        <v>0</v>
      </c>
      <c r="S39" s="67" t="s">
        <v>11</v>
      </c>
      <c r="T39" s="51">
        <v>106800</v>
      </c>
      <c r="U39" s="121">
        <v>0</v>
      </c>
    </row>
    <row r="40" spans="2:21" x14ac:dyDescent="0.15">
      <c r="B40" s="69" t="s">
        <v>12</v>
      </c>
      <c r="C40" s="33">
        <f>L10</f>
        <v>47500</v>
      </c>
      <c r="D40" s="70">
        <v>0.12</v>
      </c>
      <c r="E40" s="66"/>
      <c r="F40" s="66"/>
      <c r="G40" s="66"/>
      <c r="H40" s="58">
        <f t="shared" si="6"/>
        <v>5700</v>
      </c>
      <c r="N40" s="69" t="s">
        <v>12</v>
      </c>
      <c r="O40" s="33">
        <v>47500</v>
      </c>
      <c r="P40" s="119">
        <v>0</v>
      </c>
      <c r="Q40" s="115">
        <f t="shared" si="7"/>
        <v>0</v>
      </c>
      <c r="S40" s="69" t="s">
        <v>12</v>
      </c>
      <c r="T40" s="33">
        <v>47500</v>
      </c>
      <c r="U40" s="122">
        <v>0</v>
      </c>
    </row>
    <row r="41" spans="2:21" x14ac:dyDescent="0.15">
      <c r="B41" s="69" t="s">
        <v>14</v>
      </c>
      <c r="C41" s="33">
        <f t="shared" ref="C41:C54" si="8">L11</f>
        <v>47200</v>
      </c>
      <c r="D41" s="70">
        <v>0.14000000000000001</v>
      </c>
      <c r="E41" s="66"/>
      <c r="F41" s="66"/>
      <c r="G41" s="66"/>
      <c r="H41" s="58">
        <f t="shared" si="6"/>
        <v>6608.0000000000009</v>
      </c>
      <c r="N41" s="69" t="s">
        <v>14</v>
      </c>
      <c r="O41" s="33">
        <v>47200</v>
      </c>
      <c r="P41" s="119">
        <v>0</v>
      </c>
      <c r="Q41" s="115">
        <f t="shared" si="7"/>
        <v>0</v>
      </c>
      <c r="S41" s="69" t="s">
        <v>14</v>
      </c>
      <c r="T41" s="33">
        <v>47200</v>
      </c>
      <c r="U41" s="122">
        <v>0</v>
      </c>
    </row>
    <row r="42" spans="2:21" x14ac:dyDescent="0.15">
      <c r="B42" s="69" t="s">
        <v>15</v>
      </c>
      <c r="C42" s="33">
        <f t="shared" si="8"/>
        <v>821000</v>
      </c>
      <c r="D42" s="70">
        <v>0.14000000000000001</v>
      </c>
      <c r="E42" s="66"/>
      <c r="F42" s="66"/>
      <c r="G42" s="66"/>
      <c r="H42" s="58">
        <f t="shared" si="6"/>
        <v>114940.00000000001</v>
      </c>
      <c r="N42" s="69" t="s">
        <v>15</v>
      </c>
      <c r="O42" s="33">
        <v>821000</v>
      </c>
      <c r="P42" s="119">
        <v>0</v>
      </c>
      <c r="Q42" s="115">
        <f t="shared" si="7"/>
        <v>0</v>
      </c>
      <c r="S42" s="69" t="s">
        <v>15</v>
      </c>
      <c r="T42" s="33">
        <v>821000</v>
      </c>
      <c r="U42" s="122">
        <v>0</v>
      </c>
    </row>
    <row r="43" spans="2:21" x14ac:dyDescent="0.15">
      <c r="B43" s="69" t="s">
        <v>16</v>
      </c>
      <c r="C43" s="33">
        <f t="shared" si="8"/>
        <v>18400</v>
      </c>
      <c r="D43" s="70">
        <v>0.2</v>
      </c>
      <c r="E43" s="66"/>
      <c r="F43" s="66"/>
      <c r="G43" s="66"/>
      <c r="H43" s="58">
        <f t="shared" si="6"/>
        <v>3680</v>
      </c>
      <c r="N43" s="69" t="s">
        <v>16</v>
      </c>
      <c r="O43" s="33">
        <v>18400</v>
      </c>
      <c r="P43" s="119">
        <v>0</v>
      </c>
      <c r="Q43" s="115">
        <f t="shared" si="7"/>
        <v>0</v>
      </c>
      <c r="S43" s="69" t="s">
        <v>16</v>
      </c>
      <c r="T43" s="33">
        <v>18400</v>
      </c>
      <c r="U43" s="122">
        <v>0</v>
      </c>
    </row>
    <row r="44" spans="2:21" x14ac:dyDescent="0.15">
      <c r="B44" s="69" t="s">
        <v>17</v>
      </c>
      <c r="C44" s="33">
        <f t="shared" si="8"/>
        <v>1400</v>
      </c>
      <c r="D44" s="70">
        <v>0.25</v>
      </c>
      <c r="E44" s="66"/>
      <c r="F44" s="66"/>
      <c r="G44" s="66"/>
      <c r="H44" s="58">
        <f t="shared" si="6"/>
        <v>350</v>
      </c>
      <c r="N44" s="69" t="s">
        <v>17</v>
      </c>
      <c r="O44" s="33">
        <v>1400</v>
      </c>
      <c r="P44" s="119">
        <v>0</v>
      </c>
      <c r="Q44" s="115">
        <f t="shared" si="7"/>
        <v>0</v>
      </c>
      <c r="S44" s="69" t="s">
        <v>17</v>
      </c>
      <c r="T44" s="33">
        <v>1400</v>
      </c>
      <c r="U44" s="122">
        <v>0</v>
      </c>
    </row>
    <row r="45" spans="2:21" x14ac:dyDescent="0.15">
      <c r="B45" s="69" t="s">
        <v>18</v>
      </c>
      <c r="C45" s="33">
        <f t="shared" si="8"/>
        <v>2800</v>
      </c>
      <c r="D45" s="70">
        <v>0.25</v>
      </c>
      <c r="E45" s="66"/>
      <c r="F45" s="66"/>
      <c r="G45" s="66"/>
      <c r="H45" s="58">
        <f t="shared" si="6"/>
        <v>700</v>
      </c>
      <c r="N45" s="69" t="s">
        <v>18</v>
      </c>
      <c r="O45" s="33">
        <v>2800</v>
      </c>
      <c r="P45" s="119">
        <v>0</v>
      </c>
      <c r="Q45" s="115">
        <f t="shared" si="7"/>
        <v>0</v>
      </c>
      <c r="S45" s="69" t="s">
        <v>18</v>
      </c>
      <c r="T45" s="33">
        <v>2800</v>
      </c>
      <c r="U45" s="122">
        <v>0</v>
      </c>
    </row>
    <row r="46" spans="2:21" x14ac:dyDescent="0.15">
      <c r="B46" s="69" t="s">
        <v>19</v>
      </c>
      <c r="C46" s="33">
        <f t="shared" si="8"/>
        <v>0</v>
      </c>
      <c r="D46" s="70">
        <v>0.25</v>
      </c>
      <c r="E46" s="66"/>
      <c r="F46" s="66"/>
      <c r="G46" s="66"/>
      <c r="H46" s="58">
        <f t="shared" si="6"/>
        <v>0</v>
      </c>
      <c r="N46" s="69" t="s">
        <v>19</v>
      </c>
      <c r="O46" s="33">
        <v>0</v>
      </c>
      <c r="P46" s="119">
        <v>0</v>
      </c>
      <c r="Q46" s="115">
        <f t="shared" si="7"/>
        <v>0</v>
      </c>
      <c r="S46" s="69" t="s">
        <v>19</v>
      </c>
      <c r="T46" s="33">
        <v>0</v>
      </c>
      <c r="U46" s="122">
        <v>0</v>
      </c>
    </row>
    <row r="47" spans="2:21" x14ac:dyDescent="0.15">
      <c r="B47" s="69" t="s">
        <v>20</v>
      </c>
      <c r="C47" s="33">
        <f t="shared" si="8"/>
        <v>7900</v>
      </c>
      <c r="D47" s="70">
        <v>0.25</v>
      </c>
      <c r="E47" s="66"/>
      <c r="F47" s="66"/>
      <c r="G47" s="66"/>
      <c r="H47" s="58">
        <f t="shared" si="6"/>
        <v>1975</v>
      </c>
      <c r="N47" s="69" t="s">
        <v>20</v>
      </c>
      <c r="O47" s="33">
        <v>7900</v>
      </c>
      <c r="P47" s="119">
        <v>0</v>
      </c>
      <c r="Q47" s="115">
        <f t="shared" si="7"/>
        <v>0</v>
      </c>
      <c r="S47" s="69" t="s">
        <v>20</v>
      </c>
      <c r="T47" s="33">
        <v>7900</v>
      </c>
      <c r="U47" s="122">
        <v>0</v>
      </c>
    </row>
    <row r="48" spans="2:21" x14ac:dyDescent="0.15">
      <c r="B48" s="69" t="s">
        <v>21</v>
      </c>
      <c r="C48" s="33">
        <f t="shared" si="8"/>
        <v>183300</v>
      </c>
      <c r="D48" s="70">
        <v>2.2999999999999998</v>
      </c>
      <c r="E48" s="66"/>
      <c r="F48" s="66"/>
      <c r="G48" s="66"/>
      <c r="H48" s="58">
        <f t="shared" si="6"/>
        <v>421589.99999999994</v>
      </c>
      <c r="N48" s="69" t="s">
        <v>21</v>
      </c>
      <c r="O48" s="33">
        <v>183300</v>
      </c>
      <c r="P48" s="119">
        <v>0</v>
      </c>
      <c r="Q48" s="115">
        <f t="shared" si="7"/>
        <v>0</v>
      </c>
      <c r="S48" s="69" t="s">
        <v>21</v>
      </c>
      <c r="T48" s="33">
        <v>183300</v>
      </c>
      <c r="U48" s="122">
        <v>0</v>
      </c>
    </row>
    <row r="49" spans="2:21" x14ac:dyDescent="0.15">
      <c r="B49" s="69" t="s">
        <v>22</v>
      </c>
      <c r="C49" s="33">
        <f t="shared" si="8"/>
        <v>607500</v>
      </c>
      <c r="D49" s="70">
        <v>0.4</v>
      </c>
      <c r="E49" s="66"/>
      <c r="F49" s="66"/>
      <c r="G49" s="66"/>
      <c r="H49" s="58">
        <f t="shared" si="6"/>
        <v>243000</v>
      </c>
      <c r="N49" s="69" t="s">
        <v>22</v>
      </c>
      <c r="O49" s="33">
        <v>607500</v>
      </c>
      <c r="P49" s="119">
        <v>0</v>
      </c>
      <c r="Q49" s="115">
        <f t="shared" si="7"/>
        <v>0</v>
      </c>
      <c r="S49" s="69" t="s">
        <v>22</v>
      </c>
      <c r="T49" s="33">
        <v>607500</v>
      </c>
      <c r="U49" s="122">
        <v>0</v>
      </c>
    </row>
    <row r="50" spans="2:21" x14ac:dyDescent="0.15">
      <c r="B50" s="69" t="s">
        <v>23</v>
      </c>
      <c r="C50" s="33">
        <f t="shared" si="8"/>
        <v>166700</v>
      </c>
      <c r="D50" s="70">
        <v>0.4</v>
      </c>
      <c r="E50" s="66"/>
      <c r="F50" s="66"/>
      <c r="G50" s="66"/>
      <c r="H50" s="58">
        <f t="shared" si="6"/>
        <v>66680</v>
      </c>
      <c r="N50" s="69" t="s">
        <v>23</v>
      </c>
      <c r="O50" s="33">
        <v>166700</v>
      </c>
      <c r="P50" s="119">
        <v>0</v>
      </c>
      <c r="Q50" s="115">
        <f t="shared" si="7"/>
        <v>0</v>
      </c>
      <c r="S50" s="69" t="s">
        <v>23</v>
      </c>
      <c r="T50" s="33">
        <v>166700</v>
      </c>
      <c r="U50" s="122">
        <v>0</v>
      </c>
    </row>
    <row r="51" spans="2:21" x14ac:dyDescent="0.15">
      <c r="B51" s="69" t="s">
        <v>24</v>
      </c>
      <c r="C51" s="33">
        <f t="shared" si="8"/>
        <v>1088600</v>
      </c>
      <c r="D51" s="70">
        <v>0.5</v>
      </c>
      <c r="E51" s="66"/>
      <c r="F51" s="66"/>
      <c r="G51" s="66"/>
      <c r="H51" s="58">
        <f t="shared" si="6"/>
        <v>544300</v>
      </c>
      <c r="N51" s="69" t="s">
        <v>24</v>
      </c>
      <c r="O51" s="33">
        <v>1088600</v>
      </c>
      <c r="P51" s="119">
        <v>0</v>
      </c>
      <c r="Q51" s="115">
        <f t="shared" si="7"/>
        <v>0</v>
      </c>
      <c r="S51" s="69" t="s">
        <v>24</v>
      </c>
      <c r="T51" s="33">
        <v>1088600</v>
      </c>
      <c r="U51" s="122">
        <v>0</v>
      </c>
    </row>
    <row r="52" spans="2:21" x14ac:dyDescent="0.15">
      <c r="B52" s="69" t="s">
        <v>25</v>
      </c>
      <c r="C52" s="33">
        <f t="shared" si="8"/>
        <v>1541300</v>
      </c>
      <c r="D52" s="70">
        <v>0.6</v>
      </c>
      <c r="E52" s="66"/>
      <c r="F52" s="66"/>
      <c r="G52" s="66"/>
      <c r="H52" s="58">
        <f t="shared" si="6"/>
        <v>924780</v>
      </c>
      <c r="N52" s="69" t="s">
        <v>25</v>
      </c>
      <c r="O52" s="33">
        <v>1541300</v>
      </c>
      <c r="P52" s="119">
        <v>0</v>
      </c>
      <c r="Q52" s="115">
        <f t="shared" si="7"/>
        <v>0</v>
      </c>
      <c r="S52" s="69" t="s">
        <v>25</v>
      </c>
      <c r="T52" s="33">
        <v>1541300</v>
      </c>
      <c r="U52" s="122">
        <v>0</v>
      </c>
    </row>
    <row r="53" spans="2:21" x14ac:dyDescent="0.15">
      <c r="B53" s="69" t="s">
        <v>26</v>
      </c>
      <c r="C53" s="33">
        <f t="shared" si="8"/>
        <v>0</v>
      </c>
      <c r="D53" s="70">
        <v>0.6</v>
      </c>
      <c r="E53" s="66"/>
      <c r="F53" s="66"/>
      <c r="G53" s="66"/>
      <c r="H53" s="58">
        <f t="shared" si="6"/>
        <v>0</v>
      </c>
      <c r="N53" s="69" t="s">
        <v>26</v>
      </c>
      <c r="O53" s="33">
        <v>0</v>
      </c>
      <c r="P53" s="119">
        <v>0</v>
      </c>
      <c r="Q53" s="115">
        <f t="shared" si="7"/>
        <v>0</v>
      </c>
      <c r="S53" s="69" t="s">
        <v>26</v>
      </c>
      <c r="T53" s="33">
        <v>0</v>
      </c>
      <c r="U53" s="122">
        <v>0</v>
      </c>
    </row>
    <row r="54" spans="2:21" x14ac:dyDescent="0.15">
      <c r="B54" s="71" t="s">
        <v>27</v>
      </c>
      <c r="C54" s="34">
        <f t="shared" si="8"/>
        <v>367200</v>
      </c>
      <c r="D54" s="72">
        <v>0.7</v>
      </c>
      <c r="E54" s="73"/>
      <c r="F54" s="73"/>
      <c r="G54" s="73"/>
      <c r="H54" s="59">
        <f t="shared" si="6"/>
        <v>257039.99999999997</v>
      </c>
      <c r="N54" s="71" t="s">
        <v>27</v>
      </c>
      <c r="O54" s="34">
        <v>367200</v>
      </c>
      <c r="P54" s="120">
        <v>0</v>
      </c>
      <c r="Q54" s="116">
        <f t="shared" si="7"/>
        <v>0</v>
      </c>
      <c r="S54" s="71" t="s">
        <v>27</v>
      </c>
      <c r="T54" s="34">
        <v>367200</v>
      </c>
      <c r="U54" s="123">
        <v>0</v>
      </c>
    </row>
    <row r="55" spans="2:21" x14ac:dyDescent="0.15">
      <c r="B55" s="71" t="s">
        <v>39</v>
      </c>
      <c r="C55" s="73"/>
      <c r="D55" s="73"/>
      <c r="E55" s="73"/>
      <c r="F55" s="73"/>
      <c r="G55" s="73"/>
      <c r="H55" s="60">
        <f>SUM(H39:H54)</f>
        <v>2604159</v>
      </c>
      <c r="N55" s="71" t="s">
        <v>39</v>
      </c>
      <c r="O55" s="73"/>
      <c r="P55" s="73"/>
      <c r="Q55" s="117">
        <f>SUM(Q39:Q54)</f>
        <v>0</v>
      </c>
      <c r="S55" s="71" t="s">
        <v>39</v>
      </c>
      <c r="T55" s="73"/>
      <c r="U55" s="124"/>
    </row>
    <row r="58" spans="2:21" ht="15" x14ac:dyDescent="0.2">
      <c r="B58" s="39" t="s">
        <v>40</v>
      </c>
      <c r="C58" s="40"/>
      <c r="D58" s="40"/>
      <c r="E58" s="40"/>
      <c r="F58" s="40"/>
      <c r="N58" s="39" t="s">
        <v>40</v>
      </c>
      <c r="O58" s="40"/>
      <c r="P58" s="40"/>
      <c r="S58" s="39" t="s">
        <v>40</v>
      </c>
      <c r="T58" s="40"/>
      <c r="U58" s="40"/>
    </row>
    <row r="59" spans="2:21" x14ac:dyDescent="0.15">
      <c r="U59" t="s">
        <v>36</v>
      </c>
    </row>
    <row r="60" spans="2:21" x14ac:dyDescent="0.15">
      <c r="B60" t="s">
        <v>41</v>
      </c>
      <c r="D60" s="36">
        <v>48</v>
      </c>
      <c r="F60" t="s">
        <v>42</v>
      </c>
      <c r="H60" s="36">
        <v>3700</v>
      </c>
      <c r="N60" t="s">
        <v>41</v>
      </c>
      <c r="P60" s="36">
        <v>48</v>
      </c>
      <c r="S60" t="s">
        <v>41</v>
      </c>
      <c r="U60" s="119">
        <v>0</v>
      </c>
    </row>
    <row r="61" spans="2:21" x14ac:dyDescent="0.15">
      <c r="B61" t="s">
        <v>43</v>
      </c>
      <c r="D61" s="36">
        <v>34</v>
      </c>
      <c r="N61" t="s">
        <v>43</v>
      </c>
      <c r="P61" s="36">
        <v>34</v>
      </c>
      <c r="S61" t="s">
        <v>43</v>
      </c>
      <c r="U61" s="119">
        <v>0</v>
      </c>
    </row>
    <row r="63" spans="2:21" x14ac:dyDescent="0.15">
      <c r="N63" t="s">
        <v>42</v>
      </c>
      <c r="P63" s="36">
        <v>3700</v>
      </c>
      <c r="S63" t="s">
        <v>42</v>
      </c>
      <c r="U63" s="36">
        <v>3700</v>
      </c>
    </row>
    <row r="64" spans="2:21" ht="22.5" customHeight="1" x14ac:dyDescent="0.15">
      <c r="B64" s="52" t="s">
        <v>32</v>
      </c>
      <c r="C64" s="164" t="s">
        <v>44</v>
      </c>
      <c r="D64" s="164"/>
      <c r="E64" s="165" t="s">
        <v>45</v>
      </c>
      <c r="F64" s="164"/>
      <c r="G64" s="62" t="s">
        <v>46</v>
      </c>
      <c r="H64" s="110" t="s">
        <v>47</v>
      </c>
      <c r="I64" s="55" t="s">
        <v>48</v>
      </c>
    </row>
    <row r="65" spans="2:19" ht="15" x14ac:dyDescent="0.2">
      <c r="B65" s="48"/>
      <c r="C65" s="20" t="s">
        <v>5</v>
      </c>
      <c r="D65" s="20" t="s">
        <v>49</v>
      </c>
      <c r="E65" s="48" t="s">
        <v>5</v>
      </c>
      <c r="F65" s="20" t="s">
        <v>49</v>
      </c>
      <c r="H65" s="111"/>
      <c r="I65" s="103"/>
      <c r="N65" s="40" t="s">
        <v>50</v>
      </c>
      <c r="S65" s="40" t="s">
        <v>50</v>
      </c>
    </row>
    <row r="66" spans="2:19" x14ac:dyDescent="0.15">
      <c r="B66" s="48"/>
      <c r="C66" s="46" t="s">
        <v>7</v>
      </c>
      <c r="D66" s="46" t="s">
        <v>7</v>
      </c>
      <c r="E66" s="105" t="s">
        <v>51</v>
      </c>
      <c r="F66" s="106" t="s">
        <v>51</v>
      </c>
      <c r="G66" s="99" t="s">
        <v>38</v>
      </c>
      <c r="H66" s="112" t="s">
        <v>38</v>
      </c>
      <c r="I66" s="74" t="s">
        <v>38</v>
      </c>
    </row>
    <row r="67" spans="2:19" x14ac:dyDescent="0.15">
      <c r="B67" s="49" t="s">
        <v>11</v>
      </c>
      <c r="C67" s="50">
        <f>M9</f>
        <v>53400</v>
      </c>
      <c r="D67" s="50">
        <f>N9</f>
        <v>53400</v>
      </c>
      <c r="E67" s="53">
        <v>16.846652267818573</v>
      </c>
      <c r="F67" s="37">
        <v>5.2375809935205178</v>
      </c>
      <c r="G67" s="33">
        <f>$D$60*E67*(C67/$H$60)+$D$60*F67*(D67/$H$60)</f>
        <v>15299.001809584963</v>
      </c>
      <c r="H67" s="33">
        <f>$D$61*E67*(C67/$H$60)+$D$61*F67*(D67/$H$60)</f>
        <v>10836.792948456014</v>
      </c>
      <c r="I67" s="104">
        <f>H67+G67</f>
        <v>26135.794758040975</v>
      </c>
    </row>
    <row r="68" spans="2:19" x14ac:dyDescent="0.15">
      <c r="B68" s="35" t="s">
        <v>12</v>
      </c>
      <c r="C68" s="32">
        <f>M10</f>
        <v>23800</v>
      </c>
      <c r="D68" s="32">
        <f>N10</f>
        <v>23800</v>
      </c>
      <c r="E68" s="53">
        <v>14.794816414686824</v>
      </c>
      <c r="F68" s="37">
        <v>4.5896328293736497</v>
      </c>
      <c r="G68" s="33">
        <f t="shared" ref="G68:G81" si="9">$D$60*E68*(C68/$H$60)+$D$60*F68*(D68/$H$60)</f>
        <v>5985.0796801120778</v>
      </c>
      <c r="H68" s="33">
        <f t="shared" ref="H68:H82" si="10">$D$61*E68*(C68/$H$60)+$D$61*F68*(D68/$H$60)</f>
        <v>4239.4314400793883</v>
      </c>
      <c r="I68" s="104">
        <f t="shared" ref="I68:I82" si="11">H68+G68</f>
        <v>10224.511120191466</v>
      </c>
    </row>
    <row r="69" spans="2:19" x14ac:dyDescent="0.15">
      <c r="B69" s="35" t="s">
        <v>14</v>
      </c>
      <c r="C69" s="32">
        <f t="shared" ref="C69:C82" si="12">M11</f>
        <v>23600</v>
      </c>
      <c r="D69" s="32">
        <f t="shared" ref="D69:D82" si="13">N11</f>
        <v>23600</v>
      </c>
      <c r="E69" s="53">
        <v>12.688984881209503</v>
      </c>
      <c r="F69" s="37">
        <v>5.9395248380129591</v>
      </c>
      <c r="G69" s="33">
        <f t="shared" si="9"/>
        <v>5703.3448134960008</v>
      </c>
      <c r="H69" s="33">
        <f t="shared" si="10"/>
        <v>4039.8692428930008</v>
      </c>
      <c r="I69" s="104">
        <f t="shared" si="11"/>
        <v>9743.2140563890025</v>
      </c>
    </row>
    <row r="70" spans="2:19" x14ac:dyDescent="0.15">
      <c r="B70" s="35" t="s">
        <v>15</v>
      </c>
      <c r="C70" s="32">
        <f t="shared" si="12"/>
        <v>410500</v>
      </c>
      <c r="D70" s="32">
        <f t="shared" si="13"/>
        <v>410500</v>
      </c>
      <c r="E70" s="53">
        <v>10.421166306695465</v>
      </c>
      <c r="F70" s="37">
        <v>8.2073434125269973</v>
      </c>
      <c r="G70" s="33">
        <f t="shared" si="9"/>
        <v>99204.366353394435</v>
      </c>
      <c r="H70" s="33">
        <f t="shared" si="10"/>
        <v>70269.759500321059</v>
      </c>
      <c r="I70" s="104">
        <f t="shared" si="11"/>
        <v>169474.12585371549</v>
      </c>
    </row>
    <row r="71" spans="2:19" x14ac:dyDescent="0.15">
      <c r="B71" s="35" t="s">
        <v>16</v>
      </c>
      <c r="C71" s="32">
        <f t="shared" si="12"/>
        <v>9200</v>
      </c>
      <c r="D71" s="32">
        <f t="shared" si="13"/>
        <v>9200</v>
      </c>
      <c r="E71" s="54">
        <v>8.7473002159827224</v>
      </c>
      <c r="F71" s="38">
        <v>9.881209503239738</v>
      </c>
      <c r="G71" s="33">
        <f t="shared" si="9"/>
        <v>2223.3378086509833</v>
      </c>
      <c r="H71" s="33">
        <f t="shared" si="10"/>
        <v>1574.86428112778</v>
      </c>
      <c r="I71" s="104">
        <f t="shared" si="11"/>
        <v>3798.2020897787634</v>
      </c>
    </row>
    <row r="72" spans="2:19" x14ac:dyDescent="0.15">
      <c r="B72" s="35" t="s">
        <v>17</v>
      </c>
      <c r="C72" s="32">
        <f t="shared" si="12"/>
        <v>700</v>
      </c>
      <c r="D72" s="32">
        <f t="shared" si="13"/>
        <v>700</v>
      </c>
      <c r="E72" s="54">
        <v>7.3434125269978399</v>
      </c>
      <c r="F72" s="38">
        <v>11.285097192224621</v>
      </c>
      <c r="G72" s="33">
        <f t="shared" si="9"/>
        <v>169.16700717996616</v>
      </c>
      <c r="H72" s="33">
        <f t="shared" si="10"/>
        <v>119.82663008580934</v>
      </c>
      <c r="I72" s="104">
        <f t="shared" si="11"/>
        <v>288.99363726577553</v>
      </c>
    </row>
    <row r="73" spans="2:19" ht="21.75" customHeight="1" x14ac:dyDescent="0.3">
      <c r="B73" s="35" t="s">
        <v>18</v>
      </c>
      <c r="C73" s="32">
        <f t="shared" si="12"/>
        <v>1400</v>
      </c>
      <c r="D73" s="32">
        <f t="shared" si="13"/>
        <v>1400</v>
      </c>
      <c r="E73" s="54">
        <v>6.1015118790496752</v>
      </c>
      <c r="F73" s="38">
        <v>12.526997840172784</v>
      </c>
      <c r="G73" s="33">
        <f t="shared" si="9"/>
        <v>338.33401435993227</v>
      </c>
      <c r="H73" s="33">
        <f t="shared" si="10"/>
        <v>239.65326017161868</v>
      </c>
      <c r="I73" s="104">
        <f t="shared" si="11"/>
        <v>577.98727453155095</v>
      </c>
      <c r="N73" s="125"/>
    </row>
    <row r="74" spans="2:19" x14ac:dyDescent="0.15">
      <c r="B74" s="35" t="s">
        <v>19</v>
      </c>
      <c r="C74" s="32">
        <f t="shared" si="12"/>
        <v>0</v>
      </c>
      <c r="D74" s="32">
        <f t="shared" si="13"/>
        <v>0</v>
      </c>
      <c r="E74" s="54">
        <v>4.6976241900647953</v>
      </c>
      <c r="F74" s="38">
        <v>13.930885529157667</v>
      </c>
      <c r="G74" s="33">
        <f t="shared" si="9"/>
        <v>0</v>
      </c>
      <c r="H74" s="33">
        <f t="shared" si="10"/>
        <v>0</v>
      </c>
      <c r="I74" s="104">
        <f t="shared" si="11"/>
        <v>0</v>
      </c>
    </row>
    <row r="75" spans="2:19" x14ac:dyDescent="0.15">
      <c r="B75" s="35" t="s">
        <v>20</v>
      </c>
      <c r="C75" s="32">
        <f t="shared" si="12"/>
        <v>3900</v>
      </c>
      <c r="D75" s="32">
        <f t="shared" si="13"/>
        <v>3900</v>
      </c>
      <c r="E75" s="54">
        <v>3.131749460043197</v>
      </c>
      <c r="F75" s="38">
        <v>15.496760259179265</v>
      </c>
      <c r="G75" s="33">
        <f t="shared" si="9"/>
        <v>942.5018971455255</v>
      </c>
      <c r="H75" s="33">
        <f t="shared" si="10"/>
        <v>667.60551047808053</v>
      </c>
      <c r="I75" s="104">
        <f t="shared" si="11"/>
        <v>1610.1074076236059</v>
      </c>
    </row>
    <row r="76" spans="2:19" x14ac:dyDescent="0.15">
      <c r="B76" s="35" t="s">
        <v>21</v>
      </c>
      <c r="C76" s="32">
        <f t="shared" si="12"/>
        <v>91600</v>
      </c>
      <c r="D76" s="32">
        <f t="shared" si="13"/>
        <v>91600</v>
      </c>
      <c r="E76" s="54">
        <v>1.7818574514038878</v>
      </c>
      <c r="F76" s="38">
        <v>16.846652267818573</v>
      </c>
      <c r="G76" s="33">
        <f t="shared" si="9"/>
        <v>22136.711225264142</v>
      </c>
      <c r="H76" s="33">
        <f t="shared" si="10"/>
        <v>15680.170451228767</v>
      </c>
      <c r="I76" s="104">
        <f t="shared" si="11"/>
        <v>37816.881676492907</v>
      </c>
    </row>
    <row r="77" spans="2:19" x14ac:dyDescent="0.15">
      <c r="B77" s="35" t="s">
        <v>22</v>
      </c>
      <c r="C77" s="32">
        <f t="shared" si="12"/>
        <v>303700</v>
      </c>
      <c r="D77" s="32">
        <f t="shared" si="13"/>
        <v>303700</v>
      </c>
      <c r="E77" s="54">
        <v>0.59395248380129595</v>
      </c>
      <c r="F77" s="38">
        <v>18.034557235421165</v>
      </c>
      <c r="G77" s="33">
        <f t="shared" si="9"/>
        <v>73394.314400793883</v>
      </c>
      <c r="H77" s="33">
        <f t="shared" si="10"/>
        <v>51987.639367229</v>
      </c>
      <c r="I77" s="104">
        <f t="shared" si="11"/>
        <v>125381.95376802288</v>
      </c>
    </row>
    <row r="78" spans="2:19" x14ac:dyDescent="0.15">
      <c r="B78" s="35" t="s">
        <v>23</v>
      </c>
      <c r="C78" s="32">
        <f t="shared" si="12"/>
        <v>83400</v>
      </c>
      <c r="D78" s="32">
        <f t="shared" si="13"/>
        <v>83400</v>
      </c>
      <c r="E78" s="54">
        <v>0.59395248380129595</v>
      </c>
      <c r="F78" s="38">
        <v>19.222462203023756</v>
      </c>
      <c r="G78" s="33">
        <f t="shared" si="9"/>
        <v>21440.289533594067</v>
      </c>
      <c r="H78" s="33">
        <f t="shared" si="10"/>
        <v>15186.871752962466</v>
      </c>
      <c r="I78" s="104">
        <f t="shared" si="11"/>
        <v>36627.161286556533</v>
      </c>
    </row>
    <row r="79" spans="2:19" x14ac:dyDescent="0.15">
      <c r="B79" s="35" t="s">
        <v>24</v>
      </c>
      <c r="C79" s="32">
        <f t="shared" si="12"/>
        <v>544300</v>
      </c>
      <c r="D79" s="32">
        <f t="shared" si="13"/>
        <v>544300</v>
      </c>
      <c r="E79" s="54">
        <v>1.6198704103671706</v>
      </c>
      <c r="F79" s="38">
        <v>20.248380129589631</v>
      </c>
      <c r="G79" s="33">
        <f t="shared" si="9"/>
        <v>154415.85429922357</v>
      </c>
      <c r="H79" s="33">
        <f t="shared" si="10"/>
        <v>109377.89679528339</v>
      </c>
      <c r="I79" s="104">
        <f t="shared" si="11"/>
        <v>263793.75109450694</v>
      </c>
    </row>
    <row r="80" spans="2:19" x14ac:dyDescent="0.15">
      <c r="B80" s="35" t="s">
        <v>25</v>
      </c>
      <c r="C80" s="32">
        <f t="shared" si="12"/>
        <v>770600</v>
      </c>
      <c r="D80" s="32">
        <f t="shared" si="13"/>
        <v>770600</v>
      </c>
      <c r="E80" s="54">
        <v>2.861771058315334</v>
      </c>
      <c r="F80" s="38">
        <v>21.490280777537794</v>
      </c>
      <c r="G80" s="33">
        <f t="shared" si="9"/>
        <v>243446.80403946061</v>
      </c>
      <c r="H80" s="33">
        <f t="shared" si="10"/>
        <v>172441.4861946179</v>
      </c>
      <c r="I80" s="104">
        <f t="shared" si="11"/>
        <v>415888.29023407854</v>
      </c>
    </row>
    <row r="81" spans="2:9" x14ac:dyDescent="0.15">
      <c r="B81" s="35" t="s">
        <v>26</v>
      </c>
      <c r="C81" s="32">
        <f t="shared" si="12"/>
        <v>0</v>
      </c>
      <c r="D81" s="32">
        <f t="shared" si="13"/>
        <v>0</v>
      </c>
      <c r="E81" s="54">
        <v>3.8876889848812088</v>
      </c>
      <c r="F81" s="38">
        <v>22.516198704103669</v>
      </c>
      <c r="G81" s="33">
        <f t="shared" si="9"/>
        <v>0</v>
      </c>
      <c r="H81" s="33">
        <f t="shared" si="10"/>
        <v>0</v>
      </c>
      <c r="I81" s="104">
        <f t="shared" si="11"/>
        <v>0</v>
      </c>
    </row>
    <row r="82" spans="2:9" x14ac:dyDescent="0.15">
      <c r="B82" s="35" t="s">
        <v>27</v>
      </c>
      <c r="C82" s="32">
        <f t="shared" si="12"/>
        <v>183600</v>
      </c>
      <c r="D82" s="32">
        <f t="shared" si="13"/>
        <v>183600</v>
      </c>
      <c r="E82" s="54">
        <v>3.8876889848812088</v>
      </c>
      <c r="F82" s="38">
        <v>22.516198704103669</v>
      </c>
      <c r="G82" s="33">
        <f>$D$60*E82*(C82/$H$60)+$D$60*F82*(D82/$H$60)</f>
        <v>62889.778763644841</v>
      </c>
      <c r="H82" s="33">
        <f t="shared" si="10"/>
        <v>44546.92662424843</v>
      </c>
      <c r="I82" s="104">
        <f t="shared" si="11"/>
        <v>107436.70538789328</v>
      </c>
    </row>
    <row r="83" spans="2:9" x14ac:dyDescent="0.15">
      <c r="B83" s="107" t="s">
        <v>39</v>
      </c>
      <c r="C83" s="108"/>
      <c r="D83" s="108"/>
      <c r="E83" s="108"/>
      <c r="F83" s="108"/>
      <c r="G83" s="109">
        <f>SUM(G67:G82)</f>
        <v>707588.88564590504</v>
      </c>
      <c r="H83" s="109">
        <f t="shared" ref="H83:I83" si="14">SUM(H67:H82)</f>
        <v>501208.7939991827</v>
      </c>
      <c r="I83" s="109">
        <f t="shared" si="14"/>
        <v>1208797.6796450878</v>
      </c>
    </row>
    <row r="85" spans="2:9" x14ac:dyDescent="0.15">
      <c r="H85" s="66"/>
    </row>
    <row r="86" spans="2:9" ht="14.25" x14ac:dyDescent="0.2">
      <c r="B86" s="113" t="s">
        <v>52</v>
      </c>
      <c r="C86" s="108"/>
      <c r="D86" s="108"/>
      <c r="E86" s="108"/>
      <c r="F86" s="108"/>
      <c r="G86" s="108"/>
      <c r="H86" s="108"/>
      <c r="I86" s="109">
        <f>H55+I83</f>
        <v>3812956.6796450876</v>
      </c>
    </row>
    <row r="90" spans="2:9" ht="15" x14ac:dyDescent="0.2">
      <c r="B90" s="40" t="s">
        <v>50</v>
      </c>
    </row>
    <row r="93" spans="2:9" x14ac:dyDescent="0.15">
      <c r="B93" t="s">
        <v>53</v>
      </c>
    </row>
    <row r="94" spans="2:9" x14ac:dyDescent="0.15">
      <c r="B94" t="s">
        <v>54</v>
      </c>
    </row>
  </sheetData>
  <mergeCells count="6">
    <mergeCell ref="L5:N5"/>
    <mergeCell ref="B30:C31"/>
    <mergeCell ref="F5:G5"/>
    <mergeCell ref="C64:D64"/>
    <mergeCell ref="E64:F64"/>
    <mergeCell ref="C5:E5"/>
  </mergeCells>
  <conditionalFormatting sqref="Q11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3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4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5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6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7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8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9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0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1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2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23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0:R10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3:R1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16:R23 Q24:R2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AD73-AEDB-40EC-89F2-B9BE2978736A}">
  <sheetPr codeName="Sheet2">
    <tabColor rgb="FFFFFF00"/>
  </sheetPr>
  <dimension ref="B2:S74"/>
  <sheetViews>
    <sheetView workbookViewId="0">
      <selection activeCell="C63" sqref="C63"/>
    </sheetView>
  </sheetViews>
  <sheetFormatPr defaultRowHeight="11.25" x14ac:dyDescent="0.15"/>
  <cols>
    <col min="2" max="2" width="12.125" customWidth="1"/>
    <col min="3" max="3" width="10.875" customWidth="1"/>
    <col min="4" max="4" width="11" customWidth="1"/>
    <col min="5" max="5" width="10.375" customWidth="1"/>
    <col min="6" max="6" width="10.75" customWidth="1"/>
    <col min="7" max="7" width="10.25" customWidth="1"/>
    <col min="8" max="8" width="9.25" customWidth="1"/>
    <col min="9" max="9" width="15.75" customWidth="1"/>
  </cols>
  <sheetData>
    <row r="2" spans="2:19" ht="15" x14ac:dyDescent="0.15">
      <c r="B2" s="2" t="s">
        <v>55</v>
      </c>
    </row>
    <row r="3" spans="2:19" ht="12" x14ac:dyDescent="0.15">
      <c r="B3" s="3" t="s">
        <v>56</v>
      </c>
      <c r="L3" s="13"/>
      <c r="M3" s="13" t="s">
        <v>57</v>
      </c>
      <c r="N3" s="13"/>
      <c r="O3" s="13"/>
      <c r="P3" s="13"/>
      <c r="Q3" s="13"/>
      <c r="R3" s="13"/>
      <c r="S3" s="13"/>
    </row>
    <row r="4" spans="2:19" ht="12" x14ac:dyDescent="0.15">
      <c r="B4" s="166" t="s">
        <v>58</v>
      </c>
      <c r="C4" s="166"/>
      <c r="D4" s="166"/>
      <c r="E4" s="166"/>
      <c r="F4" s="166"/>
      <c r="G4" s="166"/>
      <c r="H4" s="166"/>
      <c r="I4" s="166"/>
      <c r="L4" s="14"/>
      <c r="M4" s="15" t="s">
        <v>59</v>
      </c>
      <c r="N4" s="15" t="s">
        <v>60</v>
      </c>
      <c r="O4" s="15" t="s">
        <v>61</v>
      </c>
      <c r="P4" s="15" t="s">
        <v>9</v>
      </c>
      <c r="Q4" s="15" t="s">
        <v>10</v>
      </c>
      <c r="R4" s="15" t="s">
        <v>62</v>
      </c>
      <c r="S4" s="15" t="s">
        <v>63</v>
      </c>
    </row>
    <row r="5" spans="2:19" ht="12" x14ac:dyDescent="0.15">
      <c r="B5" s="25" t="s">
        <v>64</v>
      </c>
      <c r="C5" s="25"/>
      <c r="D5" s="25"/>
      <c r="E5" s="4"/>
      <c r="F5" s="4"/>
      <c r="G5" s="4"/>
      <c r="H5" s="4"/>
      <c r="I5" s="4"/>
      <c r="L5" s="16"/>
      <c r="M5" s="13"/>
      <c r="N5" s="13"/>
      <c r="O5" s="13"/>
      <c r="P5" s="13"/>
      <c r="Q5" s="13"/>
      <c r="R5" s="13"/>
      <c r="S5" s="13"/>
    </row>
    <row r="6" spans="2:19" ht="27" x14ac:dyDescent="0.15">
      <c r="B6" s="4" t="s">
        <v>65</v>
      </c>
      <c r="C6" s="5" t="s">
        <v>66</v>
      </c>
      <c r="D6" s="5" t="s">
        <v>67</v>
      </c>
      <c r="E6" s="5" t="s">
        <v>68</v>
      </c>
      <c r="F6" s="6" t="s">
        <v>69</v>
      </c>
      <c r="G6" s="6" t="s">
        <v>70</v>
      </c>
      <c r="H6" s="6" t="s">
        <v>71</v>
      </c>
      <c r="I6" s="6" t="s">
        <v>72</v>
      </c>
      <c r="L6" s="16" t="s">
        <v>11</v>
      </c>
      <c r="M6" s="17"/>
      <c r="N6" s="13">
        <v>31.2</v>
      </c>
      <c r="O6" s="13"/>
      <c r="P6" s="13">
        <v>9.6999999999999993</v>
      </c>
      <c r="Q6" s="18" t="s">
        <v>13</v>
      </c>
      <c r="R6" s="13">
        <v>4.7</v>
      </c>
      <c r="S6" s="13">
        <v>38.899999999999991</v>
      </c>
    </row>
    <row r="7" spans="2:19" ht="12" x14ac:dyDescent="0.15">
      <c r="B7" s="7"/>
      <c r="C7" s="7" t="s">
        <v>7</v>
      </c>
      <c r="D7" s="7" t="s">
        <v>7</v>
      </c>
      <c r="E7" s="7" t="s">
        <v>7</v>
      </c>
      <c r="F7" s="7" t="s">
        <v>38</v>
      </c>
      <c r="G7" s="7" t="s">
        <v>38</v>
      </c>
      <c r="H7" s="7" t="s">
        <v>38</v>
      </c>
      <c r="I7" s="7" t="s">
        <v>38</v>
      </c>
      <c r="L7" s="16" t="s">
        <v>12</v>
      </c>
      <c r="M7" s="17"/>
      <c r="N7" s="13">
        <v>27.4</v>
      </c>
      <c r="O7" s="13"/>
      <c r="P7" s="13">
        <v>8.5</v>
      </c>
      <c r="Q7" s="18" t="s">
        <v>13</v>
      </c>
      <c r="R7" s="13">
        <v>2.7</v>
      </c>
      <c r="S7" s="13">
        <v>35.099999999999994</v>
      </c>
    </row>
    <row r="8" spans="2:19" ht="12" x14ac:dyDescent="0.15">
      <c r="B8" s="8" t="s">
        <v>11</v>
      </c>
      <c r="C8" s="9"/>
      <c r="D8" s="10">
        <v>40000</v>
      </c>
      <c r="E8" s="10">
        <v>16000</v>
      </c>
      <c r="F8" s="8"/>
      <c r="G8" s="8"/>
      <c r="H8" s="8"/>
      <c r="I8" s="8"/>
      <c r="L8" s="16" t="s">
        <v>14</v>
      </c>
      <c r="M8" s="17"/>
      <c r="N8" s="13">
        <v>23.5</v>
      </c>
      <c r="O8" s="13"/>
      <c r="P8" s="13">
        <v>11</v>
      </c>
      <c r="Q8" s="18" t="s">
        <v>13</v>
      </c>
      <c r="R8" s="13">
        <v>4.5</v>
      </c>
      <c r="S8" s="13">
        <v>31.199999999999996</v>
      </c>
    </row>
    <row r="9" spans="2:19" ht="12" x14ac:dyDescent="0.15">
      <c r="B9" s="8" t="s">
        <v>12</v>
      </c>
      <c r="C9" s="9"/>
      <c r="D9" s="10">
        <v>40000</v>
      </c>
      <c r="E9" s="9"/>
      <c r="F9" s="8"/>
      <c r="G9" s="8"/>
      <c r="H9" s="8"/>
      <c r="I9" s="8"/>
      <c r="L9" s="16" t="s">
        <v>15</v>
      </c>
      <c r="M9" s="17"/>
      <c r="N9" s="13">
        <v>19.3</v>
      </c>
      <c r="O9" s="13"/>
      <c r="P9" s="13">
        <v>15.2</v>
      </c>
      <c r="Q9" s="18" t="s">
        <v>13</v>
      </c>
      <c r="R9" s="13">
        <v>8.6999999999999993</v>
      </c>
      <c r="S9" s="13">
        <v>26.999999999999996</v>
      </c>
    </row>
    <row r="10" spans="2:19" ht="12" x14ac:dyDescent="0.15">
      <c r="B10" s="8" t="s">
        <v>14</v>
      </c>
      <c r="C10" s="9"/>
      <c r="D10" s="10">
        <v>50000</v>
      </c>
      <c r="E10" s="10">
        <v>50000</v>
      </c>
      <c r="F10" s="8"/>
      <c r="G10" s="8"/>
      <c r="H10" s="8"/>
      <c r="I10" s="8"/>
      <c r="L10" s="16" t="s">
        <v>16</v>
      </c>
      <c r="M10" s="17"/>
      <c r="N10" s="13">
        <v>16.200000000000003</v>
      </c>
      <c r="O10" s="13"/>
      <c r="P10" s="13">
        <v>18.299999999999997</v>
      </c>
      <c r="Q10" s="18" t="s">
        <v>13</v>
      </c>
      <c r="R10" s="13">
        <v>11.8</v>
      </c>
      <c r="S10" s="13">
        <v>23.9</v>
      </c>
    </row>
    <row r="11" spans="2:19" ht="12" x14ac:dyDescent="0.15">
      <c r="B11" s="8" t="s">
        <v>15</v>
      </c>
      <c r="C11" s="10">
        <v>150000</v>
      </c>
      <c r="D11" s="10">
        <v>1000000</v>
      </c>
      <c r="E11" s="10">
        <v>850000</v>
      </c>
      <c r="F11" s="11"/>
      <c r="G11" s="11"/>
      <c r="H11" s="11"/>
      <c r="I11" s="11"/>
      <c r="L11" s="16" t="s">
        <v>17</v>
      </c>
      <c r="M11" s="17"/>
      <c r="N11" s="13">
        <v>13.6</v>
      </c>
      <c r="O11" s="13"/>
      <c r="P11" s="13">
        <v>20.9</v>
      </c>
      <c r="Q11" s="18" t="s">
        <v>13</v>
      </c>
      <c r="R11" s="13">
        <v>14.399999999999999</v>
      </c>
      <c r="S11" s="13">
        <v>21.299999999999997</v>
      </c>
    </row>
    <row r="12" spans="2:19" ht="12" x14ac:dyDescent="0.15">
      <c r="B12" s="8" t="s">
        <v>16</v>
      </c>
      <c r="C12" s="9"/>
      <c r="D12" s="10">
        <v>30000</v>
      </c>
      <c r="E12" s="10">
        <v>10000</v>
      </c>
      <c r="F12" s="11"/>
      <c r="G12" s="11"/>
      <c r="H12" s="11"/>
      <c r="I12" s="11"/>
      <c r="L12" s="16" t="s">
        <v>18</v>
      </c>
      <c r="M12" s="17"/>
      <c r="N12" s="13">
        <v>11.299999999999999</v>
      </c>
      <c r="O12" s="13"/>
      <c r="P12" s="13">
        <v>23.2</v>
      </c>
      <c r="Q12" s="13">
        <v>20</v>
      </c>
      <c r="R12" s="13">
        <v>16.7</v>
      </c>
      <c r="S12" s="13">
        <v>18.999999999999996</v>
      </c>
    </row>
    <row r="13" spans="2:19" ht="12" x14ac:dyDescent="0.15">
      <c r="B13" s="8" t="s">
        <v>17</v>
      </c>
      <c r="C13" s="9"/>
      <c r="D13" s="10">
        <v>2000</v>
      </c>
      <c r="E13" s="10">
        <v>2000</v>
      </c>
      <c r="F13" s="11"/>
      <c r="G13" s="11"/>
      <c r="H13" s="11"/>
      <c r="I13" s="11"/>
      <c r="L13" s="16" t="s">
        <v>19</v>
      </c>
      <c r="M13" s="17"/>
      <c r="N13" s="13">
        <v>8.7000000000000011</v>
      </c>
      <c r="O13" s="13"/>
      <c r="P13" s="13">
        <v>25.8</v>
      </c>
      <c r="Q13" s="13">
        <v>17.399999999999999</v>
      </c>
      <c r="R13" s="13">
        <v>19.3</v>
      </c>
      <c r="S13" s="13">
        <v>16.399999999999999</v>
      </c>
    </row>
    <row r="14" spans="2:19" ht="12" x14ac:dyDescent="0.15">
      <c r="B14" s="8" t="s">
        <v>18</v>
      </c>
      <c r="C14" s="9"/>
      <c r="D14" s="10">
        <v>2000</v>
      </c>
      <c r="E14" s="10">
        <v>2000</v>
      </c>
      <c r="F14" s="11"/>
      <c r="G14" s="11"/>
      <c r="H14" s="11"/>
      <c r="I14" s="11"/>
      <c r="L14" s="16" t="s">
        <v>20</v>
      </c>
      <c r="M14" s="17"/>
      <c r="N14" s="13">
        <v>5.8000000000000007</v>
      </c>
      <c r="O14" s="13"/>
      <c r="P14" s="13">
        <v>28.7</v>
      </c>
      <c r="Q14" s="13">
        <v>14.5</v>
      </c>
      <c r="R14" s="13">
        <v>22.2</v>
      </c>
      <c r="S14" s="13">
        <v>13.500000000000002</v>
      </c>
    </row>
    <row r="15" spans="2:19" ht="12" x14ac:dyDescent="0.15">
      <c r="B15" s="8" t="s">
        <v>19</v>
      </c>
      <c r="C15" s="9"/>
      <c r="D15" s="10">
        <v>2000</v>
      </c>
      <c r="E15" s="10">
        <v>2000</v>
      </c>
      <c r="F15" s="11"/>
      <c r="G15" s="11"/>
      <c r="H15" s="11"/>
      <c r="I15" s="11"/>
      <c r="L15" s="16" t="s">
        <v>21</v>
      </c>
      <c r="M15" s="17"/>
      <c r="N15" s="13">
        <v>3.3000000000000003</v>
      </c>
      <c r="O15" s="13"/>
      <c r="P15" s="13">
        <v>31.2</v>
      </c>
      <c r="Q15" s="13">
        <v>17</v>
      </c>
      <c r="R15" s="13">
        <v>24.7</v>
      </c>
      <c r="S15" s="13">
        <v>11.000000000000002</v>
      </c>
    </row>
    <row r="16" spans="2:19" ht="12" x14ac:dyDescent="0.15">
      <c r="B16" s="8" t="s">
        <v>20</v>
      </c>
      <c r="C16" s="10">
        <v>1000</v>
      </c>
      <c r="D16" s="10">
        <v>8000</v>
      </c>
      <c r="E16" s="10">
        <v>7000</v>
      </c>
      <c r="F16" s="11"/>
      <c r="G16" s="11"/>
      <c r="H16" s="11"/>
      <c r="I16" s="11"/>
      <c r="L16" s="16" t="s">
        <v>22</v>
      </c>
      <c r="M16" s="17"/>
      <c r="N16" s="13">
        <v>1.1000000000000001</v>
      </c>
      <c r="O16" s="13"/>
      <c r="P16" s="13">
        <v>33.4</v>
      </c>
      <c r="Q16" s="13">
        <v>19.2</v>
      </c>
      <c r="R16" s="13">
        <v>26.9</v>
      </c>
      <c r="S16" s="13">
        <v>8.7999999999999989</v>
      </c>
    </row>
    <row r="17" spans="2:19" ht="12" x14ac:dyDescent="0.15">
      <c r="B17" s="8" t="s">
        <v>21</v>
      </c>
      <c r="C17" s="10">
        <v>50000</v>
      </c>
      <c r="D17" s="10">
        <v>300000</v>
      </c>
      <c r="E17" s="10">
        <v>170000</v>
      </c>
      <c r="F17" s="11"/>
      <c r="G17" s="11"/>
      <c r="H17" s="11"/>
      <c r="I17" s="11"/>
      <c r="L17" s="16" t="s">
        <v>23</v>
      </c>
      <c r="M17" s="17"/>
      <c r="N17" s="13">
        <v>1.1000000000000001</v>
      </c>
      <c r="O17" s="13"/>
      <c r="P17" s="13">
        <v>35.6</v>
      </c>
      <c r="Q17" s="13">
        <v>21.400000000000002</v>
      </c>
      <c r="R17" s="13">
        <v>29.099999999999998</v>
      </c>
      <c r="S17" s="13">
        <v>6.6</v>
      </c>
    </row>
    <row r="18" spans="2:19" ht="12" x14ac:dyDescent="0.15">
      <c r="B18" s="8" t="s">
        <v>22</v>
      </c>
      <c r="C18" s="10">
        <v>30000</v>
      </c>
      <c r="D18" s="10">
        <v>280000</v>
      </c>
      <c r="E18" s="10">
        <v>120000</v>
      </c>
      <c r="F18" s="11"/>
      <c r="G18" s="11"/>
      <c r="H18" s="11"/>
      <c r="I18" s="11"/>
      <c r="L18" s="16" t="s">
        <v>24</v>
      </c>
      <c r="M18" s="17"/>
      <c r="N18" s="13">
        <v>3</v>
      </c>
      <c r="O18" s="13"/>
      <c r="P18" s="13">
        <v>37.5</v>
      </c>
      <c r="Q18" s="13">
        <v>23.3</v>
      </c>
      <c r="R18" s="13">
        <v>31.000000000000004</v>
      </c>
      <c r="S18" s="13">
        <v>4.6999999999999993</v>
      </c>
    </row>
    <row r="19" spans="2:19" ht="12" x14ac:dyDescent="0.15">
      <c r="B19" s="8" t="s">
        <v>23</v>
      </c>
      <c r="C19" s="10">
        <v>10000</v>
      </c>
      <c r="D19" s="10">
        <v>40000</v>
      </c>
      <c r="E19" s="10">
        <v>40000</v>
      </c>
      <c r="F19" s="11"/>
      <c r="G19" s="11"/>
      <c r="H19" s="11"/>
      <c r="I19" s="11"/>
      <c r="L19" s="16" t="s">
        <v>25</v>
      </c>
      <c r="M19" s="17"/>
      <c r="N19" s="13">
        <v>5.2999999999999989</v>
      </c>
      <c r="O19" s="13"/>
      <c r="P19" s="13">
        <v>39.799999999999997</v>
      </c>
      <c r="Q19" s="13">
        <v>25.599999999999998</v>
      </c>
      <c r="R19" s="13">
        <v>33.299999999999997</v>
      </c>
      <c r="S19" s="13">
        <v>2.4</v>
      </c>
    </row>
    <row r="20" spans="2:19" ht="12" x14ac:dyDescent="0.15">
      <c r="B20" s="8" t="s">
        <v>24</v>
      </c>
      <c r="C20" s="10">
        <v>75000</v>
      </c>
      <c r="D20" s="10">
        <v>750000</v>
      </c>
      <c r="E20" s="10">
        <v>275000</v>
      </c>
      <c r="F20" s="11"/>
      <c r="G20" s="11"/>
      <c r="H20" s="11"/>
      <c r="I20" s="11"/>
      <c r="L20" s="16" t="s">
        <v>27</v>
      </c>
      <c r="M20" s="17"/>
      <c r="N20" s="13">
        <v>7.1999999999999993</v>
      </c>
      <c r="O20" s="13"/>
      <c r="P20" s="13">
        <v>41.699999999999996</v>
      </c>
      <c r="Q20" s="13">
        <v>27.499999999999996</v>
      </c>
      <c r="R20" s="13">
        <v>35.200000000000003</v>
      </c>
      <c r="S20" s="13">
        <v>0.5</v>
      </c>
    </row>
    <row r="21" spans="2:19" x14ac:dyDescent="0.15">
      <c r="B21" s="8" t="s">
        <v>25</v>
      </c>
      <c r="C21" s="10">
        <v>250000</v>
      </c>
      <c r="D21" s="10">
        <v>3000000</v>
      </c>
      <c r="E21" s="10">
        <v>950000</v>
      </c>
      <c r="F21" s="11"/>
      <c r="G21" s="11"/>
      <c r="H21" s="11"/>
      <c r="I21" s="11"/>
    </row>
    <row r="22" spans="2:19" x14ac:dyDescent="0.15">
      <c r="B22" s="8" t="s">
        <v>26</v>
      </c>
      <c r="C22" s="9"/>
      <c r="D22" s="10">
        <v>50000</v>
      </c>
      <c r="E22" s="10">
        <v>50000</v>
      </c>
      <c r="F22" s="11"/>
      <c r="G22" s="11"/>
      <c r="H22" s="11"/>
      <c r="I22" s="11"/>
    </row>
    <row r="23" spans="2:19" x14ac:dyDescent="0.15">
      <c r="B23" s="8" t="s">
        <v>27</v>
      </c>
      <c r="C23" s="10">
        <v>200000</v>
      </c>
      <c r="D23" s="10">
        <v>2000000</v>
      </c>
      <c r="E23" s="10">
        <v>600000</v>
      </c>
      <c r="F23" s="11"/>
      <c r="G23" s="11"/>
      <c r="H23" s="11"/>
      <c r="I23" s="11"/>
    </row>
    <row r="24" spans="2:19" x14ac:dyDescent="0.15">
      <c r="I24" s="12"/>
    </row>
    <row r="26" spans="2:19" x14ac:dyDescent="0.15">
      <c r="B26" s="167" t="s">
        <v>73</v>
      </c>
      <c r="C26" s="167"/>
      <c r="D26" s="167"/>
      <c r="E26" s="167"/>
      <c r="F26" s="167"/>
      <c r="G26" s="167"/>
      <c r="H26" s="167"/>
    </row>
    <row r="27" spans="2:19" ht="15" x14ac:dyDescent="0.25">
      <c r="M27" s="26" t="s">
        <v>11</v>
      </c>
      <c r="N27" s="28">
        <v>106792.54959863014</v>
      </c>
    </row>
    <row r="28" spans="2:19" ht="15" x14ac:dyDescent="0.25">
      <c r="M28" s="27" t="s">
        <v>12</v>
      </c>
      <c r="N28" s="29">
        <v>47514.939760958907</v>
      </c>
    </row>
    <row r="29" spans="2:19" ht="15" x14ac:dyDescent="0.25">
      <c r="M29" s="26" t="s">
        <v>14</v>
      </c>
      <c r="N29" s="28">
        <v>47193.827494520548</v>
      </c>
    </row>
    <row r="30" spans="2:19" ht="15" x14ac:dyDescent="0.25">
      <c r="M30" s="27" t="s">
        <v>15</v>
      </c>
      <c r="N30" s="29">
        <v>821039.94540616416</v>
      </c>
    </row>
    <row r="31" spans="2:19" ht="15" x14ac:dyDescent="0.25">
      <c r="M31" s="26" t="s">
        <v>16</v>
      </c>
      <c r="N31" s="28">
        <v>18391.426207534249</v>
      </c>
    </row>
    <row r="32" spans="2:19" ht="15" x14ac:dyDescent="0.25">
      <c r="M32" s="27" t="s">
        <v>17</v>
      </c>
      <c r="N32" s="29">
        <v>1373.53225</v>
      </c>
    </row>
    <row r="33" spans="2:14" ht="15" x14ac:dyDescent="0.25">
      <c r="M33" s="26" t="s">
        <v>18</v>
      </c>
      <c r="N33" s="28">
        <v>2783.5330000000004</v>
      </c>
    </row>
    <row r="34" spans="2:14" ht="15" x14ac:dyDescent="0.25">
      <c r="M34" s="27" t="s">
        <v>19</v>
      </c>
      <c r="N34" s="29">
        <v>0</v>
      </c>
    </row>
    <row r="35" spans="2:14" ht="15" x14ac:dyDescent="0.25">
      <c r="B35" t="s">
        <v>74</v>
      </c>
      <c r="M35" s="26" t="s">
        <v>20</v>
      </c>
      <c r="N35" s="28">
        <v>7851.2104999999992</v>
      </c>
    </row>
    <row r="36" spans="2:14" ht="15" x14ac:dyDescent="0.25">
      <c r="M36" s="27" t="s">
        <v>21</v>
      </c>
      <c r="N36" s="29">
        <v>183280.17790958902</v>
      </c>
    </row>
    <row r="37" spans="2:14" ht="15" x14ac:dyDescent="0.25">
      <c r="M37" s="26" t="s">
        <v>22</v>
      </c>
      <c r="N37" s="28">
        <v>607462.06170136982</v>
      </c>
    </row>
    <row r="38" spans="2:14" ht="15" x14ac:dyDescent="0.25">
      <c r="M38" s="27" t="s">
        <v>23</v>
      </c>
      <c r="N38" s="29">
        <v>166733.02463219181</v>
      </c>
    </row>
    <row r="39" spans="2:14" ht="17.25" x14ac:dyDescent="0.25">
      <c r="B39" s="19" t="s">
        <v>75</v>
      </c>
      <c r="M39" s="26" t="s">
        <v>24</v>
      </c>
      <c r="N39" s="28">
        <v>1088591.3789910956</v>
      </c>
    </row>
    <row r="40" spans="2:14" ht="15" x14ac:dyDescent="0.25">
      <c r="M40" s="27" t="s">
        <v>25</v>
      </c>
      <c r="N40" s="29">
        <v>1541298.1637362996</v>
      </c>
    </row>
    <row r="41" spans="2:14" ht="22.5" x14ac:dyDescent="0.25">
      <c r="B41" s="20" t="s">
        <v>32</v>
      </c>
      <c r="C41" s="20" t="s">
        <v>76</v>
      </c>
      <c r="D41" s="20" t="s">
        <v>77</v>
      </c>
      <c r="E41" s="20" t="s">
        <v>78</v>
      </c>
      <c r="M41" s="26" t="s">
        <v>26</v>
      </c>
      <c r="N41" s="28"/>
    </row>
    <row r="42" spans="2:14" ht="15" x14ac:dyDescent="0.25">
      <c r="B42" s="1" t="s">
        <v>79</v>
      </c>
      <c r="C42" s="21">
        <v>40000</v>
      </c>
      <c r="D42" s="24">
        <v>2.2999999999999998</v>
      </c>
      <c r="E42" s="21">
        <v>92000</v>
      </c>
      <c r="M42" s="27" t="s">
        <v>27</v>
      </c>
      <c r="N42" s="29">
        <v>367239.37631438358</v>
      </c>
    </row>
    <row r="43" spans="2:14" x14ac:dyDescent="0.15">
      <c r="B43" s="1" t="s">
        <v>16</v>
      </c>
      <c r="C43" s="21">
        <v>30000</v>
      </c>
      <c r="D43" s="24">
        <v>2.6</v>
      </c>
      <c r="E43" s="21">
        <v>78000</v>
      </c>
    </row>
    <row r="44" spans="2:14" x14ac:dyDescent="0.15">
      <c r="B44" s="1" t="s">
        <v>80</v>
      </c>
      <c r="C44" s="21">
        <v>20000</v>
      </c>
      <c r="D44" s="24">
        <v>2.9</v>
      </c>
      <c r="E44" s="21">
        <v>58000</v>
      </c>
    </row>
    <row r="45" spans="2:14" x14ac:dyDescent="0.15">
      <c r="B45" s="1" t="s">
        <v>81</v>
      </c>
      <c r="C45" s="21">
        <v>10000</v>
      </c>
      <c r="D45" s="24">
        <v>3.1</v>
      </c>
      <c r="E45" s="21">
        <v>31000</v>
      </c>
    </row>
    <row r="46" spans="2:14" x14ac:dyDescent="0.15">
      <c r="B46" s="22" t="s">
        <v>82</v>
      </c>
      <c r="C46" s="23">
        <v>100000</v>
      </c>
      <c r="D46" s="1" t="s">
        <v>83</v>
      </c>
      <c r="E46" s="23">
        <v>259000</v>
      </c>
    </row>
    <row r="48" spans="2:14" ht="17.25" x14ac:dyDescent="0.15">
      <c r="B48" s="19" t="s">
        <v>84</v>
      </c>
    </row>
    <row r="50" spans="2:7" x14ac:dyDescent="0.15">
      <c r="B50" t="s">
        <v>85</v>
      </c>
    </row>
    <row r="52" spans="2:7" ht="33.75" x14ac:dyDescent="0.15">
      <c r="B52" s="20" t="s">
        <v>32</v>
      </c>
      <c r="C52" s="20" t="s">
        <v>86</v>
      </c>
      <c r="D52" s="20" t="s">
        <v>87</v>
      </c>
      <c r="E52" s="20" t="s">
        <v>88</v>
      </c>
      <c r="F52" s="20" t="s">
        <v>78</v>
      </c>
    </row>
    <row r="53" spans="2:7" x14ac:dyDescent="0.15">
      <c r="B53" s="1" t="s">
        <v>79</v>
      </c>
      <c r="C53" s="21">
        <v>40000</v>
      </c>
      <c r="D53" s="1">
        <v>15</v>
      </c>
      <c r="E53" s="1">
        <v>0.08</v>
      </c>
      <c r="F53" s="21">
        <v>48000</v>
      </c>
    </row>
    <row r="54" spans="2:7" x14ac:dyDescent="0.15">
      <c r="B54" s="1" t="s">
        <v>16</v>
      </c>
      <c r="C54" s="21">
        <v>30000</v>
      </c>
      <c r="D54" s="1">
        <v>10</v>
      </c>
      <c r="E54" s="1">
        <v>0.08</v>
      </c>
      <c r="F54" s="21">
        <v>24000</v>
      </c>
    </row>
    <row r="55" spans="2:7" x14ac:dyDescent="0.15">
      <c r="B55" s="1" t="s">
        <v>80</v>
      </c>
      <c r="C55" s="21">
        <v>20000</v>
      </c>
      <c r="D55" s="1">
        <v>25</v>
      </c>
      <c r="E55" s="1">
        <v>0.08</v>
      </c>
      <c r="F55" s="21">
        <v>40000</v>
      </c>
    </row>
    <row r="56" spans="2:7" x14ac:dyDescent="0.15">
      <c r="B56" s="1" t="s">
        <v>81</v>
      </c>
      <c r="C56" s="21">
        <v>10000</v>
      </c>
      <c r="D56" s="1">
        <v>5</v>
      </c>
      <c r="E56" s="1">
        <v>0.08</v>
      </c>
      <c r="F56" s="21">
        <v>4000</v>
      </c>
    </row>
    <row r="57" spans="2:7" x14ac:dyDescent="0.15">
      <c r="B57" s="22" t="s">
        <v>82</v>
      </c>
      <c r="C57" s="23">
        <v>100000</v>
      </c>
      <c r="D57" s="1" t="s">
        <v>83</v>
      </c>
      <c r="E57" s="1" t="s">
        <v>83</v>
      </c>
      <c r="F57" s="23">
        <v>116000</v>
      </c>
    </row>
    <row r="59" spans="2:7" ht="17.25" x14ac:dyDescent="0.15">
      <c r="B59" s="19" t="s">
        <v>89</v>
      </c>
    </row>
    <row r="61" spans="2:7" x14ac:dyDescent="0.15">
      <c r="B61" t="s">
        <v>90</v>
      </c>
    </row>
    <row r="62" spans="2:7" x14ac:dyDescent="0.15">
      <c r="B62" t="s">
        <v>91</v>
      </c>
    </row>
    <row r="64" spans="2:7" ht="33.75" x14ac:dyDescent="0.15">
      <c r="B64" s="20" t="s">
        <v>32</v>
      </c>
      <c r="C64" s="20" t="s">
        <v>86</v>
      </c>
      <c r="D64" s="20" t="s">
        <v>92</v>
      </c>
      <c r="E64" s="20" t="s">
        <v>93</v>
      </c>
      <c r="F64" s="20" t="s">
        <v>94</v>
      </c>
      <c r="G64" s="20" t="s">
        <v>78</v>
      </c>
    </row>
    <row r="65" spans="2:7" x14ac:dyDescent="0.15">
      <c r="B65" s="1" t="s">
        <v>79</v>
      </c>
      <c r="C65" s="21">
        <v>40000</v>
      </c>
      <c r="D65" s="1">
        <v>200</v>
      </c>
      <c r="E65" s="1">
        <v>15</v>
      </c>
      <c r="F65" s="1">
        <v>50</v>
      </c>
      <c r="G65" s="21">
        <v>150000</v>
      </c>
    </row>
    <row r="66" spans="2:7" x14ac:dyDescent="0.15">
      <c r="B66" s="1" t="s">
        <v>16</v>
      </c>
      <c r="C66" s="21">
        <v>30000</v>
      </c>
      <c r="D66" s="1">
        <v>150</v>
      </c>
      <c r="E66" s="1">
        <v>10</v>
      </c>
      <c r="F66" s="1">
        <v>50</v>
      </c>
      <c r="G66" s="21">
        <v>75000</v>
      </c>
    </row>
    <row r="67" spans="2:7" x14ac:dyDescent="0.15">
      <c r="B67" s="1" t="s">
        <v>80</v>
      </c>
      <c r="C67" s="21">
        <v>20000</v>
      </c>
      <c r="D67" s="1">
        <v>100</v>
      </c>
      <c r="E67" s="1">
        <v>25</v>
      </c>
      <c r="F67" s="1">
        <v>50</v>
      </c>
      <c r="G67" s="21">
        <v>125000</v>
      </c>
    </row>
    <row r="68" spans="2:7" x14ac:dyDescent="0.15">
      <c r="B68" s="1" t="s">
        <v>81</v>
      </c>
      <c r="C68" s="21">
        <v>10000</v>
      </c>
      <c r="D68" s="1">
        <v>50</v>
      </c>
      <c r="E68" s="1">
        <v>5</v>
      </c>
      <c r="F68" s="1">
        <v>50</v>
      </c>
      <c r="G68" s="21">
        <v>12500</v>
      </c>
    </row>
    <row r="69" spans="2:7" x14ac:dyDescent="0.15">
      <c r="B69" s="22" t="s">
        <v>82</v>
      </c>
      <c r="C69" s="23">
        <v>100000</v>
      </c>
      <c r="D69" s="22">
        <v>500</v>
      </c>
      <c r="E69" s="1" t="s">
        <v>83</v>
      </c>
      <c r="F69" s="1" t="s">
        <v>83</v>
      </c>
      <c r="G69" s="23">
        <v>362500</v>
      </c>
    </row>
    <row r="71" spans="2:7" ht="17.25" x14ac:dyDescent="0.15">
      <c r="B71" s="19" t="s">
        <v>95</v>
      </c>
    </row>
    <row r="73" spans="2:7" ht="22.5" x14ac:dyDescent="0.15">
      <c r="B73" s="20" t="s">
        <v>96</v>
      </c>
      <c r="C73" s="20" t="s">
        <v>97</v>
      </c>
      <c r="D73" s="20" t="s">
        <v>98</v>
      </c>
      <c r="E73" s="20" t="s">
        <v>78</v>
      </c>
    </row>
    <row r="74" spans="2:7" ht="22.5" x14ac:dyDescent="0.15">
      <c r="B74" s="1" t="s">
        <v>99</v>
      </c>
      <c r="C74" s="21">
        <v>100000</v>
      </c>
      <c r="D74" s="1">
        <v>0.1</v>
      </c>
      <c r="E74" s="21">
        <v>10000</v>
      </c>
    </row>
  </sheetData>
  <mergeCells count="2">
    <mergeCell ref="B4:I4"/>
    <mergeCell ref="B26:H26"/>
  </mergeCells>
  <conditionalFormatting sqref="M7:P7 R7:S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:P8 R8:S8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:P9 R9:S9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0:P10 R10:S10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1:P11 R11:S11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2:P12 R12:S12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3:P13 R13:S13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4:P14 R14:S1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5:P15 R15:S15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6:P16 R16:S1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7:P17 R17:S1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8:P18 R18:S1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9:P19 R19:S19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6:S6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0:S20 Q12:Q1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Q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F184-796B-4445-A6D9-FC189182B702}">
  <sheetPr codeName="Sheet3">
    <tabColor theme="3" tint="0.89999084444715716"/>
  </sheetPr>
  <dimension ref="A1:H25"/>
  <sheetViews>
    <sheetView workbookViewId="0">
      <selection activeCell="C25" sqref="C25"/>
    </sheetView>
  </sheetViews>
  <sheetFormatPr defaultRowHeight="11.25" x14ac:dyDescent="0.15"/>
  <cols>
    <col min="2" max="2" width="24.625" bestFit="1" customWidth="1"/>
    <col min="3" max="3" width="22.875" customWidth="1"/>
    <col min="4" max="4" width="24.875" customWidth="1"/>
    <col min="5" max="5" width="22.875" customWidth="1"/>
    <col min="6" max="6" width="24.875" customWidth="1"/>
    <col min="7" max="7" width="31" customWidth="1"/>
    <col min="8" max="8" width="39.625" customWidth="1"/>
  </cols>
  <sheetData>
    <row r="1" spans="1:8" ht="24.95" customHeight="1" x14ac:dyDescent="0.15"/>
    <row r="2" spans="1:8" ht="24.95" customHeight="1" x14ac:dyDescent="0.2">
      <c r="B2" s="140" t="s">
        <v>0</v>
      </c>
      <c r="C2" s="44"/>
      <c r="D2" s="45"/>
      <c r="E2" s="44"/>
      <c r="F2" s="45"/>
    </row>
    <row r="3" spans="1:8" ht="24.95" customHeight="1" x14ac:dyDescent="0.15">
      <c r="A3" s="31"/>
    </row>
    <row r="4" spans="1:8" ht="24.95" customHeight="1" x14ac:dyDescent="0.15">
      <c r="C4" s="168" t="s">
        <v>100</v>
      </c>
      <c r="D4" s="168"/>
      <c r="E4" s="168" t="s">
        <v>100</v>
      </c>
      <c r="F4" s="168"/>
      <c r="G4" s="168"/>
      <c r="H4" s="168"/>
    </row>
    <row r="5" spans="1:8" ht="24.95" customHeight="1" x14ac:dyDescent="0.15">
      <c r="C5" s="168" t="s">
        <v>157</v>
      </c>
      <c r="D5" s="168"/>
      <c r="E5" s="168" t="s">
        <v>159</v>
      </c>
      <c r="F5" s="168"/>
      <c r="G5" s="127"/>
      <c r="H5" s="127"/>
    </row>
    <row r="6" spans="1:8" ht="39.75" customHeight="1" x14ac:dyDescent="0.15">
      <c r="B6" s="127" t="s">
        <v>101</v>
      </c>
      <c r="C6" s="46" t="s">
        <v>158</v>
      </c>
      <c r="D6" s="46" t="s">
        <v>156</v>
      </c>
      <c r="E6" s="46" t="s">
        <v>158</v>
      </c>
      <c r="F6" s="46" t="s">
        <v>156</v>
      </c>
      <c r="G6" s="128"/>
      <c r="H6" s="128"/>
    </row>
    <row r="7" spans="1:8" ht="24.95" customHeight="1" x14ac:dyDescent="0.15">
      <c r="B7" s="128" t="s">
        <v>11</v>
      </c>
      <c r="C7" s="131">
        <v>71200</v>
      </c>
      <c r="D7" s="131">
        <v>71200</v>
      </c>
      <c r="E7" s="131">
        <v>89000</v>
      </c>
      <c r="F7" s="131">
        <v>89000</v>
      </c>
      <c r="G7" s="145"/>
    </row>
    <row r="8" spans="1:8" ht="24.95" customHeight="1" x14ac:dyDescent="0.15">
      <c r="B8" s="128" t="s">
        <v>12</v>
      </c>
      <c r="C8" s="131">
        <v>31700</v>
      </c>
      <c r="D8" s="131">
        <v>31700</v>
      </c>
      <c r="E8" s="131">
        <v>39700</v>
      </c>
      <c r="F8" s="131">
        <v>39700</v>
      </c>
    </row>
    <row r="9" spans="1:8" ht="24.95" customHeight="1" x14ac:dyDescent="0.15">
      <c r="B9" s="128" t="s">
        <v>14</v>
      </c>
      <c r="C9" s="131">
        <v>31500</v>
      </c>
      <c r="D9" s="131">
        <v>31500</v>
      </c>
      <c r="E9" s="131">
        <v>39300</v>
      </c>
      <c r="F9" s="131">
        <v>39300</v>
      </c>
    </row>
    <row r="10" spans="1:8" ht="24.95" customHeight="1" x14ac:dyDescent="0.15">
      <c r="B10" s="128" t="s">
        <v>15</v>
      </c>
      <c r="C10" s="131">
        <v>547300</v>
      </c>
      <c r="D10" s="131">
        <v>547300</v>
      </c>
      <c r="E10" s="131">
        <v>684200</v>
      </c>
      <c r="F10" s="131">
        <v>684200</v>
      </c>
    </row>
    <row r="11" spans="1:8" ht="24.95" customHeight="1" x14ac:dyDescent="0.15">
      <c r="B11" s="128" t="s">
        <v>16</v>
      </c>
      <c r="C11" s="131">
        <v>12300</v>
      </c>
      <c r="D11" s="131">
        <v>12300</v>
      </c>
      <c r="E11" s="131">
        <v>15300</v>
      </c>
      <c r="F11" s="131">
        <v>15300</v>
      </c>
    </row>
    <row r="12" spans="1:8" ht="24.95" customHeight="1" x14ac:dyDescent="0.15">
      <c r="B12" s="128" t="s">
        <v>17</v>
      </c>
      <c r="C12" s="131">
        <v>3300</v>
      </c>
      <c r="D12" s="131">
        <v>3300</v>
      </c>
      <c r="E12" s="131">
        <v>4200</v>
      </c>
      <c r="F12" s="131">
        <v>4200</v>
      </c>
    </row>
    <row r="13" spans="1:8" ht="24.95" customHeight="1" x14ac:dyDescent="0.15">
      <c r="B13" s="128" t="s">
        <v>18</v>
      </c>
      <c r="C13" s="131">
        <v>3300</v>
      </c>
      <c r="D13" s="131">
        <v>3300</v>
      </c>
      <c r="E13" s="131">
        <v>4200</v>
      </c>
      <c r="F13" s="131">
        <v>4200</v>
      </c>
    </row>
    <row r="14" spans="1:8" ht="24.95" customHeight="1" x14ac:dyDescent="0.15">
      <c r="B14" s="128" t="s">
        <v>19</v>
      </c>
      <c r="C14" s="131">
        <v>3300</v>
      </c>
      <c r="D14" s="131">
        <v>3300</v>
      </c>
      <c r="E14" s="131">
        <v>4200</v>
      </c>
      <c r="F14" s="131">
        <v>4200</v>
      </c>
    </row>
    <row r="15" spans="1:8" ht="24.95" customHeight="1" x14ac:dyDescent="0.15">
      <c r="B15" s="128" t="s">
        <v>20</v>
      </c>
      <c r="C15" s="131">
        <v>5200</v>
      </c>
      <c r="D15" s="131">
        <v>5200</v>
      </c>
      <c r="E15" s="131">
        <v>6500</v>
      </c>
      <c r="F15" s="131">
        <v>6500</v>
      </c>
    </row>
    <row r="16" spans="1:8" ht="24.95" customHeight="1" x14ac:dyDescent="0.15">
      <c r="B16" s="128" t="s">
        <v>21</v>
      </c>
      <c r="C16" s="131">
        <v>122100</v>
      </c>
      <c r="D16" s="131">
        <v>122100</v>
      </c>
      <c r="E16" s="131">
        <v>152700</v>
      </c>
      <c r="F16" s="131">
        <v>152700</v>
      </c>
    </row>
    <row r="17" spans="2:6" ht="24.95" customHeight="1" x14ac:dyDescent="0.15">
      <c r="B17" s="128" t="s">
        <v>22</v>
      </c>
      <c r="C17" s="131">
        <v>404900</v>
      </c>
      <c r="D17" s="131">
        <v>404900</v>
      </c>
      <c r="E17" s="131">
        <v>506200</v>
      </c>
      <c r="F17" s="131">
        <v>506200</v>
      </c>
    </row>
    <row r="18" spans="2:6" ht="24.95" customHeight="1" x14ac:dyDescent="0.15">
      <c r="B18" s="128" t="s">
        <v>23</v>
      </c>
      <c r="C18" s="131">
        <v>111200</v>
      </c>
      <c r="D18" s="131">
        <v>111200</v>
      </c>
      <c r="E18" s="131">
        <v>139000</v>
      </c>
      <c r="F18" s="131">
        <v>139000</v>
      </c>
    </row>
    <row r="19" spans="2:6" ht="24.95" customHeight="1" x14ac:dyDescent="0.15">
      <c r="B19" s="128" t="s">
        <v>24</v>
      </c>
      <c r="C19" s="131">
        <v>725700</v>
      </c>
      <c r="D19" s="131">
        <v>725700</v>
      </c>
      <c r="E19" s="131">
        <v>907200</v>
      </c>
      <c r="F19" s="131">
        <v>907200</v>
      </c>
    </row>
    <row r="20" spans="2:6" ht="24.95" customHeight="1" x14ac:dyDescent="0.15">
      <c r="B20" s="128" t="s">
        <v>25</v>
      </c>
      <c r="C20" s="131">
        <v>1027500</v>
      </c>
      <c r="D20" s="131">
        <v>1027500</v>
      </c>
      <c r="E20" s="131">
        <v>1284300</v>
      </c>
      <c r="F20" s="131">
        <v>1284300</v>
      </c>
    </row>
    <row r="21" spans="2:6" ht="24.95" customHeight="1" x14ac:dyDescent="0.15">
      <c r="B21" s="128" t="s">
        <v>26</v>
      </c>
      <c r="C21" s="131">
        <v>3300</v>
      </c>
      <c r="D21" s="131">
        <v>3300</v>
      </c>
      <c r="E21" s="131">
        <v>4200</v>
      </c>
      <c r="F21" s="131">
        <v>4200</v>
      </c>
    </row>
    <row r="22" spans="2:6" ht="24.95" customHeight="1" x14ac:dyDescent="0.15">
      <c r="B22" s="128" t="s">
        <v>27</v>
      </c>
      <c r="C22" s="131">
        <v>244800</v>
      </c>
      <c r="D22" s="131">
        <v>244800</v>
      </c>
      <c r="E22" s="131">
        <v>306000</v>
      </c>
      <c r="F22" s="131">
        <v>306000</v>
      </c>
    </row>
    <row r="23" spans="2:6" x14ac:dyDescent="0.15">
      <c r="C23" s="146"/>
      <c r="D23" s="146"/>
      <c r="E23" s="146"/>
      <c r="F23" s="146"/>
    </row>
    <row r="25" spans="2:6" x14ac:dyDescent="0.15">
      <c r="B25" s="128"/>
    </row>
  </sheetData>
  <mergeCells count="5">
    <mergeCell ref="C4:D4"/>
    <mergeCell ref="G4:H4"/>
    <mergeCell ref="C5:D5"/>
    <mergeCell ref="E4:F4"/>
    <mergeCell ref="E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A670-3D7D-4B35-9AEF-0194A9BA6CE6}">
  <sheetPr codeName="Sheet5">
    <tabColor theme="9" tint="0.79998168889431442"/>
  </sheetPr>
  <dimension ref="A1:J15"/>
  <sheetViews>
    <sheetView workbookViewId="0">
      <selection activeCell="I15" sqref="I15"/>
    </sheetView>
  </sheetViews>
  <sheetFormatPr defaultRowHeight="11.25" x14ac:dyDescent="0.15"/>
  <cols>
    <col min="1" max="1" width="33.625" bestFit="1" customWidth="1"/>
    <col min="2" max="2" width="9.875" bestFit="1" customWidth="1"/>
    <col min="9" max="9" width="20" bestFit="1" customWidth="1"/>
  </cols>
  <sheetData>
    <row r="1" spans="1:10" s="126" customFormat="1" ht="24.95" customHeight="1" x14ac:dyDescent="0.15">
      <c r="A1" s="135" t="s">
        <v>103</v>
      </c>
    </row>
    <row r="2" spans="1:10" ht="24.95" customHeight="1" x14ac:dyDescent="0.15">
      <c r="A2" s="130" t="s">
        <v>104</v>
      </c>
      <c r="B2" s="169" t="s">
        <v>105</v>
      </c>
      <c r="C2" s="169"/>
      <c r="D2" s="169"/>
      <c r="G2" s="136" t="s">
        <v>106</v>
      </c>
    </row>
    <row r="3" spans="1:10" ht="24.95" customHeight="1" x14ac:dyDescent="0.15">
      <c r="A3" s="130" t="s">
        <v>107</v>
      </c>
      <c r="B3" s="131">
        <f>'Fictief scenario'!C7</f>
        <v>71200</v>
      </c>
      <c r="C3" s="130" t="s">
        <v>86</v>
      </c>
    </row>
    <row r="4" spans="1:10" ht="24.95" customHeight="1" x14ac:dyDescent="0.15">
      <c r="A4" s="130" t="s">
        <v>108</v>
      </c>
      <c r="B4" s="132">
        <v>3621</v>
      </c>
      <c r="C4" s="130" t="s">
        <v>109</v>
      </c>
      <c r="G4" s="134" t="str">
        <f>'Fictief scenario'!B7</f>
        <v>A1</v>
      </c>
      <c r="H4" s="129" t="s">
        <v>110</v>
      </c>
      <c r="I4" s="134" t="str">
        <f>'Fictief scenario'!C6</f>
        <v>Verspreidingslocatie:
P1Alt
(ED76 Doekegat Noord) </v>
      </c>
    </row>
    <row r="5" spans="1:10" ht="24.95" customHeight="1" x14ac:dyDescent="0.15">
      <c r="A5" s="130" t="s">
        <v>111</v>
      </c>
      <c r="B5" s="133">
        <v>4600</v>
      </c>
      <c r="C5" s="130" t="s">
        <v>86</v>
      </c>
    </row>
    <row r="6" spans="1:10" ht="24.95" customHeight="1" x14ac:dyDescent="0.15">
      <c r="A6" s="130" t="s">
        <v>112</v>
      </c>
      <c r="B6" s="133">
        <v>0.6</v>
      </c>
      <c r="C6" s="130" t="s">
        <v>113</v>
      </c>
    </row>
    <row r="7" spans="1:10" ht="24.95" customHeight="1" x14ac:dyDescent="0.15">
      <c r="A7" s="130" t="s">
        <v>114</v>
      </c>
      <c r="B7" s="133">
        <v>70</v>
      </c>
      <c r="C7" s="130" t="s">
        <v>115</v>
      </c>
    </row>
    <row r="8" spans="1:10" ht="24.95" customHeight="1" x14ac:dyDescent="0.15">
      <c r="A8" s="130" t="s">
        <v>116</v>
      </c>
      <c r="B8" s="133">
        <v>66</v>
      </c>
      <c r="C8" s="130" t="s">
        <v>115</v>
      </c>
      <c r="E8" s="136" t="s">
        <v>117</v>
      </c>
      <c r="G8" s="135"/>
      <c r="I8" s="135"/>
    </row>
    <row r="9" spans="1:10" ht="24.95" customHeight="1" x14ac:dyDescent="0.15">
      <c r="A9" s="130" t="s">
        <v>116</v>
      </c>
      <c r="B9" s="133">
        <v>25.8</v>
      </c>
      <c r="C9" s="130" t="s">
        <v>118</v>
      </c>
      <c r="E9" s="130" t="s">
        <v>119</v>
      </c>
      <c r="G9" s="135"/>
      <c r="I9" s="137">
        <v>350</v>
      </c>
    </row>
    <row r="10" spans="1:10" ht="24.95" customHeight="1" x14ac:dyDescent="0.15">
      <c r="A10" s="130" t="s">
        <v>120</v>
      </c>
      <c r="B10" s="133">
        <v>5</v>
      </c>
      <c r="C10" s="130" t="s">
        <v>115</v>
      </c>
      <c r="E10" s="130" t="s">
        <v>121</v>
      </c>
      <c r="I10" s="137">
        <v>647</v>
      </c>
    </row>
    <row r="11" spans="1:10" ht="24.95" customHeight="1" x14ac:dyDescent="0.15">
      <c r="A11" s="130" t="s">
        <v>122</v>
      </c>
      <c r="B11" s="133">
        <v>66</v>
      </c>
      <c r="C11" s="130" t="s">
        <v>115</v>
      </c>
      <c r="E11" s="130" t="s">
        <v>123</v>
      </c>
      <c r="I11" s="137">
        <v>430</v>
      </c>
    </row>
    <row r="12" spans="1:10" ht="24.95" customHeight="1" x14ac:dyDescent="0.15">
      <c r="A12" s="130" t="s">
        <v>122</v>
      </c>
      <c r="B12" s="133">
        <v>25.8</v>
      </c>
      <c r="C12" s="130" t="s">
        <v>118</v>
      </c>
      <c r="E12" s="130" t="s">
        <v>124</v>
      </c>
      <c r="I12" s="137">
        <v>617</v>
      </c>
    </row>
    <row r="13" spans="1:10" ht="24.95" customHeight="1" x14ac:dyDescent="0.15">
      <c r="A13" s="130" t="s">
        <v>125</v>
      </c>
      <c r="B13" s="133">
        <f>B7+B8+B10++B11</f>
        <v>207</v>
      </c>
      <c r="C13" s="130" t="s">
        <v>115</v>
      </c>
      <c r="E13" s="130" t="s">
        <v>126</v>
      </c>
      <c r="I13" s="137">
        <v>72</v>
      </c>
    </row>
    <row r="14" spans="1:10" ht="24.95" customHeight="1" x14ac:dyDescent="0.15">
      <c r="A14" s="130" t="s">
        <v>127</v>
      </c>
      <c r="B14" s="133">
        <v>23</v>
      </c>
      <c r="C14" s="130" t="s">
        <v>115</v>
      </c>
    </row>
    <row r="15" spans="1:10" ht="24.95" customHeight="1" x14ac:dyDescent="0.25">
      <c r="A15" s="130" t="s">
        <v>128</v>
      </c>
      <c r="B15" s="133">
        <f>SUM(B13:B14)</f>
        <v>230</v>
      </c>
      <c r="C15" s="130" t="s">
        <v>115</v>
      </c>
      <c r="E15" s="170" t="s">
        <v>129</v>
      </c>
      <c r="F15" s="170"/>
      <c r="G15" s="170"/>
      <c r="H15" s="170"/>
      <c r="I15" s="138">
        <f>ROUNDUP(B3/B5,0)*(B15/60)*SUM(I9:I13)</f>
        <v>129781.33333333334</v>
      </c>
      <c r="J15" s="139"/>
    </row>
  </sheetData>
  <mergeCells count="2">
    <mergeCell ref="B2:D2"/>
    <mergeCell ref="E15:H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927A-B490-466B-81EA-472A3A2FD63C}">
  <sheetPr codeName="Sheet6">
    <tabColor rgb="FFFFC000"/>
  </sheetPr>
  <dimension ref="A1:AM40"/>
  <sheetViews>
    <sheetView tabSelected="1" topLeftCell="F1" zoomScaleNormal="100" workbookViewId="0">
      <selection activeCell="G22" sqref="G22"/>
    </sheetView>
  </sheetViews>
  <sheetFormatPr defaultRowHeight="11.25" x14ac:dyDescent="0.15"/>
  <cols>
    <col min="1" max="1" width="4.875" hidden="1" customWidth="1"/>
    <col min="2" max="2" width="24.625" hidden="1" customWidth="1"/>
    <col min="3" max="3" width="24.5" hidden="1" customWidth="1"/>
    <col min="4" max="4" width="21.5" hidden="1" customWidth="1"/>
    <col min="5" max="5" width="4.875" hidden="1" customWidth="1"/>
    <col min="6" max="6" width="31.125" bestFit="1" customWidth="1"/>
    <col min="7" max="7" width="14.75" bestFit="1" customWidth="1"/>
    <col min="8" max="39" width="16.5" bestFit="1" customWidth="1"/>
  </cols>
  <sheetData>
    <row r="1" spans="1:39" ht="48.95" customHeight="1" x14ac:dyDescent="0.15">
      <c r="H1" s="46" t="s">
        <v>102</v>
      </c>
      <c r="I1" s="46" t="s">
        <v>130</v>
      </c>
    </row>
    <row r="2" spans="1:39" ht="24.95" customHeight="1" x14ac:dyDescent="0.2">
      <c r="B2" s="140" t="s">
        <v>0</v>
      </c>
      <c r="C2" s="44"/>
      <c r="D2" s="45"/>
      <c r="E2" s="45"/>
      <c r="F2" s="143" t="s">
        <v>82</v>
      </c>
      <c r="G2" s="149" t="e">
        <f>SUM($F$27:$AM$27)</f>
        <v>#N/A</v>
      </c>
      <c r="H2" s="149" t="e" cm="1">
        <f t="array" ref="H2">SUM(_xlfn._xlws.FILTER($H$27:$AM$27,$H$5:$AM$5=H$1))</f>
        <v>#N/A</v>
      </c>
      <c r="I2" s="149" t="e" cm="1">
        <f t="array" ref="I2">SUM(_xlfn._xlws.FILTER($H$27:$AM$27,$H$5:$AM$5=I$1))</f>
        <v>#N/A</v>
      </c>
    </row>
    <row r="3" spans="1:39" ht="24.95" customHeight="1" x14ac:dyDescent="0.15">
      <c r="A3" s="31"/>
      <c r="H3" cm="1">
        <f t="array" ref="H3:AM3">TRANSPOSE(_xlfn.SEQUENCE(COUNTA(B6:B21)*COUNTA(C5:D5)))</f>
        <v>1</v>
      </c>
      <c r="I3">
        <v>2</v>
      </c>
      <c r="J3">
        <v>3</v>
      </c>
      <c r="K3">
        <v>4</v>
      </c>
      <c r="L3">
        <v>5</v>
      </c>
      <c r="M3">
        <v>6</v>
      </c>
      <c r="N3">
        <v>7</v>
      </c>
      <c r="O3">
        <v>8</v>
      </c>
      <c r="P3">
        <v>9</v>
      </c>
      <c r="Q3">
        <v>10</v>
      </c>
      <c r="R3">
        <v>11</v>
      </c>
      <c r="S3">
        <v>12</v>
      </c>
      <c r="T3">
        <v>13</v>
      </c>
      <c r="U3">
        <v>14</v>
      </c>
      <c r="V3">
        <v>15</v>
      </c>
      <c r="W3">
        <v>16</v>
      </c>
      <c r="X3">
        <v>17</v>
      </c>
      <c r="Y3">
        <v>18</v>
      </c>
      <c r="Z3">
        <v>19</v>
      </c>
      <c r="AA3">
        <v>20</v>
      </c>
      <c r="AB3">
        <v>21</v>
      </c>
      <c r="AC3">
        <v>22</v>
      </c>
      <c r="AD3">
        <v>23</v>
      </c>
      <c r="AE3">
        <v>24</v>
      </c>
      <c r="AF3">
        <v>25</v>
      </c>
      <c r="AG3">
        <v>26</v>
      </c>
      <c r="AH3">
        <v>27</v>
      </c>
      <c r="AI3">
        <v>28</v>
      </c>
      <c r="AJ3">
        <v>29</v>
      </c>
      <c r="AK3">
        <v>30</v>
      </c>
      <c r="AL3">
        <v>31</v>
      </c>
      <c r="AM3">
        <v>32</v>
      </c>
    </row>
    <row r="4" spans="1:39" ht="24.95" customHeight="1" x14ac:dyDescent="0.15">
      <c r="C4" s="171" t="s">
        <v>100</v>
      </c>
      <c r="D4" s="171"/>
      <c r="E4" s="127"/>
      <c r="F4" s="173" t="s">
        <v>131</v>
      </c>
      <c r="G4" s="173"/>
      <c r="H4" t="str" cm="1">
        <f t="array" ref="H4">INDEX($B$6:$B$21,ROUNDUP(H$3/2,0))</f>
        <v>A1</v>
      </c>
      <c r="I4" t="str" cm="1">
        <f t="array" ref="I4">INDEX($B$6:$B$21,ROUNDUP(I$3/2,0))</f>
        <v>A1</v>
      </c>
      <c r="J4" t="str" cm="1">
        <f t="array" ref="J4">INDEX($B$6:$B$21,ROUNDUP(J$3/2,0))</f>
        <v>A2</v>
      </c>
      <c r="K4" t="str" cm="1">
        <f t="array" ref="K4">INDEX($B$6:$B$21,ROUNDUP(K$3/2,0))</f>
        <v>A2</v>
      </c>
      <c r="L4" t="str" cm="1">
        <f t="array" ref="L4">INDEX($B$6:$B$21,ROUNDUP(L$3/2,0))</f>
        <v>A3</v>
      </c>
      <c r="M4" t="str" cm="1">
        <f t="array" ref="M4">INDEX($B$6:$B$21,ROUNDUP(M$3/2,0))</f>
        <v>A3</v>
      </c>
      <c r="N4" t="str" cm="1">
        <f t="array" ref="N4">INDEX($B$6:$B$21,ROUNDUP(N$3/2,0))</f>
        <v>A4</v>
      </c>
      <c r="O4" t="str" cm="1">
        <f t="array" ref="O4">INDEX($B$6:$B$21,ROUNDUP(O$3/2,0))</f>
        <v>A4</v>
      </c>
      <c r="P4" t="str" cm="1">
        <f t="array" ref="P4">INDEX($B$6:$B$21,ROUNDUP(P$3/2,0))</f>
        <v>B</v>
      </c>
      <c r="Q4" t="str" cm="1">
        <f t="array" ref="Q4">INDEX($B$6:$B$21,ROUNDUP(Q$3/2,0))</f>
        <v>B</v>
      </c>
      <c r="R4" t="str" cm="1">
        <f t="array" ref="R4">INDEX($B$6:$B$21,ROUNDUP(R$3/2,0))</f>
        <v>C1</v>
      </c>
      <c r="S4" t="str" cm="1">
        <f t="array" ref="S4">INDEX($B$6:$B$21,ROUNDUP(S$3/2,0))</f>
        <v>C1</v>
      </c>
      <c r="T4" t="str" cm="1">
        <f t="array" ref="T4">INDEX($B$6:$B$21,ROUNDUP(T$3/2,0))</f>
        <v>C2</v>
      </c>
      <c r="U4" t="str" cm="1">
        <f t="array" ref="U4">INDEX($B$6:$B$21,ROUNDUP(U$3/2,0))</f>
        <v>C2</v>
      </c>
      <c r="V4" t="str" cm="1">
        <f t="array" ref="V4">INDEX($B$6:$B$21,ROUNDUP(V$3/2,0))</f>
        <v>C3</v>
      </c>
      <c r="W4" t="str" cm="1">
        <f t="array" ref="W4">INDEX($B$6:$B$21,ROUNDUP(W$3/2,0))</f>
        <v>C3</v>
      </c>
      <c r="X4" t="str" cm="1">
        <f t="array" ref="X4">INDEX($B$6:$B$21,ROUNDUP(X$3/2,0))</f>
        <v>C4</v>
      </c>
      <c r="Y4" t="str" cm="1">
        <f t="array" ref="Y4">INDEX($B$6:$B$21,ROUNDUP(Y$3/2,0))</f>
        <v>C4</v>
      </c>
      <c r="Z4" t="str" cm="1">
        <f t="array" ref="Z4">INDEX($B$6:$B$21,ROUNDUP(Z$3/2,0))</f>
        <v>C5</v>
      </c>
      <c r="AA4" t="str" cm="1">
        <f t="array" ref="AA4">INDEX($B$6:$B$21,ROUNDUP(AA$3/2,0))</f>
        <v>C5</v>
      </c>
      <c r="AB4" t="str" cm="1">
        <f t="array" ref="AB4">INDEX($B$6:$B$21,ROUNDUP(AB$3/2,0))</f>
        <v>D1</v>
      </c>
      <c r="AC4" t="str" cm="1">
        <f t="array" ref="AC4">INDEX($B$6:$B$21,ROUNDUP(AC$3/2,0))</f>
        <v>D1</v>
      </c>
      <c r="AD4" t="str" cm="1">
        <f t="array" ref="AD4">INDEX($B$6:$B$21,ROUNDUP(AD$3/2,0))</f>
        <v>D2</v>
      </c>
      <c r="AE4" t="str" cm="1">
        <f t="array" ref="AE4">INDEX($B$6:$B$21,ROUNDUP(AE$3/2,0))</f>
        <v>D2</v>
      </c>
      <c r="AF4" t="str" cm="1">
        <f t="array" ref="AF4">INDEX($B$6:$B$21,ROUNDUP(AF$3/2,0))</f>
        <v>E1</v>
      </c>
      <c r="AG4" t="str" cm="1">
        <f t="array" ref="AG4">INDEX($B$6:$B$21,ROUNDUP(AG$3/2,0))</f>
        <v>E1</v>
      </c>
      <c r="AH4" t="str" cm="1">
        <f t="array" ref="AH4">INDEX($B$6:$B$21,ROUNDUP(AH$3/2,0))</f>
        <v>E2</v>
      </c>
      <c r="AI4" t="str" cm="1">
        <f t="array" ref="AI4">INDEX($B$6:$B$21,ROUNDUP(AI$3/2,0))</f>
        <v>E2</v>
      </c>
      <c r="AJ4" t="str" cm="1">
        <f t="array" ref="AJ4">INDEX($B$6:$B$21,ROUNDUP(AJ$3/2,0))</f>
        <v>F</v>
      </c>
      <c r="AK4" t="str" cm="1">
        <f t="array" ref="AK4">INDEX($B$6:$B$21,ROUNDUP(AK$3/2,0))</f>
        <v>F</v>
      </c>
      <c r="AL4" t="str" cm="1">
        <f t="array" ref="AL4">INDEX($B$6:$B$21,ROUNDUP(AL$3/2,0))</f>
        <v>H</v>
      </c>
      <c r="AM4" t="str" cm="1">
        <f t="array" ref="AM4">INDEX($B$6:$B$21,ROUNDUP(AM$3/2,0))</f>
        <v>H</v>
      </c>
    </row>
    <row r="5" spans="1:39" ht="52.5" customHeight="1" x14ac:dyDescent="0.15">
      <c r="B5" s="127" t="s">
        <v>132</v>
      </c>
      <c r="C5" s="128" t="s">
        <v>102</v>
      </c>
      <c r="D5" s="128" t="s">
        <v>130</v>
      </c>
      <c r="E5" s="128"/>
      <c r="F5" s="173" t="s">
        <v>133</v>
      </c>
      <c r="G5" s="173"/>
      <c r="H5" s="147" t="str" cm="1">
        <f t="array" ref="H5">INDEX($C$5:$D$5,MOD(H3+1,2)+1)</f>
        <v>ED76 Doekegat Noord (P1Alt)</v>
      </c>
      <c r="I5" s="147" t="str" cm="1">
        <f t="array" ref="I5">INDEX($C$5:$D$5,MOD(I3+1,2)+1)</f>
        <v>ED102 Huibertgat (P3ALt)</v>
      </c>
      <c r="J5" s="147" t="str" cm="1">
        <f t="array" ref="J5">INDEX($C$5:$D$5,MOD(J3+1,2)+1)</f>
        <v>ED76 Doekegat Noord (P1Alt)</v>
      </c>
      <c r="K5" s="147" t="str" cm="1">
        <f t="array" ref="K5">INDEX($C$5:$D$5,MOD(K3+1,2)+1)</f>
        <v>ED102 Huibertgat (P3ALt)</v>
      </c>
      <c r="L5" s="147" t="str" cm="1">
        <f t="array" ref="L5">INDEX($C$5:$D$5,MOD(L3+1,2)+1)</f>
        <v>ED76 Doekegat Noord (P1Alt)</v>
      </c>
      <c r="M5" s="147" t="str" cm="1">
        <f t="array" ref="M5">INDEX($C$5:$D$5,MOD(M3+1,2)+1)</f>
        <v>ED102 Huibertgat (P3ALt)</v>
      </c>
      <c r="N5" s="147" t="str" cm="1">
        <f t="array" ref="N5">INDEX($C$5:$D$5,MOD(N3+1,2)+1)</f>
        <v>ED76 Doekegat Noord (P1Alt)</v>
      </c>
      <c r="O5" s="147" t="str" cm="1">
        <f t="array" ref="O5">INDEX($C$5:$D$5,MOD(O3+1,2)+1)</f>
        <v>ED102 Huibertgat (P3ALt)</v>
      </c>
      <c r="P5" s="147" t="str" cm="1">
        <f t="array" ref="P5">INDEX($C$5:$D$5,MOD(P3+1,2)+1)</f>
        <v>ED76 Doekegat Noord (P1Alt)</v>
      </c>
      <c r="Q5" s="147" t="str" cm="1">
        <f t="array" ref="Q5">INDEX($C$5:$D$5,MOD(Q3+1,2)+1)</f>
        <v>ED102 Huibertgat (P3ALt)</v>
      </c>
      <c r="R5" s="147" t="str" cm="1">
        <f t="array" ref="R5">INDEX($C$5:$D$5,MOD(R3+1,2)+1)</f>
        <v>ED76 Doekegat Noord (P1Alt)</v>
      </c>
      <c r="S5" s="147" t="str" cm="1">
        <f t="array" ref="S5">INDEX($C$5:$D$5,MOD(S3+1,2)+1)</f>
        <v>ED102 Huibertgat (P3ALt)</v>
      </c>
      <c r="T5" s="147" t="str" cm="1">
        <f t="array" ref="T5">INDEX($C$5:$D$5,MOD(T3+1,2)+1)</f>
        <v>ED76 Doekegat Noord (P1Alt)</v>
      </c>
      <c r="U5" s="147" t="str" cm="1">
        <f t="array" ref="U5">INDEX($C$5:$D$5,MOD(U3+1,2)+1)</f>
        <v>ED102 Huibertgat (P3ALt)</v>
      </c>
      <c r="V5" s="147" t="str" cm="1">
        <f t="array" ref="V5">INDEX($C$5:$D$5,MOD(V3+1,2)+1)</f>
        <v>ED76 Doekegat Noord (P1Alt)</v>
      </c>
      <c r="W5" s="147" t="str" cm="1">
        <f t="array" ref="W5">INDEX($C$5:$D$5,MOD(W3+1,2)+1)</f>
        <v>ED102 Huibertgat (P3ALt)</v>
      </c>
      <c r="X5" s="147" t="str" cm="1">
        <f t="array" ref="X5">INDEX($C$5:$D$5,MOD(X3+1,2)+1)</f>
        <v>ED76 Doekegat Noord (P1Alt)</v>
      </c>
      <c r="Y5" s="147" t="str" cm="1">
        <f t="array" ref="Y5">INDEX($C$5:$D$5,MOD(Y3+1,2)+1)</f>
        <v>ED102 Huibertgat (P3ALt)</v>
      </c>
      <c r="Z5" s="147" t="str" cm="1">
        <f t="array" ref="Z5">INDEX($C$5:$D$5,MOD(Z3+1,2)+1)</f>
        <v>ED76 Doekegat Noord (P1Alt)</v>
      </c>
      <c r="AA5" s="147" t="str" cm="1">
        <f t="array" ref="AA5">INDEX($C$5:$D$5,MOD(AA3+1,2)+1)</f>
        <v>ED102 Huibertgat (P3ALt)</v>
      </c>
      <c r="AB5" s="147" t="str" cm="1">
        <f t="array" ref="AB5">INDEX($C$5:$D$5,MOD(AB3+1,2)+1)</f>
        <v>ED76 Doekegat Noord (P1Alt)</v>
      </c>
      <c r="AC5" s="147" t="str" cm="1">
        <f t="array" ref="AC5">INDEX($C$5:$D$5,MOD(AC3+1,2)+1)</f>
        <v>ED102 Huibertgat (P3ALt)</v>
      </c>
      <c r="AD5" s="147" t="str" cm="1">
        <f t="array" ref="AD5">INDEX($C$5:$D$5,MOD(AD3+1,2)+1)</f>
        <v>ED76 Doekegat Noord (P1Alt)</v>
      </c>
      <c r="AE5" s="147" t="str" cm="1">
        <f t="array" ref="AE5">INDEX($C$5:$D$5,MOD(AE3+1,2)+1)</f>
        <v>ED102 Huibertgat (P3ALt)</v>
      </c>
      <c r="AF5" s="147" t="str" cm="1">
        <f t="array" ref="AF5">INDEX($C$5:$D$5,MOD(AF3+1,2)+1)</f>
        <v>ED76 Doekegat Noord (P1Alt)</v>
      </c>
      <c r="AG5" s="147" t="str" cm="1">
        <f t="array" ref="AG5">INDEX($C$5:$D$5,MOD(AG3+1,2)+1)</f>
        <v>ED102 Huibertgat (P3ALt)</v>
      </c>
      <c r="AH5" s="147" t="str" cm="1">
        <f t="array" ref="AH5">INDEX($C$5:$D$5,MOD(AH3+1,2)+1)</f>
        <v>ED76 Doekegat Noord (P1Alt)</v>
      </c>
      <c r="AI5" s="147" t="str" cm="1">
        <f t="array" ref="AI5">INDEX($C$5:$D$5,MOD(AI3+1,2)+1)</f>
        <v>ED102 Huibertgat (P3ALt)</v>
      </c>
      <c r="AJ5" s="147" t="str" cm="1">
        <f t="array" ref="AJ5">INDEX($C$5:$D$5,MOD(AJ3+1,2)+1)</f>
        <v>ED76 Doekegat Noord (P1Alt)</v>
      </c>
      <c r="AK5" s="147" t="str" cm="1">
        <f t="array" ref="AK5">INDEX($C$5:$D$5,MOD(AK3+1,2)+1)</f>
        <v>ED102 Huibertgat (P3ALt)</v>
      </c>
      <c r="AL5" s="147" t="str" cm="1">
        <f t="array" ref="AL5">INDEX($C$5:$D$5,MOD(AL3+1,2)+1)</f>
        <v>ED76 Doekegat Noord (P1Alt)</v>
      </c>
      <c r="AM5" s="147" t="str" cm="1">
        <f t="array" ref="AM5">INDEX($C$5:$D$5,MOD(AM3+1,2)+1)</f>
        <v>ED102 Huibertgat (P3ALt)</v>
      </c>
    </row>
    <row r="6" spans="1:39" ht="15" x14ac:dyDescent="0.15">
      <c r="B6" s="128" t="s">
        <v>11</v>
      </c>
      <c r="C6" s="131">
        <v>160200</v>
      </c>
      <c r="D6" s="131">
        <v>160200</v>
      </c>
      <c r="E6" s="131"/>
      <c r="F6" s="172" t="s">
        <v>134</v>
      </c>
      <c r="G6" s="172"/>
    </row>
    <row r="7" spans="1:39" ht="26.45" customHeight="1" x14ac:dyDescent="0.15">
      <c r="B7" s="128" t="s">
        <v>12</v>
      </c>
      <c r="C7" s="131">
        <v>71400</v>
      </c>
      <c r="D7" s="131">
        <v>71400</v>
      </c>
      <c r="E7" s="131"/>
      <c r="F7" s="130" t="s">
        <v>155</v>
      </c>
      <c r="G7" s="130"/>
      <c r="H7" s="141" t="s">
        <v>154</v>
      </c>
      <c r="I7" s="141" t="s">
        <v>154</v>
      </c>
      <c r="J7" s="141" t="s">
        <v>154</v>
      </c>
      <c r="K7" s="141" t="s">
        <v>154</v>
      </c>
      <c r="L7" s="141" t="s">
        <v>154</v>
      </c>
      <c r="M7" s="141" t="s">
        <v>154</v>
      </c>
      <c r="N7" s="141" t="s">
        <v>154</v>
      </c>
      <c r="O7" s="141" t="s">
        <v>154</v>
      </c>
      <c r="P7" s="141" t="s">
        <v>154</v>
      </c>
      <c r="Q7" s="141" t="s">
        <v>154</v>
      </c>
      <c r="R7" s="141" t="s">
        <v>154</v>
      </c>
      <c r="S7" s="141" t="s">
        <v>154</v>
      </c>
      <c r="T7" s="141" t="s">
        <v>154</v>
      </c>
      <c r="U7" s="141" t="s">
        <v>154</v>
      </c>
      <c r="V7" s="141" t="s">
        <v>154</v>
      </c>
      <c r="W7" s="141" t="s">
        <v>154</v>
      </c>
      <c r="X7" s="141" t="s">
        <v>154</v>
      </c>
      <c r="Y7" s="141" t="s">
        <v>154</v>
      </c>
      <c r="Z7" s="141" t="s">
        <v>154</v>
      </c>
      <c r="AA7" s="141" t="s">
        <v>154</v>
      </c>
      <c r="AB7" s="141" t="s">
        <v>154</v>
      </c>
      <c r="AC7" s="141" t="s">
        <v>154</v>
      </c>
      <c r="AD7" s="141" t="s">
        <v>154</v>
      </c>
      <c r="AE7" s="141" t="s">
        <v>154</v>
      </c>
      <c r="AF7" s="141" t="s">
        <v>154</v>
      </c>
      <c r="AG7" s="141" t="s">
        <v>154</v>
      </c>
      <c r="AH7" s="141" t="s">
        <v>154</v>
      </c>
      <c r="AI7" s="141" t="s">
        <v>154</v>
      </c>
      <c r="AJ7" s="141" t="s">
        <v>154</v>
      </c>
      <c r="AK7" s="141" t="s">
        <v>154</v>
      </c>
      <c r="AL7" s="141" t="s">
        <v>154</v>
      </c>
      <c r="AM7" s="141" t="s">
        <v>154</v>
      </c>
    </row>
    <row r="8" spans="1:39" ht="17.25" customHeight="1" x14ac:dyDescent="0.15">
      <c r="B8" s="128" t="s">
        <v>14</v>
      </c>
      <c r="C8" s="131">
        <v>70800</v>
      </c>
      <c r="D8" s="131">
        <v>70800</v>
      </c>
      <c r="E8" s="131"/>
      <c r="F8" s="130" t="s">
        <v>135</v>
      </c>
      <c r="G8" s="130" t="s">
        <v>86</v>
      </c>
      <c r="H8" s="131" t="e">
        <f>INDEX('Fictief scenario'!$A:$D,MATCH(H$4,'Fictief scenario'!$B:$B,0),MATCH(H$5,'Fictief scenario'!$6:$6,0))</f>
        <v>#N/A</v>
      </c>
      <c r="I8" s="131" t="e">
        <f>INDEX('Fictief scenario'!$A:$D,MATCH(I$4,'Fictief scenario'!$B:$B,0),MATCH(I$5,'Fictief scenario'!$6:$6,0))</f>
        <v>#N/A</v>
      </c>
      <c r="J8" s="131" t="e">
        <f>INDEX('Fictief scenario'!$A:$D,MATCH(J$4,'Fictief scenario'!$B:$B,0),MATCH(J$5,'Fictief scenario'!$6:$6,0))</f>
        <v>#N/A</v>
      </c>
      <c r="K8" s="131" t="e">
        <f>INDEX('Fictief scenario'!$A:$D,MATCH(K$4,'Fictief scenario'!$B:$B,0),MATCH(K$5,'Fictief scenario'!$6:$6,0))</f>
        <v>#N/A</v>
      </c>
      <c r="L8" s="131" t="e">
        <f>INDEX('Fictief scenario'!$A:$D,MATCH(L$4,'Fictief scenario'!$B:$B,0),MATCH(L$5,'Fictief scenario'!$6:$6,0))</f>
        <v>#N/A</v>
      </c>
      <c r="M8" s="131" t="e">
        <f>INDEX('Fictief scenario'!$A:$D,MATCH(M$4,'Fictief scenario'!$B:$B,0),MATCH(M$5,'Fictief scenario'!$6:$6,0))</f>
        <v>#N/A</v>
      </c>
      <c r="N8" s="131" t="e">
        <f>INDEX('Fictief scenario'!$A:$D,MATCH(N$4,'Fictief scenario'!$B:$B,0),MATCH(N$5,'Fictief scenario'!$6:$6,0))</f>
        <v>#N/A</v>
      </c>
      <c r="O8" s="131" t="e">
        <f>INDEX('Fictief scenario'!$A:$D,MATCH(O$4,'Fictief scenario'!$B:$B,0),MATCH(O$5,'Fictief scenario'!$6:$6,0))</f>
        <v>#N/A</v>
      </c>
      <c r="P8" s="131" t="e">
        <f>INDEX('Fictief scenario'!$A:$D,MATCH(P$4,'Fictief scenario'!$B:$B,0),MATCH(P$5,'Fictief scenario'!$6:$6,0))</f>
        <v>#N/A</v>
      </c>
      <c r="Q8" s="131" t="e">
        <f>INDEX('Fictief scenario'!$A:$D,MATCH(Q$4,'Fictief scenario'!$B:$B,0),MATCH(Q$5,'Fictief scenario'!$6:$6,0))</f>
        <v>#N/A</v>
      </c>
      <c r="R8" s="131" t="e">
        <f>INDEX('Fictief scenario'!$A:$D,MATCH(R$4,'Fictief scenario'!$B:$B,0),MATCH(R$5,'Fictief scenario'!$6:$6,0))</f>
        <v>#N/A</v>
      </c>
      <c r="S8" s="131" t="e">
        <f>INDEX('Fictief scenario'!$A:$D,MATCH(S$4,'Fictief scenario'!$B:$B,0),MATCH(S$5,'Fictief scenario'!$6:$6,0))</f>
        <v>#N/A</v>
      </c>
      <c r="T8" s="131" t="e">
        <f>INDEX('Fictief scenario'!$A:$D,MATCH(T$4,'Fictief scenario'!$B:$B,0),MATCH(T$5,'Fictief scenario'!$6:$6,0))</f>
        <v>#N/A</v>
      </c>
      <c r="U8" s="131" t="e">
        <f>INDEX('Fictief scenario'!$A:$D,MATCH(U$4,'Fictief scenario'!$B:$B,0),MATCH(U$5,'Fictief scenario'!$6:$6,0))</f>
        <v>#N/A</v>
      </c>
      <c r="V8" s="131" t="e">
        <f>INDEX('Fictief scenario'!$A:$D,MATCH(V$4,'Fictief scenario'!$B:$B,0),MATCH(V$5,'Fictief scenario'!$6:$6,0))</f>
        <v>#N/A</v>
      </c>
      <c r="W8" s="131" t="e">
        <f>INDEX('Fictief scenario'!$A:$D,MATCH(W$4,'Fictief scenario'!$B:$B,0),MATCH(W$5,'Fictief scenario'!$6:$6,0))</f>
        <v>#N/A</v>
      </c>
      <c r="X8" s="131" t="e">
        <f>INDEX('Fictief scenario'!$A:$D,MATCH(X$4,'Fictief scenario'!$B:$B,0),MATCH(X$5,'Fictief scenario'!$6:$6,0))</f>
        <v>#N/A</v>
      </c>
      <c r="Y8" s="131" t="e">
        <f>INDEX('Fictief scenario'!$A:$D,MATCH(Y$4,'Fictief scenario'!$B:$B,0),MATCH(Y$5,'Fictief scenario'!$6:$6,0))</f>
        <v>#N/A</v>
      </c>
      <c r="Z8" s="131" t="e">
        <f>INDEX('Fictief scenario'!$A:$D,MATCH(Z$4,'Fictief scenario'!$B:$B,0),MATCH(Z$5,'Fictief scenario'!$6:$6,0))</f>
        <v>#N/A</v>
      </c>
      <c r="AA8" s="131" t="e">
        <f>INDEX('Fictief scenario'!$A:$D,MATCH(AA$4,'Fictief scenario'!$B:$B,0),MATCH(AA$5,'Fictief scenario'!$6:$6,0))</f>
        <v>#N/A</v>
      </c>
      <c r="AB8" s="131" t="e">
        <f>INDEX('Fictief scenario'!$A:$D,MATCH(AB$4,'Fictief scenario'!$B:$B,0),MATCH(AB$5,'Fictief scenario'!$6:$6,0))</f>
        <v>#N/A</v>
      </c>
      <c r="AC8" s="131" t="e">
        <f>INDEX('Fictief scenario'!$A:$D,MATCH(AC$4,'Fictief scenario'!$B:$B,0),MATCH(AC$5,'Fictief scenario'!$6:$6,0))</f>
        <v>#N/A</v>
      </c>
      <c r="AD8" s="131" t="e">
        <f>INDEX('Fictief scenario'!$A:$D,MATCH(AD$4,'Fictief scenario'!$B:$B,0),MATCH(AD$5,'Fictief scenario'!$6:$6,0))</f>
        <v>#N/A</v>
      </c>
      <c r="AE8" s="131" t="e">
        <f>INDEX('Fictief scenario'!$A:$D,MATCH(AE$4,'Fictief scenario'!$B:$B,0),MATCH(AE$5,'Fictief scenario'!$6:$6,0))</f>
        <v>#N/A</v>
      </c>
      <c r="AF8" s="131" t="e">
        <f>INDEX('Fictief scenario'!$A:$D,MATCH(AF$4,'Fictief scenario'!$B:$B,0),MATCH(AF$5,'Fictief scenario'!$6:$6,0))</f>
        <v>#N/A</v>
      </c>
      <c r="AG8" s="131" t="e">
        <f>INDEX('Fictief scenario'!$A:$D,MATCH(AG$4,'Fictief scenario'!$B:$B,0),MATCH(AG$5,'Fictief scenario'!$6:$6,0))</f>
        <v>#N/A</v>
      </c>
      <c r="AH8" s="131" t="e">
        <f>INDEX('Fictief scenario'!$A:$D,MATCH(AH$4,'Fictief scenario'!$B:$B,0),MATCH(AH$5,'Fictief scenario'!$6:$6,0))</f>
        <v>#N/A</v>
      </c>
      <c r="AI8" s="131" t="e">
        <f>INDEX('Fictief scenario'!$A:$D,MATCH(AI$4,'Fictief scenario'!$B:$B,0),MATCH(AI$5,'Fictief scenario'!$6:$6,0))</f>
        <v>#N/A</v>
      </c>
      <c r="AJ8" s="131" t="e">
        <f>INDEX('Fictief scenario'!$A:$D,MATCH(AJ$4,'Fictief scenario'!$B:$B,0),MATCH(AJ$5,'Fictief scenario'!$6:$6,0))</f>
        <v>#N/A</v>
      </c>
      <c r="AK8" s="131" t="e">
        <f>INDEX('Fictief scenario'!$A:$D,MATCH(AK$4,'Fictief scenario'!$B:$B,0),MATCH(AK$5,'Fictief scenario'!$6:$6,0))</f>
        <v>#N/A</v>
      </c>
      <c r="AL8" s="131" t="e">
        <f>INDEX('Fictief scenario'!$A:$D,MATCH(AL$4,'Fictief scenario'!$B:$B,0),MATCH(AL$5,'Fictief scenario'!$6:$6,0))</f>
        <v>#N/A</v>
      </c>
      <c r="AM8" s="131" t="e">
        <f>INDEX('Fictief scenario'!$A:$D,MATCH(AM$4,'Fictief scenario'!$B:$B,0),MATCH(AM$5,'Fictief scenario'!$6:$6,0))</f>
        <v>#N/A</v>
      </c>
    </row>
    <row r="9" spans="1:39" ht="17.25" customHeight="1" x14ac:dyDescent="0.15">
      <c r="B9" s="128" t="s">
        <v>15</v>
      </c>
      <c r="C9" s="131">
        <v>1231500</v>
      </c>
      <c r="D9" s="131">
        <v>1231500</v>
      </c>
      <c r="E9" s="131"/>
      <c r="F9" s="130" t="s">
        <v>108</v>
      </c>
      <c r="G9" s="130" t="s">
        <v>109</v>
      </c>
      <c r="H9" s="156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</row>
    <row r="10" spans="1:39" ht="17.25" customHeight="1" x14ac:dyDescent="0.15">
      <c r="B10" s="128" t="s">
        <v>16</v>
      </c>
      <c r="C10" s="131">
        <v>27600</v>
      </c>
      <c r="D10" s="131">
        <v>27600</v>
      </c>
      <c r="E10" s="131"/>
      <c r="F10" s="130" t="s">
        <v>111</v>
      </c>
      <c r="G10" s="130" t="s">
        <v>86</v>
      </c>
      <c r="H10" s="156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</row>
    <row r="11" spans="1:39" ht="17.25" customHeight="1" x14ac:dyDescent="0.15">
      <c r="B11" s="128" t="s">
        <v>17</v>
      </c>
      <c r="C11" s="131">
        <v>7500</v>
      </c>
      <c r="D11" s="131">
        <v>7500</v>
      </c>
      <c r="E11" s="131"/>
      <c r="F11" s="130" t="s">
        <v>112</v>
      </c>
      <c r="G11" s="130" t="s">
        <v>113</v>
      </c>
      <c r="H11" s="157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</row>
    <row r="12" spans="1:39" ht="17.25" customHeight="1" x14ac:dyDescent="0.15">
      <c r="B12" s="128" t="s">
        <v>18</v>
      </c>
      <c r="C12" s="131">
        <v>7500</v>
      </c>
      <c r="D12" s="131">
        <v>7500</v>
      </c>
      <c r="E12" s="131"/>
      <c r="F12" s="130" t="s">
        <v>114</v>
      </c>
      <c r="G12" s="130" t="s">
        <v>115</v>
      </c>
      <c r="H12" s="157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</row>
    <row r="13" spans="1:39" ht="17.25" customHeight="1" x14ac:dyDescent="0.15">
      <c r="B13" s="128" t="s">
        <v>19</v>
      </c>
      <c r="C13" s="131">
        <v>7500</v>
      </c>
      <c r="D13" s="131">
        <v>7500</v>
      </c>
      <c r="E13" s="131"/>
      <c r="F13" s="130" t="s">
        <v>116</v>
      </c>
      <c r="G13" s="130" t="s">
        <v>115</v>
      </c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</row>
    <row r="14" spans="1:39" ht="17.25" customHeight="1" x14ac:dyDescent="0.15">
      <c r="B14" s="128" t="s">
        <v>20</v>
      </c>
      <c r="C14" s="131">
        <v>11700</v>
      </c>
      <c r="D14" s="131">
        <v>11700</v>
      </c>
      <c r="E14" s="131"/>
      <c r="F14" s="130" t="s">
        <v>116</v>
      </c>
      <c r="G14" s="130" t="s">
        <v>118</v>
      </c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</row>
    <row r="15" spans="1:39" ht="17.25" customHeight="1" x14ac:dyDescent="0.15">
      <c r="B15" s="128" t="s">
        <v>21</v>
      </c>
      <c r="C15" s="131">
        <v>274800</v>
      </c>
      <c r="D15" s="131">
        <v>274800</v>
      </c>
      <c r="E15" s="131"/>
      <c r="F15" s="130" t="s">
        <v>120</v>
      </c>
      <c r="G15" s="130" t="s">
        <v>115</v>
      </c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</row>
    <row r="16" spans="1:39" ht="17.25" customHeight="1" x14ac:dyDescent="0.15">
      <c r="B16" s="128" t="s">
        <v>22</v>
      </c>
      <c r="C16" s="131">
        <v>911100</v>
      </c>
      <c r="D16" s="131">
        <v>911100</v>
      </c>
      <c r="E16" s="131"/>
      <c r="F16" s="130" t="s">
        <v>122</v>
      </c>
      <c r="G16" s="130" t="s">
        <v>115</v>
      </c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</row>
    <row r="17" spans="2:39" ht="17.25" customHeight="1" x14ac:dyDescent="0.15">
      <c r="B17" s="128" t="s">
        <v>23</v>
      </c>
      <c r="C17" s="131">
        <v>250200</v>
      </c>
      <c r="D17" s="131">
        <v>250200</v>
      </c>
      <c r="E17" s="131"/>
      <c r="F17" s="130" t="s">
        <v>122</v>
      </c>
      <c r="G17" s="130" t="s">
        <v>118</v>
      </c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</row>
    <row r="18" spans="2:39" ht="17.25" customHeight="1" x14ac:dyDescent="0.15">
      <c r="B18" s="128" t="s">
        <v>24</v>
      </c>
      <c r="C18" s="131">
        <v>1632900</v>
      </c>
      <c r="D18" s="131">
        <v>1632900</v>
      </c>
      <c r="E18" s="131"/>
      <c r="F18" s="130" t="s">
        <v>125</v>
      </c>
      <c r="G18" s="130" t="s">
        <v>115</v>
      </c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</row>
    <row r="19" spans="2:39" ht="17.25" customHeight="1" x14ac:dyDescent="0.15">
      <c r="B19" s="128" t="s">
        <v>25</v>
      </c>
      <c r="C19" s="131">
        <v>2311800</v>
      </c>
      <c r="D19" s="131">
        <v>2311800</v>
      </c>
      <c r="E19" s="131"/>
      <c r="F19" s="130" t="s">
        <v>127</v>
      </c>
      <c r="G19" s="130" t="s">
        <v>115</v>
      </c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2:39" ht="17.25" customHeight="1" x14ac:dyDescent="0.15">
      <c r="B20" s="128" t="s">
        <v>26</v>
      </c>
      <c r="C20" s="131">
        <v>7500</v>
      </c>
      <c r="D20" s="131">
        <v>7500</v>
      </c>
      <c r="E20" s="131"/>
      <c r="F20" s="148" t="s">
        <v>128</v>
      </c>
      <c r="G20" s="130" t="s">
        <v>115</v>
      </c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</row>
    <row r="21" spans="2:39" ht="17.25" customHeight="1" x14ac:dyDescent="0.15">
      <c r="B21" s="128" t="s">
        <v>27</v>
      </c>
      <c r="C21" s="131">
        <v>550800</v>
      </c>
      <c r="D21" s="131">
        <v>550800</v>
      </c>
      <c r="E21" s="131"/>
      <c r="F21" s="172" t="s">
        <v>136</v>
      </c>
      <c r="G21" s="172"/>
    </row>
    <row r="22" spans="2:39" ht="17.25" customHeight="1" x14ac:dyDescent="0.15">
      <c r="F22" s="130" t="s">
        <v>119</v>
      </c>
      <c r="G22" s="130" t="s">
        <v>153</v>
      </c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</row>
    <row r="23" spans="2:39" ht="17.25" customHeight="1" x14ac:dyDescent="0.15">
      <c r="F23" s="130" t="s">
        <v>121</v>
      </c>
      <c r="G23" s="130" t="s">
        <v>153</v>
      </c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</row>
    <row r="24" spans="2:39" ht="17.25" customHeight="1" x14ac:dyDescent="0.15">
      <c r="F24" s="130" t="s">
        <v>123</v>
      </c>
      <c r="G24" s="130" t="s">
        <v>153</v>
      </c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</row>
    <row r="25" spans="2:39" ht="17.25" customHeight="1" x14ac:dyDescent="0.15">
      <c r="F25" s="130" t="s">
        <v>124</v>
      </c>
      <c r="G25" s="130" t="s">
        <v>153</v>
      </c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</row>
    <row r="26" spans="2:39" ht="17.25" customHeight="1" x14ac:dyDescent="0.15">
      <c r="F26" s="130" t="s">
        <v>126</v>
      </c>
      <c r="G26" s="130" t="s">
        <v>153</v>
      </c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</row>
    <row r="27" spans="2:39" ht="46.9" customHeight="1" x14ac:dyDescent="0.15">
      <c r="B27" s="128"/>
      <c r="C27" s="131"/>
      <c r="D27" s="131"/>
      <c r="E27" s="131"/>
      <c r="F27" s="172" t="s">
        <v>137</v>
      </c>
      <c r="G27" s="172"/>
      <c r="H27" s="142" t="e">
        <f>ROUNDUP(H$8/H$10,0)*(H$20/60)*SUM(H$22:H$26)</f>
        <v>#N/A</v>
      </c>
      <c r="I27" s="142" t="e">
        <f t="shared" ref="I27:AM27" si="0">ROUNDUP(I$8/I$10,0)*(I$20/60)*SUM(I$22:I$26)</f>
        <v>#N/A</v>
      </c>
      <c r="J27" s="142" t="e">
        <f t="shared" si="0"/>
        <v>#N/A</v>
      </c>
      <c r="K27" s="142" t="e">
        <f t="shared" si="0"/>
        <v>#N/A</v>
      </c>
      <c r="L27" s="142" t="e">
        <f t="shared" si="0"/>
        <v>#N/A</v>
      </c>
      <c r="M27" s="142" t="e">
        <f t="shared" si="0"/>
        <v>#N/A</v>
      </c>
      <c r="N27" s="142" t="e">
        <f t="shared" si="0"/>
        <v>#N/A</v>
      </c>
      <c r="O27" s="142" t="e">
        <f t="shared" si="0"/>
        <v>#N/A</v>
      </c>
      <c r="P27" s="142" t="e">
        <f t="shared" si="0"/>
        <v>#N/A</v>
      </c>
      <c r="Q27" s="142" t="e">
        <f t="shared" si="0"/>
        <v>#N/A</v>
      </c>
      <c r="R27" s="142" t="e">
        <f t="shared" si="0"/>
        <v>#N/A</v>
      </c>
      <c r="S27" s="142" t="e">
        <f t="shared" si="0"/>
        <v>#N/A</v>
      </c>
      <c r="T27" s="142" t="e">
        <f t="shared" si="0"/>
        <v>#N/A</v>
      </c>
      <c r="U27" s="142" t="e">
        <f t="shared" si="0"/>
        <v>#N/A</v>
      </c>
      <c r="V27" s="142" t="e">
        <f t="shared" si="0"/>
        <v>#N/A</v>
      </c>
      <c r="W27" s="142" t="e">
        <f t="shared" si="0"/>
        <v>#N/A</v>
      </c>
      <c r="X27" s="142" t="e">
        <f t="shared" si="0"/>
        <v>#N/A</v>
      </c>
      <c r="Y27" s="142" t="e">
        <f t="shared" si="0"/>
        <v>#N/A</v>
      </c>
      <c r="Z27" s="142" t="e">
        <f t="shared" si="0"/>
        <v>#N/A</v>
      </c>
      <c r="AA27" s="142" t="e">
        <f t="shared" si="0"/>
        <v>#N/A</v>
      </c>
      <c r="AB27" s="142" t="e">
        <f t="shared" si="0"/>
        <v>#N/A</v>
      </c>
      <c r="AC27" s="142" t="e">
        <f t="shared" si="0"/>
        <v>#N/A</v>
      </c>
      <c r="AD27" s="142" t="e">
        <f t="shared" si="0"/>
        <v>#N/A</v>
      </c>
      <c r="AE27" s="142" t="e">
        <f t="shared" si="0"/>
        <v>#N/A</v>
      </c>
      <c r="AF27" s="142" t="e">
        <f t="shared" si="0"/>
        <v>#N/A</v>
      </c>
      <c r="AG27" s="142" t="e">
        <f t="shared" si="0"/>
        <v>#N/A</v>
      </c>
      <c r="AH27" s="142" t="e">
        <f t="shared" si="0"/>
        <v>#N/A</v>
      </c>
      <c r="AI27" s="142" t="e">
        <f t="shared" si="0"/>
        <v>#N/A</v>
      </c>
      <c r="AJ27" s="142" t="e">
        <f t="shared" si="0"/>
        <v>#N/A</v>
      </c>
      <c r="AK27" s="142" t="e">
        <f t="shared" si="0"/>
        <v>#N/A</v>
      </c>
      <c r="AL27" s="142" t="e">
        <f t="shared" si="0"/>
        <v>#N/A</v>
      </c>
      <c r="AM27" s="142" t="e">
        <f t="shared" si="0"/>
        <v>#N/A</v>
      </c>
    </row>
    <row r="29" spans="2:39" ht="15" x14ac:dyDescent="0.15">
      <c r="F29" s="172" t="s">
        <v>138</v>
      </c>
      <c r="G29" s="172"/>
      <c r="H29" s="144" t="e">
        <f>H27/H8</f>
        <v>#N/A</v>
      </c>
      <c r="I29" s="144" t="e">
        <f t="shared" ref="I29:AM29" si="1">I27/I8</f>
        <v>#N/A</v>
      </c>
      <c r="J29" s="144" t="e">
        <f t="shared" si="1"/>
        <v>#N/A</v>
      </c>
      <c r="K29" s="144" t="e">
        <f t="shared" si="1"/>
        <v>#N/A</v>
      </c>
      <c r="L29" s="144" t="e">
        <f t="shared" si="1"/>
        <v>#N/A</v>
      </c>
      <c r="M29" s="144" t="e">
        <f t="shared" si="1"/>
        <v>#N/A</v>
      </c>
      <c r="N29" s="144" t="e">
        <f t="shared" si="1"/>
        <v>#N/A</v>
      </c>
      <c r="O29" s="144" t="e">
        <f t="shared" si="1"/>
        <v>#N/A</v>
      </c>
      <c r="P29" s="144" t="e">
        <f t="shared" si="1"/>
        <v>#N/A</v>
      </c>
      <c r="Q29" s="144" t="e">
        <f t="shared" si="1"/>
        <v>#N/A</v>
      </c>
      <c r="R29" s="144" t="e">
        <f>R27/R8</f>
        <v>#N/A</v>
      </c>
      <c r="S29" s="144" t="e">
        <f t="shared" si="1"/>
        <v>#N/A</v>
      </c>
      <c r="T29" s="144" t="e">
        <f t="shared" si="1"/>
        <v>#N/A</v>
      </c>
      <c r="U29" s="144" t="e">
        <f t="shared" si="1"/>
        <v>#N/A</v>
      </c>
      <c r="V29" s="144" t="e">
        <f t="shared" si="1"/>
        <v>#N/A</v>
      </c>
      <c r="W29" s="144" t="e">
        <f t="shared" si="1"/>
        <v>#N/A</v>
      </c>
      <c r="X29" s="144" t="e">
        <f t="shared" si="1"/>
        <v>#N/A</v>
      </c>
      <c r="Y29" s="144" t="e">
        <f t="shared" si="1"/>
        <v>#N/A</v>
      </c>
      <c r="Z29" s="144" t="e">
        <f t="shared" si="1"/>
        <v>#N/A</v>
      </c>
      <c r="AA29" s="144" t="e">
        <f t="shared" si="1"/>
        <v>#N/A</v>
      </c>
      <c r="AB29" s="144" t="e">
        <f t="shared" si="1"/>
        <v>#N/A</v>
      </c>
      <c r="AC29" s="144" t="e">
        <f t="shared" si="1"/>
        <v>#N/A</v>
      </c>
      <c r="AD29" s="144" t="e">
        <f t="shared" si="1"/>
        <v>#N/A</v>
      </c>
      <c r="AE29" s="144" t="e">
        <f t="shared" si="1"/>
        <v>#N/A</v>
      </c>
      <c r="AF29" s="144" t="e">
        <f t="shared" si="1"/>
        <v>#N/A</v>
      </c>
      <c r="AG29" s="144" t="e">
        <f t="shared" si="1"/>
        <v>#N/A</v>
      </c>
      <c r="AH29" s="144" t="e">
        <f t="shared" si="1"/>
        <v>#N/A</v>
      </c>
      <c r="AI29" s="144" t="e">
        <f t="shared" si="1"/>
        <v>#N/A</v>
      </c>
      <c r="AJ29" s="144" t="e">
        <f t="shared" si="1"/>
        <v>#N/A</v>
      </c>
      <c r="AK29" s="144" t="e">
        <f t="shared" si="1"/>
        <v>#N/A</v>
      </c>
      <c r="AL29" s="144" t="e">
        <f t="shared" si="1"/>
        <v>#N/A</v>
      </c>
      <c r="AM29" s="144" t="e">
        <f t="shared" si="1"/>
        <v>#N/A</v>
      </c>
    </row>
    <row r="30" spans="2:39" ht="17.25" customHeight="1" x14ac:dyDescent="0.15"/>
    <row r="31" spans="2:39" ht="17.25" customHeight="1" x14ac:dyDescent="0.15">
      <c r="F31" s="172" t="s">
        <v>139</v>
      </c>
      <c r="G31" s="172"/>
      <c r="H31" s="150"/>
    </row>
    <row r="32" spans="2:39" ht="17.25" customHeight="1" x14ac:dyDescent="0.15">
      <c r="F32" s="152" t="s">
        <v>140</v>
      </c>
      <c r="G32" s="152" t="s">
        <v>141</v>
      </c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</row>
    <row r="33" spans="6:39" ht="17.25" customHeight="1" x14ac:dyDescent="0.15">
      <c r="F33" s="152" t="s">
        <v>142</v>
      </c>
      <c r="G33" s="152" t="s">
        <v>141</v>
      </c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</row>
    <row r="34" spans="6:39" ht="17.25" customHeight="1" x14ac:dyDescent="0.15">
      <c r="F34" s="152" t="s">
        <v>143</v>
      </c>
      <c r="G34" s="152" t="s">
        <v>141</v>
      </c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</row>
    <row r="35" spans="6:39" ht="17.25" customHeight="1" x14ac:dyDescent="0.15">
      <c r="F35" s="152" t="s">
        <v>144</v>
      </c>
      <c r="G35" s="152" t="s">
        <v>141</v>
      </c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</row>
    <row r="36" spans="6:39" ht="17.25" customHeight="1" x14ac:dyDescent="0.15">
      <c r="F36" s="152" t="s">
        <v>145</v>
      </c>
      <c r="G36" s="152" t="s">
        <v>141</v>
      </c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</row>
    <row r="37" spans="6:39" ht="17.25" customHeight="1" x14ac:dyDescent="0.15">
      <c r="F37" s="152" t="s">
        <v>146</v>
      </c>
      <c r="G37" s="153" t="s">
        <v>147</v>
      </c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</row>
    <row r="38" spans="6:39" ht="17.25" customHeight="1" x14ac:dyDescent="0.15">
      <c r="F38" s="152" t="s">
        <v>148</v>
      </c>
      <c r="G38" s="152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</row>
    <row r="39" spans="6:39" ht="17.25" customHeight="1" x14ac:dyDescent="0.15">
      <c r="F39" s="152" t="s">
        <v>149</v>
      </c>
      <c r="G39" s="152" t="s">
        <v>150</v>
      </c>
      <c r="H39" s="154">
        <f>H37*H36</f>
        <v>0</v>
      </c>
      <c r="I39" s="154">
        <f t="shared" ref="I39:AM39" si="2">I37*I36</f>
        <v>0</v>
      </c>
      <c r="J39" s="154">
        <f t="shared" si="2"/>
        <v>0</v>
      </c>
      <c r="K39" s="154">
        <f t="shared" si="2"/>
        <v>0</v>
      </c>
      <c r="L39" s="154">
        <f t="shared" si="2"/>
        <v>0</v>
      </c>
      <c r="M39" s="154">
        <f t="shared" si="2"/>
        <v>0</v>
      </c>
      <c r="N39" s="154">
        <f t="shared" si="2"/>
        <v>0</v>
      </c>
      <c r="O39" s="154">
        <f t="shared" si="2"/>
        <v>0</v>
      </c>
      <c r="P39" s="154">
        <f t="shared" si="2"/>
        <v>0</v>
      </c>
      <c r="Q39" s="154">
        <f t="shared" si="2"/>
        <v>0</v>
      </c>
      <c r="R39" s="154">
        <f t="shared" si="2"/>
        <v>0</v>
      </c>
      <c r="S39" s="154">
        <f t="shared" si="2"/>
        <v>0</v>
      </c>
      <c r="T39" s="154">
        <f t="shared" si="2"/>
        <v>0</v>
      </c>
      <c r="U39" s="154">
        <f t="shared" si="2"/>
        <v>0</v>
      </c>
      <c r="V39" s="154">
        <f t="shared" si="2"/>
        <v>0</v>
      </c>
      <c r="W39" s="154">
        <f t="shared" si="2"/>
        <v>0</v>
      </c>
      <c r="X39" s="154">
        <f t="shared" si="2"/>
        <v>0</v>
      </c>
      <c r="Y39" s="154">
        <f t="shared" si="2"/>
        <v>0</v>
      </c>
      <c r="Z39" s="154">
        <f t="shared" si="2"/>
        <v>0</v>
      </c>
      <c r="AA39" s="154">
        <f t="shared" si="2"/>
        <v>0</v>
      </c>
      <c r="AB39" s="154">
        <f t="shared" si="2"/>
        <v>0</v>
      </c>
      <c r="AC39" s="154">
        <f t="shared" si="2"/>
        <v>0</v>
      </c>
      <c r="AD39" s="154">
        <f t="shared" si="2"/>
        <v>0</v>
      </c>
      <c r="AE39" s="154">
        <f t="shared" si="2"/>
        <v>0</v>
      </c>
      <c r="AF39" s="154">
        <f t="shared" si="2"/>
        <v>0</v>
      </c>
      <c r="AG39" s="154">
        <f t="shared" si="2"/>
        <v>0</v>
      </c>
      <c r="AH39" s="154">
        <f t="shared" si="2"/>
        <v>0</v>
      </c>
      <c r="AI39" s="154">
        <f t="shared" si="2"/>
        <v>0</v>
      </c>
      <c r="AJ39" s="154">
        <f t="shared" si="2"/>
        <v>0</v>
      </c>
      <c r="AK39" s="154">
        <f t="shared" si="2"/>
        <v>0</v>
      </c>
      <c r="AL39" s="154">
        <f t="shared" si="2"/>
        <v>0</v>
      </c>
      <c r="AM39" s="154">
        <f t="shared" si="2"/>
        <v>0</v>
      </c>
    </row>
    <row r="40" spans="6:39" ht="17.25" customHeight="1" x14ac:dyDescent="0.15">
      <c r="F40" s="152" t="s">
        <v>151</v>
      </c>
      <c r="G40" s="152" t="s">
        <v>152</v>
      </c>
      <c r="H40" s="155" t="e">
        <f>H39/H8</f>
        <v>#N/A</v>
      </c>
      <c r="I40" s="155" t="e">
        <f t="shared" ref="I40:AM40" si="3">I39/I8</f>
        <v>#N/A</v>
      </c>
      <c r="J40" s="155" t="e">
        <f t="shared" si="3"/>
        <v>#N/A</v>
      </c>
      <c r="K40" s="155" t="e">
        <f t="shared" si="3"/>
        <v>#N/A</v>
      </c>
      <c r="L40" s="155" t="e">
        <f t="shared" si="3"/>
        <v>#N/A</v>
      </c>
      <c r="M40" s="155" t="e">
        <f t="shared" si="3"/>
        <v>#N/A</v>
      </c>
      <c r="N40" s="155" t="e">
        <f t="shared" si="3"/>
        <v>#N/A</v>
      </c>
      <c r="O40" s="155" t="e">
        <f t="shared" si="3"/>
        <v>#N/A</v>
      </c>
      <c r="P40" s="155" t="e">
        <f t="shared" si="3"/>
        <v>#N/A</v>
      </c>
      <c r="Q40" s="155" t="e">
        <f t="shared" si="3"/>
        <v>#N/A</v>
      </c>
      <c r="R40" s="155" t="e">
        <f t="shared" si="3"/>
        <v>#N/A</v>
      </c>
      <c r="S40" s="155" t="e">
        <f t="shared" si="3"/>
        <v>#N/A</v>
      </c>
      <c r="T40" s="155" t="e">
        <f t="shared" si="3"/>
        <v>#N/A</v>
      </c>
      <c r="U40" s="155" t="e">
        <f t="shared" si="3"/>
        <v>#N/A</v>
      </c>
      <c r="V40" s="155" t="e">
        <f t="shared" si="3"/>
        <v>#N/A</v>
      </c>
      <c r="W40" s="155" t="e">
        <f t="shared" si="3"/>
        <v>#N/A</v>
      </c>
      <c r="X40" s="155" t="e">
        <f t="shared" si="3"/>
        <v>#N/A</v>
      </c>
      <c r="Y40" s="155" t="e">
        <f t="shared" si="3"/>
        <v>#N/A</v>
      </c>
      <c r="Z40" s="155" t="e">
        <f t="shared" si="3"/>
        <v>#N/A</v>
      </c>
      <c r="AA40" s="155" t="e">
        <f t="shared" si="3"/>
        <v>#N/A</v>
      </c>
      <c r="AB40" s="155" t="e">
        <f t="shared" si="3"/>
        <v>#N/A</v>
      </c>
      <c r="AC40" s="155" t="e">
        <f t="shared" si="3"/>
        <v>#N/A</v>
      </c>
      <c r="AD40" s="155" t="e">
        <f t="shared" si="3"/>
        <v>#N/A</v>
      </c>
      <c r="AE40" s="155" t="e">
        <f t="shared" si="3"/>
        <v>#N/A</v>
      </c>
      <c r="AF40" s="155" t="e">
        <f t="shared" si="3"/>
        <v>#N/A</v>
      </c>
      <c r="AG40" s="155" t="e">
        <f t="shared" si="3"/>
        <v>#N/A</v>
      </c>
      <c r="AH40" s="155" t="e">
        <f t="shared" si="3"/>
        <v>#N/A</v>
      </c>
      <c r="AI40" s="155" t="e">
        <f t="shared" si="3"/>
        <v>#N/A</v>
      </c>
      <c r="AJ40" s="155" t="e">
        <f t="shared" si="3"/>
        <v>#N/A</v>
      </c>
      <c r="AK40" s="155" t="e">
        <f t="shared" si="3"/>
        <v>#N/A</v>
      </c>
      <c r="AL40" s="155" t="e">
        <f t="shared" si="3"/>
        <v>#N/A</v>
      </c>
      <c r="AM40" s="155" t="e">
        <f t="shared" si="3"/>
        <v>#N/A</v>
      </c>
    </row>
  </sheetData>
  <mergeCells count="8">
    <mergeCell ref="C4:D4"/>
    <mergeCell ref="F31:G31"/>
    <mergeCell ref="F29:G29"/>
    <mergeCell ref="F27:G27"/>
    <mergeCell ref="F4:G4"/>
    <mergeCell ref="F5:G5"/>
    <mergeCell ref="F6:G6"/>
    <mergeCell ref="F21:G2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B75-EB87-40A2-8716-205FC99AEA6B}">
  <sheetPr codeName="Sheet15">
    <tabColor rgb="FFFFC000"/>
  </sheetPr>
  <dimension ref="A1:J15"/>
  <sheetViews>
    <sheetView workbookViewId="0">
      <selection activeCell="H19" sqref="H19"/>
    </sheetView>
  </sheetViews>
  <sheetFormatPr defaultRowHeight="11.25" x14ac:dyDescent="0.15"/>
  <cols>
    <col min="1" max="1" width="33.625" bestFit="1" customWidth="1"/>
    <col min="2" max="2" width="9.875" bestFit="1" customWidth="1"/>
    <col min="9" max="9" width="20" bestFit="1" customWidth="1"/>
  </cols>
  <sheetData>
    <row r="1" spans="1:10" s="126" customFormat="1" ht="24.95" customHeight="1" x14ac:dyDescent="0.15">
      <c r="A1" s="135" t="s">
        <v>103</v>
      </c>
    </row>
    <row r="2" spans="1:10" ht="24.95" customHeight="1" x14ac:dyDescent="0.15">
      <c r="A2" s="130" t="s">
        <v>104</v>
      </c>
      <c r="B2" s="169" t="s">
        <v>105</v>
      </c>
      <c r="C2" s="169"/>
      <c r="D2" s="169"/>
      <c r="G2" s="136" t="s">
        <v>106</v>
      </c>
    </row>
    <row r="3" spans="1:10" ht="24.95" customHeight="1" x14ac:dyDescent="0.15">
      <c r="A3" s="130" t="s">
        <v>107</v>
      </c>
      <c r="B3" s="131">
        <f>'Fictief scenario'!C7</f>
        <v>71200</v>
      </c>
      <c r="C3" s="130" t="s">
        <v>86</v>
      </c>
    </row>
    <row r="4" spans="1:10" ht="24.95" customHeight="1" x14ac:dyDescent="0.15">
      <c r="A4" s="130" t="s">
        <v>108</v>
      </c>
      <c r="B4" s="132">
        <v>3621</v>
      </c>
      <c r="C4" s="130" t="s">
        <v>109</v>
      </c>
      <c r="G4" s="134" t="s">
        <v>131</v>
      </c>
      <c r="H4" s="129" t="s">
        <v>110</v>
      </c>
      <c r="I4" s="134" t="s">
        <v>133</v>
      </c>
    </row>
    <row r="5" spans="1:10" ht="24.95" customHeight="1" x14ac:dyDescent="0.15">
      <c r="A5" s="130" t="s">
        <v>111</v>
      </c>
      <c r="B5" s="132">
        <v>4600</v>
      </c>
      <c r="C5" s="130" t="s">
        <v>86</v>
      </c>
    </row>
    <row r="6" spans="1:10" ht="24.95" customHeight="1" x14ac:dyDescent="0.15">
      <c r="A6" s="130" t="s">
        <v>112</v>
      </c>
      <c r="B6" s="133">
        <v>0.6</v>
      </c>
      <c r="C6" s="130" t="s">
        <v>113</v>
      </c>
    </row>
    <row r="7" spans="1:10" ht="24.95" customHeight="1" x14ac:dyDescent="0.15">
      <c r="A7" s="130" t="s">
        <v>114</v>
      </c>
      <c r="B7" s="133">
        <v>70</v>
      </c>
      <c r="C7" s="130" t="s">
        <v>115</v>
      </c>
    </row>
    <row r="8" spans="1:10" ht="24.95" customHeight="1" x14ac:dyDescent="0.15">
      <c r="A8" s="130" t="s">
        <v>116</v>
      </c>
      <c r="B8" s="133">
        <v>66</v>
      </c>
      <c r="C8" s="130" t="s">
        <v>115</v>
      </c>
      <c r="E8" s="136" t="s">
        <v>117</v>
      </c>
      <c r="G8" s="135"/>
      <c r="I8" s="135"/>
    </row>
    <row r="9" spans="1:10" ht="24.95" customHeight="1" x14ac:dyDescent="0.15">
      <c r="A9" s="130" t="s">
        <v>116</v>
      </c>
      <c r="B9" s="133">
        <v>25.8</v>
      </c>
      <c r="C9" s="130" t="s">
        <v>118</v>
      </c>
      <c r="E9" s="130" t="s">
        <v>119</v>
      </c>
      <c r="G9" s="135"/>
      <c r="I9" s="137">
        <v>350</v>
      </c>
    </row>
    <row r="10" spans="1:10" ht="24.95" customHeight="1" x14ac:dyDescent="0.15">
      <c r="A10" s="130" t="s">
        <v>120</v>
      </c>
      <c r="B10" s="133">
        <v>5</v>
      </c>
      <c r="C10" s="130" t="s">
        <v>115</v>
      </c>
      <c r="E10" s="130" t="s">
        <v>121</v>
      </c>
      <c r="I10" s="137">
        <v>647</v>
      </c>
    </row>
    <row r="11" spans="1:10" ht="24.95" customHeight="1" x14ac:dyDescent="0.15">
      <c r="A11" s="130" t="s">
        <v>122</v>
      </c>
      <c r="B11" s="133">
        <v>66</v>
      </c>
      <c r="C11" s="130" t="s">
        <v>115</v>
      </c>
      <c r="E11" s="130" t="s">
        <v>123</v>
      </c>
      <c r="I11" s="137">
        <v>430</v>
      </c>
    </row>
    <row r="12" spans="1:10" ht="24.95" customHeight="1" x14ac:dyDescent="0.15">
      <c r="A12" s="130" t="s">
        <v>122</v>
      </c>
      <c r="B12" s="133">
        <v>25.8</v>
      </c>
      <c r="C12" s="130" t="s">
        <v>118</v>
      </c>
      <c r="E12" s="130" t="s">
        <v>124</v>
      </c>
      <c r="I12" s="137">
        <v>617</v>
      </c>
    </row>
    <row r="13" spans="1:10" ht="24.95" customHeight="1" x14ac:dyDescent="0.15">
      <c r="A13" s="130" t="s">
        <v>125</v>
      </c>
      <c r="B13" s="133">
        <f>B7+B8+B10++B11</f>
        <v>207</v>
      </c>
      <c r="C13" s="130" t="s">
        <v>115</v>
      </c>
      <c r="E13" s="130" t="s">
        <v>126</v>
      </c>
      <c r="I13" s="137">
        <v>72</v>
      </c>
    </row>
    <row r="14" spans="1:10" ht="24.95" customHeight="1" x14ac:dyDescent="0.15">
      <c r="A14" s="130" t="s">
        <v>127</v>
      </c>
      <c r="B14" s="133">
        <v>23</v>
      </c>
      <c r="C14" s="130" t="s">
        <v>115</v>
      </c>
    </row>
    <row r="15" spans="1:10" ht="24.95" customHeight="1" x14ac:dyDescent="0.25">
      <c r="A15" s="130" t="s">
        <v>128</v>
      </c>
      <c r="B15" s="133">
        <f>SUM(B13:B14)</f>
        <v>230</v>
      </c>
      <c r="C15" s="130" t="s">
        <v>115</v>
      </c>
      <c r="E15" s="170" t="s">
        <v>129</v>
      </c>
      <c r="F15" s="170"/>
      <c r="G15" s="170"/>
      <c r="H15" s="170"/>
      <c r="I15" s="138">
        <f>ROUNDUP(B3/B5,0)*(B15/60)*SUM(I9:I13)</f>
        <v>129781.33333333334</v>
      </c>
      <c r="J15" s="139"/>
    </row>
  </sheetData>
  <mergeCells count="2">
    <mergeCell ref="B2:D2"/>
    <mergeCell ref="E15:H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e327c18d-0952-40ac-b866-8924565bd7ce">CON00-1366604713-723</_dlc_DocId>
    <TaxCatchAll xmlns="cb665cb2-4c1b-4338-95f1-4dd7cd771ce0">
      <Value>48</Value>
      <Value>2</Value>
      <Value>1</Value>
    </TaxCatchAll>
    <_dlc_DocIdUrl xmlns="e327c18d-0952-40ac-b866-8924565bd7ce">
      <Url>https://connect.sp02.rws.nl/sites/M241119641/_layouts/15/DocIdRedir.aspx?ID=CON00-1366604713-723</Url>
      <Description>CON00-1366604713-723</Description>
    </_dlc_DocIdUrl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Connect-Status xmlns="cb665cb2-4c1b-4338-95f1-4dd7cd771ce0">Concept</Connect-Status>
    <TaxKeywordTaxHTField xmlns="cb665cb2-4c1b-4338-95f1-4dd7cd771ce0">
      <Terms xmlns="http://schemas.microsoft.com/office/infopath/2007/PartnerControls"/>
    </TaxKeywordTaxHTField>
    <md4a5e6ab761404298864f0be17ffc0c xmlns="cb665cb2-4c1b-4338-95f1-4dd7cd771ce0">
      <Terms xmlns="http://schemas.microsoft.com/office/infopath/2007/PartnerControls"/>
    </md4a5e6ab761404298864f0be17ffc0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Specificatie</TermName>
          <TermId xmlns="http://schemas.microsoft.com/office/infopath/2007/PartnerControls">02acbdad-7a69-43a6-8c1f-c714cfd76a86</TermId>
        </TermInfo>
      </Terms>
    </ka142704ec404179bc6dc96ce8d3373c>
    <Connect-Archiefwaardig xmlns="cb665cb2-4c1b-4338-95f1-4dd7cd771ce0">Ja</Connect-Archiefwaardi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WS Word doc" ma:contentTypeID="0x010100B0CFCA0286740945ABA144AD52B7407200C87B345015A6E8419C66836AB31993EB" ma:contentTypeVersion="7" ma:contentTypeDescription="Create a new document." ma:contentTypeScope="" ma:versionID="bb9c85f23a69fcd7e7faef93d200ae64">
  <xsd:schema xmlns:xsd="http://www.w3.org/2001/XMLSchema" xmlns:xs="http://www.w3.org/2001/XMLSchema" xmlns:p="http://schemas.microsoft.com/office/2006/metadata/properties" xmlns:ns2="cb665cb2-4c1b-4338-95f1-4dd7cd771ce0" xmlns:ns3="e327c18d-0952-40ac-b866-8924565bd7ce" targetNamespace="http://schemas.microsoft.com/office/2006/metadata/properties" ma:root="true" ma:fieldsID="0f24c6c3c0dac2d0f715a132e4b04022" ns2:_="" ns3:_="">
    <xsd:import namespace="cb665cb2-4c1b-4338-95f1-4dd7cd771ce0"/>
    <xsd:import namespace="e327c18d-0952-40ac-b866-8924565bd7ce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CatchAll" minOccurs="0"/>
                <xsd:element ref="ns2:TaxCatchAllLabel" minOccurs="0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CatchAll" ma:index="9" nillable="true" ma:displayName="Taxonomy Catch All Column" ma:hidden="true" ma:list="{dfa6dff4-006b-4b8b-82c7-721374890b9f}" ma:internalName="TaxCatchAll" ma:showField="CatchAllData" ma:web="e327c18d-0952-40ac-b866-8924565bd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fa6dff4-006b-4b8b-82c7-721374890b9f}" ma:internalName="TaxCatchAllLabel" ma:readOnly="true" ma:showField="CatchAllDataLabel" ma:web="e327c18d-0952-40ac-b866-8924565bd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7c18d-0952-40ac-b866-8924565bd7ce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ae033921-439f-46ba-b586-0b8c8775f769" ContentTypeId="0x010100B0CFCA0286740945ABA144AD52B74072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C703BB-2486-457B-9951-3BDB132A55A0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cb665cb2-4c1b-4338-95f1-4dd7cd771ce0"/>
    <ds:schemaRef ds:uri="e327c18d-0952-40ac-b866-8924565bd7c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E41C34-7657-413A-9A0C-5926EDD6C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65cb2-4c1b-4338-95f1-4dd7cd771ce0"/>
    <ds:schemaRef ds:uri="e327c18d-0952-40ac-b866-8924565bd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58BCE-5318-488D-9B8F-2CB30D746A6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669A38E-2A59-4B6E-8644-7A262BBFB30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1DA5137-CFF5-4BED-AE08-6628ECDD15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Basisgegevens van Wiebe</vt:lpstr>
      <vt:lpstr>Gedachten kronkels Wiebe</vt:lpstr>
      <vt:lpstr>Fictief scenario</vt:lpstr>
      <vt:lpstr>Baggercycl per vak &amp; loslocatie</vt:lpstr>
      <vt:lpstr>Detailbegroting</vt:lpstr>
      <vt:lpstr>Concept</vt:lpstr>
      <vt:lpstr>'Gedachten kronkels Wiebe'!_Toc107909354</vt:lpstr>
    </vt:vector>
  </TitlesOfParts>
  <Manager/>
  <Company>Rijkswaterstaat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Kramer, Wiebe (RWS PPO)</dc:creator>
  <cp:keywords/>
  <dc:description/>
  <cp:lastModifiedBy>Veldhuizen, Robert van (RWS PPO)</cp:lastModifiedBy>
  <cp:revision/>
  <dcterms:created xsi:type="dcterms:W3CDTF">2025-10-01T14:51:15Z</dcterms:created>
  <dcterms:modified xsi:type="dcterms:W3CDTF">2026-03-18T11:33:44Z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0x010100B0CFCA0286740945ABA144AD52B7407200C87B345015A6E8419C66836AB31993EB</vt:lpwstr>
  </property>
  <property fmtid="{D5CDD505-2E9C-101B-9397-08002B2CF9AE}" pid="3" name="_dlc_DocIdItemGuid">
    <vt:lpwstr>1626a75e-f2d5-442d-8eaf-989efd7cd5b8</vt:lpwstr>
  </property>
  <property fmtid="{D5CDD505-2E9C-101B-9397-08002B2CF9AE}" pid="4" name="TaxKeyword">
    <vt:lpwstr/>
  </property>
  <property fmtid="{D5CDD505-2E9C-101B-9397-08002B2CF9AE}" pid="5" name="Connect-Bedrijfsvertrouwelijkheid">
    <vt:lpwstr>1;#RWS Bedrijfsvertrouwelijk|d5fcfbac-659d-41b3-b161-4048848dd05a</vt:lpwstr>
  </property>
  <property fmtid="{D5CDD505-2E9C-101B-9397-08002B2CF9AE}" pid="6" name="Connect-Persoonsvertrouwelijkheid">
    <vt:lpwstr>2;#Geen|a0814100-4302-49f4-9f40-b7d42012644c</vt:lpwstr>
  </property>
  <property fmtid="{D5CDD505-2E9C-101B-9397-08002B2CF9AE}" pid="7" name="Connect-Documenttype">
    <vt:lpwstr>48;#Specificatie|02acbdad-7a69-43a6-8c1f-c714cfd76a86</vt:lpwstr>
  </property>
  <property fmtid="{D5CDD505-2E9C-101B-9397-08002B2CF9AE}" pid="8" name="j7965235a8fd41fb89d2a664ecf0f7a1">
    <vt:lpwstr/>
  </property>
  <property fmtid="{D5CDD505-2E9C-101B-9397-08002B2CF9AE}" pid="9" name="Connect-Organisatieonderdeel">
    <vt:lpwstr/>
  </property>
  <property fmtid="{D5CDD505-2E9C-101B-9397-08002B2CF9AE}" pid="10" name="Connect-Classificatiecode">
    <vt:lpwstr/>
  </property>
</Properties>
</file>