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atsbosbeheer.sharepoint.com/teams/31ec1b/Gedeelde documenten/General/aanbesteding 2024/2. Offerte uitvraag - beschrijvend document/2.2 concept beschrijvend document/99%-versie aanbestedingsdocumenten/definitieve documenten en bijlagen/"/>
    </mc:Choice>
  </mc:AlternateContent>
  <xr:revisionPtr revIDLastSave="1462" documentId="8_{7BF114C6-5378-481C-9329-2E5F64516229}" xr6:coauthVersionLast="47" xr6:coauthVersionMax="47" xr10:uidLastSave="{2C3FA467-207A-4B70-BB0F-172A2BC2E47F}"/>
  <bookViews>
    <workbookView xWindow="-120" yWindow="-120" windowWidth="29040" windowHeight="15720" xr2:uid="{3872AA08-1043-4301-B10C-A55A6D80936A}"/>
  </bookViews>
  <sheets>
    <sheet name="Bijlage 13, Oogstgebieden" sheetId="5" r:id="rId1"/>
    <sheet name="Bijlage 13a, omvang opdracht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5" l="1"/>
  <c r="E33" i="5"/>
  <c r="C34" i="5"/>
  <c r="C33" i="5"/>
  <c r="E13" i="5"/>
  <c r="E14" i="5" s="1"/>
  <c r="D11" i="8"/>
  <c r="F11" i="8"/>
  <c r="C12" i="8"/>
  <c r="C8" i="8"/>
  <c r="C9" i="8"/>
  <c r="C6" i="8"/>
  <c r="B12" i="8"/>
  <c r="B9" i="8"/>
  <c r="E37" i="5"/>
  <c r="C31" i="5"/>
  <c r="E31" i="5" s="1"/>
  <c r="C30" i="5"/>
  <c r="E30" i="5" s="1"/>
  <c r="C29" i="5"/>
  <c r="E29" i="5" s="1"/>
  <c r="C28" i="5"/>
  <c r="I23" i="5"/>
  <c r="I62" i="5" s="1"/>
  <c r="C21" i="5"/>
  <c r="C20" i="5"/>
  <c r="C19" i="5"/>
  <c r="C18" i="5"/>
  <c r="C11" i="5"/>
  <c r="C10" i="5"/>
  <c r="C9" i="5"/>
  <c r="C8" i="5"/>
  <c r="C7" i="8" l="1"/>
  <c r="C12" i="5"/>
  <c r="D11" i="5" s="1"/>
  <c r="E8" i="5"/>
  <c r="E9" i="5"/>
  <c r="E10" i="5"/>
  <c r="E11" i="5"/>
  <c r="C22" i="5"/>
  <c r="E18" i="5"/>
  <c r="E19" i="5"/>
  <c r="E20" i="5"/>
  <c r="E21" i="5"/>
  <c r="C32" i="5"/>
  <c r="E28" i="5"/>
  <c r="E32" i="5" s="1"/>
  <c r="C10" i="8"/>
  <c r="C13" i="8" s="1"/>
  <c r="D12" i="8"/>
  <c r="F12" i="8" s="1"/>
  <c r="D10" i="8"/>
  <c r="F10" i="8" s="1"/>
  <c r="D9" i="8"/>
  <c r="F9" i="8" s="1"/>
  <c r="C23" i="5" l="1"/>
  <c r="C24" i="5" s="1"/>
  <c r="B7" i="8" s="1"/>
  <c r="D7" i="8" s="1"/>
  <c r="F7" i="8" s="1"/>
  <c r="D9" i="5"/>
  <c r="D8" i="5"/>
  <c r="C13" i="5"/>
  <c r="D10" i="5"/>
  <c r="D19" i="5"/>
  <c r="D21" i="5"/>
  <c r="D20" i="5"/>
  <c r="D18" i="5"/>
  <c r="B8" i="8"/>
  <c r="D8" i="8" s="1"/>
  <c r="F8" i="8" s="1"/>
  <c r="C14" i="5"/>
  <c r="B6" i="8" s="1"/>
  <c r="E22" i="5"/>
  <c r="E23" i="5" l="1"/>
  <c r="E24" i="5"/>
  <c r="D12" i="5"/>
  <c r="D22" i="5"/>
  <c r="B13" i="8"/>
  <c r="D6" i="8"/>
  <c r="F6" i="8" l="1"/>
  <c r="F13" i="8" s="1"/>
  <c r="D13" i="8"/>
</calcChain>
</file>

<file path=xl/sharedStrings.xml><?xml version="1.0" encoding="utf-8"?>
<sst xmlns="http://schemas.openxmlformats.org/spreadsheetml/2006/main" count="149" uniqueCount="75">
  <si>
    <t>Bijlage 13, Oogstgebieden</t>
  </si>
  <si>
    <t>Aanbesteding Houtoogstwerkzaamheden 2026</t>
  </si>
  <si>
    <t xml:space="preserve">NB. Aan de gegevens uit deze bijlage kunnen geen rechten worden ontleend. </t>
  </si>
  <si>
    <t>Geografisch Oogstgebied</t>
  </si>
  <si>
    <t>Provinciale eenheid</t>
  </si>
  <si>
    <t>Gemiddelde meerjaren prognose oogstvolume (m3/jaar)</t>
  </si>
  <si>
    <t xml:space="preserve">percentage van totale prognose oogstvolume </t>
  </si>
  <si>
    <t>garantievolume (ca. 75% van MJ-prognose oogstvolume)</t>
  </si>
  <si>
    <t>Perceel</t>
  </si>
  <si>
    <t>garantievolume (m3 /jaar)</t>
  </si>
  <si>
    <t>1. Noord</t>
  </si>
  <si>
    <t>Groningen</t>
  </si>
  <si>
    <t>Noord 1</t>
  </si>
  <si>
    <t>Friesland</t>
  </si>
  <si>
    <t>Noord 2</t>
  </si>
  <si>
    <t>Drenthe</t>
  </si>
  <si>
    <t>Noord 3</t>
  </si>
  <si>
    <t>Overijssel</t>
  </si>
  <si>
    <t>Noord 4</t>
  </si>
  <si>
    <t>subtotaal</t>
  </si>
  <si>
    <t>Noord 5</t>
  </si>
  <si>
    <t>totaal garantievolume</t>
  </si>
  <si>
    <t>2. Midden</t>
  </si>
  <si>
    <t>Gelderland</t>
  </si>
  <si>
    <t>Midden 1</t>
  </si>
  <si>
    <t>Utrecht</t>
  </si>
  <si>
    <t>Midden 2</t>
  </si>
  <si>
    <t>Flevoland</t>
  </si>
  <si>
    <t>Midden 3</t>
  </si>
  <si>
    <t>Noord Holland</t>
  </si>
  <si>
    <t>Midden 4</t>
  </si>
  <si>
    <t>Midden 5</t>
  </si>
  <si>
    <t>3. Zuid</t>
  </si>
  <si>
    <t>Zeeland</t>
  </si>
  <si>
    <t>Zuid 1</t>
  </si>
  <si>
    <t>Noord Brabant</t>
  </si>
  <si>
    <t>Zuid 2</t>
  </si>
  <si>
    <t>Limburg</t>
  </si>
  <si>
    <t>Zuid 3</t>
  </si>
  <si>
    <t>Zuid Holland</t>
  </si>
  <si>
    <t>Specialistisch Oogstgebied</t>
  </si>
  <si>
    <t>percentage van totale prognose oogstvolume</t>
  </si>
  <si>
    <t>garantievolume (ca. 60% van MJ-prognose oogstvolume)</t>
  </si>
  <si>
    <t>4. Zware vellingen</t>
  </si>
  <si>
    <t>Landelijk</t>
  </si>
  <si>
    <t>Zwaar 1</t>
  </si>
  <si>
    <t>Zwaar 2</t>
  </si>
  <si>
    <t>perceel</t>
  </si>
  <si>
    <t>5. Complexe vellingen - RECREATIEF</t>
  </si>
  <si>
    <t>Complex-R1</t>
  </si>
  <si>
    <t>Complex-R2</t>
  </si>
  <si>
    <t>Complex-R3</t>
  </si>
  <si>
    <t>Complex-R4</t>
  </si>
  <si>
    <t>Complex-R5</t>
  </si>
  <si>
    <t>6. Complexe vellingen - ECOLOGISCH</t>
  </si>
  <si>
    <t>Complex-E1</t>
  </si>
  <si>
    <t>Complex-E2</t>
  </si>
  <si>
    <t>Complex-E3</t>
  </si>
  <si>
    <t>7. Lichte vellingen</t>
  </si>
  <si>
    <t>Licht 1</t>
  </si>
  <si>
    <t>Totaal garantievolume</t>
  </si>
  <si>
    <t>Bijlage 13a, Omvang opdracht</t>
  </si>
  <si>
    <t>Maximale oogstvolume in m3 Raamovereenkomsten per oogstgebied</t>
  </si>
  <si>
    <t>Oogstgebied</t>
  </si>
  <si>
    <t>Gemiddelde garantievolume per jaar (75% van prognose oogstvolume)</t>
  </si>
  <si>
    <t>Maximale oogstvolume/jr (150% van prognose oogstvolume)</t>
  </si>
  <si>
    <t>looptijd overeenkomst in jaren</t>
  </si>
  <si>
    <t>totaal maximale oogstvolume (m3)</t>
  </si>
  <si>
    <t>5. Complexe vellingen recreatief</t>
  </si>
  <si>
    <t>Totaal</t>
  </si>
  <si>
    <t>Zuid 4</t>
  </si>
  <si>
    <t>Licht 2</t>
  </si>
  <si>
    <t>6. Complexe vellingen ecologisch</t>
  </si>
  <si>
    <t>Af: 15% zwaar hout</t>
  </si>
  <si>
    <t>Af: 10% zwaar 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</si>
</sst>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1" x14ac:knownFonts="1">
    <font>
      <sz val="10"/>
      <color theme="1"/>
      <name val="Agrofont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grofont"/>
      <family val="2"/>
    </font>
    <font>
      <sz val="10"/>
      <color rgb="FFFF0000"/>
      <name val="Agrofont"/>
      <family val="2"/>
    </font>
    <font>
      <b/>
      <sz val="10"/>
      <color theme="0"/>
      <name val="Arial"/>
      <family val="2"/>
    </font>
    <font>
      <b/>
      <sz val="10"/>
      <color theme="1"/>
      <name val="Agrofont"/>
      <family val="2"/>
    </font>
    <font>
      <b/>
      <sz val="10"/>
      <color theme="0"/>
      <name val="Agrofont"/>
      <family val="2"/>
    </font>
    <font>
      <b/>
      <sz val="12"/>
      <color theme="0"/>
      <name val="Agrofont"/>
      <family val="2"/>
    </font>
    <font>
      <b/>
      <sz val="10"/>
      <color rgb="FFFF0000"/>
      <name val="Agrofont"/>
      <family val="2"/>
    </font>
    <font>
      <sz val="10"/>
      <name val="Agrofont"/>
      <family val="2"/>
    </font>
    <font>
      <b/>
      <sz val="12"/>
      <color theme="1"/>
      <name val="Agrofont"/>
      <family val="2"/>
    </font>
    <font>
      <b/>
      <sz val="10"/>
      <name val="Agrofont"/>
      <family val="2"/>
    </font>
    <font>
      <sz val="10"/>
      <color theme="1"/>
      <name val="Agrofont"/>
      <family val="2"/>
    </font>
    <font>
      <b/>
      <sz val="12"/>
      <color rgb="FF000000"/>
      <name val="Agrofont"/>
      <family val="2"/>
    </font>
    <font>
      <sz val="10"/>
      <color rgb="FF000000"/>
      <name val="Agrofont"/>
      <family val="2"/>
    </font>
    <font>
      <b/>
      <sz val="10"/>
      <color rgb="FF000000"/>
      <name val="Agrofont"/>
      <family val="2"/>
    </font>
    <font>
      <b/>
      <sz val="12"/>
      <color rgb="FFFFFFFF"/>
      <name val="Agrofont"/>
      <family val="2"/>
    </font>
    <font>
      <b/>
      <sz val="10"/>
      <color rgb="FFFFFFFF"/>
      <name val="Agrofont"/>
      <family val="2"/>
    </font>
    <font>
      <b/>
      <sz val="10"/>
      <color rgb="FFFFFFFF"/>
      <name val="Arial"/>
      <family val="2"/>
    </font>
    <font>
      <sz val="12"/>
      <color rgb="FFFFFFFF"/>
      <name val="Agrofont"/>
      <family val="2"/>
    </font>
    <font>
      <sz val="10"/>
      <color rgb="FFFFFFFF"/>
      <name val="Agrofont"/>
      <family val="2"/>
    </font>
    <font>
      <b/>
      <i/>
      <sz val="10"/>
      <color rgb="FFFFFFFF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grofont"/>
      <family val="2"/>
    </font>
    <font>
      <b/>
      <sz val="9"/>
      <name val="Arial"/>
      <family val="2"/>
    </font>
    <font>
      <b/>
      <sz val="9"/>
      <name val="Agrofont"/>
      <family val="2"/>
    </font>
    <font>
      <sz val="9"/>
      <name val="Agrofont"/>
      <family val="2"/>
    </font>
    <font>
      <b/>
      <sz val="9"/>
      <color rgb="FF000000"/>
      <name val="Agrofont"/>
      <family val="2"/>
    </font>
    <font>
      <sz val="9"/>
      <color rgb="FFFF0000"/>
      <name val="Agrofont"/>
      <family val="2"/>
    </font>
    <font>
      <sz val="9"/>
      <color theme="1"/>
      <name val="Agrofont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8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/>
    <xf numFmtId="0" fontId="9" fillId="0" borderId="0" xfId="0" applyFont="1"/>
    <xf numFmtId="0" fontId="17" fillId="5" borderId="6" xfId="0" applyFont="1" applyFill="1" applyBorder="1" applyAlignment="1">
      <alignment wrapText="1"/>
    </xf>
    <xf numFmtId="0" fontId="18" fillId="5" borderId="7" xfId="0" applyFont="1" applyFill="1" applyBorder="1" applyAlignment="1">
      <alignment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/>
    </xf>
    <xf numFmtId="0" fontId="16" fillId="4" borderId="8" xfId="0" applyFont="1" applyFill="1" applyBorder="1"/>
    <xf numFmtId="0" fontId="1" fillId="4" borderId="1" xfId="0" applyFont="1" applyFill="1" applyBorder="1" applyAlignment="1">
      <alignment horizontal="left"/>
    </xf>
    <xf numFmtId="3" fontId="15" fillId="4" borderId="1" xfId="0" applyNumberFormat="1" applyFont="1" applyFill="1" applyBorder="1" applyAlignment="1">
      <alignment horizontal="center" vertical="center"/>
    </xf>
    <xf numFmtId="9" fontId="15" fillId="4" borderId="1" xfId="0" applyNumberFormat="1" applyFont="1" applyFill="1" applyBorder="1" applyAlignment="1">
      <alignment horizontal="center"/>
    </xf>
    <xf numFmtId="0" fontId="15" fillId="4" borderId="0" xfId="0" applyFont="1" applyFill="1"/>
    <xf numFmtId="0" fontId="15" fillId="4" borderId="1" xfId="0" applyFont="1" applyFill="1" applyBorder="1" applyAlignment="1">
      <alignment horizontal="center"/>
    </xf>
    <xf numFmtId="3" fontId="15" fillId="4" borderId="16" xfId="0" applyNumberFormat="1" applyFont="1" applyFill="1" applyBorder="1" applyAlignment="1">
      <alignment horizontal="center"/>
    </xf>
    <xf numFmtId="0" fontId="15" fillId="4" borderId="3" xfId="0" applyFont="1" applyFill="1" applyBorder="1"/>
    <xf numFmtId="0" fontId="1" fillId="4" borderId="4" xfId="0" applyFont="1" applyFill="1" applyBorder="1"/>
    <xf numFmtId="3" fontId="15" fillId="4" borderId="4" xfId="0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/>
    </xf>
    <xf numFmtId="3" fontId="15" fillId="4" borderId="11" xfId="0" applyNumberFormat="1" applyFont="1" applyFill="1" applyBorder="1" applyAlignment="1">
      <alignment horizontal="center"/>
    </xf>
    <xf numFmtId="0" fontId="15" fillId="4" borderId="12" xfId="0" applyFont="1" applyFill="1" applyBorder="1"/>
    <xf numFmtId="0" fontId="1" fillId="4" borderId="15" xfId="0" applyFont="1" applyFill="1" applyBorder="1"/>
    <xf numFmtId="3" fontId="15" fillId="4" borderId="15" xfId="0" applyNumberFormat="1" applyFont="1" applyFill="1" applyBorder="1" applyAlignment="1">
      <alignment horizontal="center" vertical="center"/>
    </xf>
    <xf numFmtId="9" fontId="15" fillId="4" borderId="43" xfId="0" applyNumberFormat="1" applyFont="1" applyFill="1" applyBorder="1" applyAlignment="1">
      <alignment horizontal="center"/>
    </xf>
    <xf numFmtId="0" fontId="15" fillId="4" borderId="10" xfId="0" applyFont="1" applyFill="1" applyBorder="1"/>
    <xf numFmtId="0" fontId="1" fillId="4" borderId="14" xfId="0" applyFont="1" applyFill="1" applyBorder="1" applyAlignment="1">
      <alignment horizontal="right"/>
    </xf>
    <xf numFmtId="3" fontId="16" fillId="4" borderId="2" xfId="0" applyNumberFormat="1" applyFont="1" applyFill="1" applyBorder="1" applyAlignment="1">
      <alignment horizontal="center" vertical="center"/>
    </xf>
    <xf numFmtId="9" fontId="16" fillId="4" borderId="2" xfId="0" applyNumberFormat="1" applyFont="1" applyFill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3" fontId="10" fillId="4" borderId="13" xfId="0" applyNumberFormat="1" applyFont="1" applyFill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0" fontId="16" fillId="0" borderId="23" xfId="0" applyFont="1" applyBorder="1"/>
    <xf numFmtId="3" fontId="1" fillId="0" borderId="13" xfId="0" applyNumberFormat="1" applyFont="1" applyBorder="1" applyAlignment="1">
      <alignment horizontal="center"/>
    </xf>
    <xf numFmtId="3" fontId="12" fillId="4" borderId="24" xfId="0" applyNumberFormat="1" applyFont="1" applyFill="1" applyBorder="1" applyAlignment="1">
      <alignment horizontal="center"/>
    </xf>
    <xf numFmtId="0" fontId="18" fillId="5" borderId="32" xfId="0" applyFont="1" applyFill="1" applyBorder="1" applyAlignment="1">
      <alignment wrapText="1"/>
    </xf>
    <xf numFmtId="0" fontId="18" fillId="5" borderId="32" xfId="0" applyFont="1" applyFill="1" applyBorder="1" applyAlignment="1">
      <alignment horizontal="justify" vertical="center"/>
    </xf>
    <xf numFmtId="0" fontId="18" fillId="5" borderId="32" xfId="0" applyFont="1" applyFill="1" applyBorder="1" applyAlignment="1">
      <alignment horizontal="justify"/>
    </xf>
    <xf numFmtId="0" fontId="1" fillId="4" borderId="2" xfId="0" applyFont="1" applyFill="1" applyBorder="1"/>
    <xf numFmtId="3" fontId="15" fillId="4" borderId="2" xfId="0" applyNumberFormat="1" applyFont="1" applyFill="1" applyBorder="1" applyAlignment="1">
      <alignment horizontal="center" vertical="center"/>
    </xf>
    <xf numFmtId="0" fontId="16" fillId="4" borderId="14" xfId="0" applyFont="1" applyFill="1" applyBorder="1"/>
    <xf numFmtId="0" fontId="15" fillId="4" borderId="2" xfId="0" applyFont="1" applyFill="1" applyBorder="1" applyAlignment="1">
      <alignment horizontal="center"/>
    </xf>
    <xf numFmtId="3" fontId="15" fillId="4" borderId="9" xfId="0" applyNumberFormat="1" applyFont="1" applyFill="1" applyBorder="1" applyAlignment="1">
      <alignment horizontal="center"/>
    </xf>
    <xf numFmtId="3" fontId="2" fillId="4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right"/>
    </xf>
    <xf numFmtId="3" fontId="1" fillId="0" borderId="2" xfId="0" applyNumberFormat="1" applyFont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3" fontId="15" fillId="4" borderId="22" xfId="0" applyNumberFormat="1" applyFont="1" applyFill="1" applyBorder="1" applyAlignment="1">
      <alignment horizontal="center"/>
    </xf>
    <xf numFmtId="0" fontId="12" fillId="0" borderId="23" xfId="0" applyFont="1" applyBorder="1" applyAlignment="1">
      <alignment horizontal="center"/>
    </xf>
    <xf numFmtId="44" fontId="16" fillId="4" borderId="0" xfId="1" applyFont="1" applyFill="1" applyBorder="1" applyAlignment="1">
      <alignment horizontal="center"/>
    </xf>
    <xf numFmtId="0" fontId="21" fillId="5" borderId="32" xfId="0" applyFont="1" applyFill="1" applyBorder="1" applyAlignment="1">
      <alignment wrapText="1"/>
    </xf>
    <xf numFmtId="0" fontId="21" fillId="5" borderId="32" xfId="0" applyFont="1" applyFill="1" applyBorder="1" applyAlignment="1">
      <alignment horizontal="justify" vertical="center"/>
    </xf>
    <xf numFmtId="0" fontId="21" fillId="5" borderId="32" xfId="0" applyFont="1" applyFill="1" applyBorder="1" applyAlignment="1">
      <alignment horizontal="justify"/>
    </xf>
    <xf numFmtId="9" fontId="15" fillId="4" borderId="2" xfId="0" applyNumberFormat="1" applyFont="1" applyFill="1" applyBorder="1" applyAlignment="1">
      <alignment horizontal="center"/>
    </xf>
    <xf numFmtId="3" fontId="15" fillId="0" borderId="4" xfId="0" applyNumberFormat="1" applyFont="1" applyBorder="1" applyAlignment="1">
      <alignment horizontal="center"/>
    </xf>
    <xf numFmtId="9" fontId="15" fillId="4" borderId="4" xfId="0" applyNumberFormat="1" applyFont="1" applyFill="1" applyBorder="1" applyAlignment="1">
      <alignment horizontal="center"/>
    </xf>
    <xf numFmtId="9" fontId="15" fillId="4" borderId="15" xfId="0" applyNumberFormat="1" applyFont="1" applyFill="1" applyBorder="1" applyAlignment="1">
      <alignment horizontal="center"/>
    </xf>
    <xf numFmtId="0" fontId="18" fillId="6" borderId="32" xfId="0" applyFont="1" applyFill="1" applyBorder="1" applyAlignment="1">
      <alignment wrapText="1"/>
    </xf>
    <xf numFmtId="0" fontId="18" fillId="6" borderId="33" xfId="0" applyFont="1" applyFill="1" applyBorder="1" applyAlignment="1">
      <alignment horizontal="justify" vertical="center"/>
    </xf>
    <xf numFmtId="0" fontId="18" fillId="6" borderId="34" xfId="0" applyFont="1" applyFill="1" applyBorder="1" applyAlignment="1">
      <alignment horizontal="center" wrapText="1"/>
    </xf>
    <xf numFmtId="0" fontId="17" fillId="6" borderId="6" xfId="0" applyFont="1" applyFill="1" applyBorder="1" applyAlignment="1">
      <alignment wrapText="1"/>
    </xf>
    <xf numFmtId="0" fontId="18" fillId="6" borderId="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1" fillId="4" borderId="36" xfId="0" applyFont="1" applyFill="1" applyBorder="1"/>
    <xf numFmtId="3" fontId="0" fillId="4" borderId="36" xfId="0" applyNumberFormat="1" applyFill="1" applyBorder="1" applyAlignment="1">
      <alignment horizontal="center" vertical="center"/>
    </xf>
    <xf numFmtId="9" fontId="15" fillId="4" borderId="36" xfId="0" applyNumberFormat="1" applyFont="1" applyFill="1" applyBorder="1" applyAlignment="1">
      <alignment horizontal="center"/>
    </xf>
    <xf numFmtId="0" fontId="16" fillId="4" borderId="5" xfId="0" applyFont="1" applyFill="1" applyBorder="1"/>
    <xf numFmtId="0" fontId="15" fillId="4" borderId="23" xfId="0" applyFont="1" applyFill="1" applyBorder="1" applyAlignment="1">
      <alignment horizontal="center"/>
    </xf>
    <xf numFmtId="3" fontId="15" fillId="4" borderId="13" xfId="0" applyNumberFormat="1" applyFont="1" applyFill="1" applyBorder="1" applyAlignment="1">
      <alignment horizontal="center"/>
    </xf>
    <xf numFmtId="3" fontId="16" fillId="4" borderId="24" xfId="0" applyNumberFormat="1" applyFont="1" applyFill="1" applyBorder="1" applyAlignment="1">
      <alignment horizontal="center"/>
    </xf>
    <xf numFmtId="0" fontId="18" fillId="6" borderId="7" xfId="0" applyFont="1" applyFill="1" applyBorder="1" applyAlignment="1">
      <alignment wrapText="1"/>
    </xf>
    <xf numFmtId="0" fontId="18" fillId="6" borderId="27" xfId="0" applyFont="1" applyFill="1" applyBorder="1" applyAlignment="1">
      <alignment horizontal="justify" vertical="center"/>
    </xf>
    <xf numFmtId="0" fontId="18" fillId="6" borderId="46" xfId="0" applyFont="1" applyFill="1" applyBorder="1" applyAlignment="1">
      <alignment horizontal="center" wrapText="1"/>
    </xf>
    <xf numFmtId="0" fontId="16" fillId="4" borderId="19" xfId="0" applyFont="1" applyFill="1" applyBorder="1"/>
    <xf numFmtId="0" fontId="1" fillId="4" borderId="20" xfId="0" applyFont="1" applyFill="1" applyBorder="1"/>
    <xf numFmtId="0" fontId="0" fillId="4" borderId="20" xfId="0" applyFill="1" applyBorder="1" applyAlignment="1">
      <alignment horizontal="center" vertical="center"/>
    </xf>
    <xf numFmtId="9" fontId="15" fillId="4" borderId="20" xfId="0" applyNumberFormat="1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6" fillId="4" borderId="48" xfId="0" applyFont="1" applyFill="1" applyBorder="1" applyAlignment="1">
      <alignment horizontal="center"/>
    </xf>
    <xf numFmtId="0" fontId="18" fillId="6" borderId="28" xfId="0" applyFont="1" applyFill="1" applyBorder="1" applyAlignment="1">
      <alignment wrapText="1"/>
    </xf>
    <xf numFmtId="0" fontId="18" fillId="6" borderId="29" xfId="0" applyFont="1" applyFill="1" applyBorder="1" applyAlignment="1">
      <alignment horizontal="justify" vertical="center"/>
    </xf>
    <xf numFmtId="0" fontId="18" fillId="6" borderId="30" xfId="0" applyFont="1" applyFill="1" applyBorder="1" applyAlignment="1">
      <alignment horizontal="center" wrapText="1"/>
    </xf>
    <xf numFmtId="3" fontId="0" fillId="4" borderId="20" xfId="0" applyNumberFormat="1" applyFill="1" applyBorder="1" applyAlignment="1">
      <alignment horizontal="center" vertical="center"/>
    </xf>
    <xf numFmtId="0" fontId="8" fillId="2" borderId="40" xfId="0" applyFont="1" applyFill="1" applyBorder="1" applyAlignment="1">
      <alignment wrapText="1"/>
    </xf>
    <xf numFmtId="0" fontId="6" fillId="0" borderId="14" xfId="0" applyFont="1" applyBorder="1"/>
    <xf numFmtId="3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/>
    <xf numFmtId="0" fontId="6" fillId="0" borderId="3" xfId="0" applyFont="1" applyBorder="1"/>
    <xf numFmtId="3" fontId="0" fillId="0" borderId="4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" fontId="0" fillId="0" borderId="0" xfId="0" applyNumberFormat="1"/>
    <xf numFmtId="3" fontId="2" fillId="0" borderId="0" xfId="0" applyNumberFormat="1" applyFont="1"/>
    <xf numFmtId="3" fontId="6" fillId="0" borderId="3" xfId="0" applyNumberFormat="1" applyFont="1" applyBorder="1"/>
    <xf numFmtId="0" fontId="6" fillId="0" borderId="6" xfId="0" applyFont="1" applyBorder="1"/>
    <xf numFmtId="0" fontId="6" fillId="0" borderId="0" xfId="0" applyFont="1"/>
    <xf numFmtId="3" fontId="4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justify" shrinkToFit="1"/>
    </xf>
    <xf numFmtId="0" fontId="11" fillId="0" borderId="0" xfId="0" applyFont="1"/>
    <xf numFmtId="0" fontId="7" fillId="2" borderId="41" xfId="0" applyFont="1" applyFill="1" applyBorder="1" applyAlignment="1">
      <alignment horizontal="center" vertical="center" wrapText="1" shrinkToFit="1"/>
    </xf>
    <xf numFmtId="0" fontId="7" fillId="2" borderId="49" xfId="0" applyFont="1" applyFill="1" applyBorder="1" applyAlignment="1">
      <alignment horizontal="center" vertical="center" wrapText="1" shrinkToFit="1"/>
    </xf>
    <xf numFmtId="49" fontId="7" fillId="2" borderId="42" xfId="0" applyNumberFormat="1" applyFont="1" applyFill="1" applyBorder="1" applyAlignment="1">
      <alignment horizontal="center" vertical="center" wrapText="1" shrinkToFit="1"/>
    </xf>
    <xf numFmtId="0" fontId="16" fillId="4" borderId="51" xfId="0" applyFont="1" applyFill="1" applyBorder="1" applyAlignment="1">
      <alignment horizont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0" fontId="12" fillId="0" borderId="12" xfId="0" quotePrefix="1" applyFont="1" applyBorder="1" applyAlignment="1">
      <alignment horizontal="right"/>
    </xf>
    <xf numFmtId="0" fontId="15" fillId="4" borderId="0" xfId="0" applyFont="1" applyFill="1" applyBorder="1" applyAlignment="1">
      <alignment horizontal="center"/>
    </xf>
    <xf numFmtId="0" fontId="18" fillId="6" borderId="41" xfId="0" applyFont="1" applyFill="1" applyBorder="1" applyAlignment="1">
      <alignment horizontal="center" vertical="center"/>
    </xf>
    <xf numFmtId="0" fontId="18" fillId="6" borderId="42" xfId="0" applyFont="1" applyFill="1" applyBorder="1" applyAlignment="1">
      <alignment horizontal="center" vertical="center" wrapText="1"/>
    </xf>
    <xf numFmtId="3" fontId="16" fillId="4" borderId="21" xfId="0" applyNumberFormat="1" applyFont="1" applyFill="1" applyBorder="1" applyAlignment="1">
      <alignment horizontal="center"/>
    </xf>
    <xf numFmtId="3" fontId="15" fillId="4" borderId="4" xfId="0" applyNumberFormat="1" applyFont="1" applyFill="1" applyBorder="1" applyAlignment="1">
      <alignment horizontal="center"/>
    </xf>
    <xf numFmtId="0" fontId="17" fillId="6" borderId="40" xfId="0" applyFont="1" applyFill="1" applyBorder="1" applyAlignment="1">
      <alignment wrapText="1"/>
    </xf>
    <xf numFmtId="0" fontId="16" fillId="4" borderId="4" xfId="0" applyFont="1" applyFill="1" applyBorder="1" applyAlignment="1">
      <alignment horizontal="center" vertical="center"/>
    </xf>
    <xf numFmtId="0" fontId="15" fillId="4" borderId="0" xfId="0" applyFont="1" applyFill="1" applyBorder="1"/>
    <xf numFmtId="0" fontId="1" fillId="4" borderId="5" xfId="0" applyFont="1" applyFill="1" applyBorder="1" applyAlignment="1">
      <alignment horizontal="right"/>
    </xf>
    <xf numFmtId="3" fontId="16" fillId="4" borderId="43" xfId="0" applyNumberFormat="1" applyFont="1" applyFill="1" applyBorder="1" applyAlignment="1">
      <alignment horizontal="center" vertical="center"/>
    </xf>
    <xf numFmtId="9" fontId="16" fillId="4" borderId="43" xfId="0" applyNumberFormat="1" applyFont="1" applyFill="1" applyBorder="1" applyAlignment="1">
      <alignment horizontal="center"/>
    </xf>
    <xf numFmtId="3" fontId="12" fillId="0" borderId="44" xfId="0" applyNumberFormat="1" applyFont="1" applyBorder="1" applyAlignment="1">
      <alignment horizontal="center"/>
    </xf>
    <xf numFmtId="49" fontId="16" fillId="3" borderId="12" xfId="0" quotePrefix="1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3" fontId="1" fillId="0" borderId="43" xfId="0" applyNumberFormat="1" applyFont="1" applyBorder="1" applyAlignment="1">
      <alignment horizontal="center"/>
    </xf>
    <xf numFmtId="9" fontId="12" fillId="0" borderId="43" xfId="0" applyNumberFormat="1" applyFont="1" applyBorder="1" applyAlignment="1">
      <alignment horizontal="center"/>
    </xf>
    <xf numFmtId="0" fontId="25" fillId="0" borderId="14" xfId="0" applyFont="1" applyBorder="1" applyAlignment="1">
      <alignment horizontal="right"/>
    </xf>
    <xf numFmtId="3" fontId="26" fillId="0" borderId="2" xfId="0" applyNumberFormat="1" applyFont="1" applyBorder="1" applyAlignment="1">
      <alignment horizontal="center" vertical="center"/>
    </xf>
    <xf numFmtId="9" fontId="27" fillId="0" borderId="2" xfId="0" applyNumberFormat="1" applyFont="1" applyBorder="1" applyAlignment="1">
      <alignment horizontal="center"/>
    </xf>
    <xf numFmtId="3" fontId="26" fillId="0" borderId="9" xfId="0" applyNumberFormat="1" applyFont="1" applyBorder="1" applyAlignment="1">
      <alignment horizontal="center"/>
    </xf>
    <xf numFmtId="3" fontId="28" fillId="4" borderId="25" xfId="0" applyNumberFormat="1" applyFont="1" applyFill="1" applyBorder="1" applyAlignment="1">
      <alignment horizontal="center"/>
    </xf>
    <xf numFmtId="0" fontId="24" fillId="0" borderId="0" xfId="0" applyFont="1"/>
    <xf numFmtId="0" fontId="30" fillId="0" borderId="0" xfId="0" applyFont="1"/>
    <xf numFmtId="3" fontId="26" fillId="0" borderId="43" xfId="0" applyNumberFormat="1" applyFont="1" applyBorder="1" applyAlignment="1">
      <alignment horizontal="center" vertical="center"/>
    </xf>
    <xf numFmtId="9" fontId="27" fillId="0" borderId="43" xfId="0" applyNumberFormat="1" applyFont="1" applyBorder="1" applyAlignment="1">
      <alignment horizontal="center"/>
    </xf>
    <xf numFmtId="3" fontId="26" fillId="0" borderId="44" xfId="0" applyNumberFormat="1" applyFont="1" applyBorder="1" applyAlignment="1">
      <alignment horizontal="center"/>
    </xf>
    <xf numFmtId="0" fontId="15" fillId="0" borderId="52" xfId="0" applyFont="1" applyBorder="1"/>
    <xf numFmtId="0" fontId="15" fillId="0" borderId="52" xfId="0" applyFont="1" applyBorder="1" applyAlignment="1">
      <alignment vertical="center"/>
    </xf>
    <xf numFmtId="0" fontId="15" fillId="0" borderId="53" xfId="0" applyFont="1" applyBorder="1"/>
    <xf numFmtId="0" fontId="16" fillId="0" borderId="0" xfId="0" applyFont="1" applyBorder="1"/>
    <xf numFmtId="0" fontId="15" fillId="0" borderId="0" xfId="0" applyFont="1" applyBorder="1"/>
    <xf numFmtId="0" fontId="15" fillId="0" borderId="54" xfId="0" applyFont="1" applyBorder="1"/>
    <xf numFmtId="0" fontId="9" fillId="4" borderId="10" xfId="0" applyFont="1" applyFill="1" applyBorder="1"/>
    <xf numFmtId="0" fontId="16" fillId="4" borderId="0" xfId="0" applyFont="1" applyFill="1" applyBorder="1"/>
    <xf numFmtId="0" fontId="15" fillId="0" borderId="10" xfId="0" applyFont="1" applyBorder="1"/>
    <xf numFmtId="0" fontId="15" fillId="0" borderId="0" xfId="0" applyFont="1" applyBorder="1" applyAlignment="1">
      <alignment vertical="center"/>
    </xf>
    <xf numFmtId="0" fontId="19" fillId="4" borderId="0" xfId="0" applyFont="1" applyFill="1" applyBorder="1" applyAlignment="1">
      <alignment horizontal="justify"/>
    </xf>
    <xf numFmtId="0" fontId="4" fillId="0" borderId="54" xfId="0" applyFont="1" applyBorder="1"/>
    <xf numFmtId="0" fontId="10" fillId="4" borderId="0" xfId="0" applyFont="1" applyFill="1" applyBorder="1"/>
    <xf numFmtId="0" fontId="12" fillId="4" borderId="0" xfId="0" applyFont="1" applyFill="1" applyBorder="1"/>
    <xf numFmtId="0" fontId="16" fillId="4" borderId="0" xfId="0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center"/>
    </xf>
    <xf numFmtId="0" fontId="0" fillId="0" borderId="0" xfId="0" applyBorder="1"/>
    <xf numFmtId="3" fontId="1" fillId="0" borderId="0" xfId="0" applyNumberFormat="1" applyFont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7" fillId="5" borderId="55" xfId="0" applyFont="1" applyFill="1" applyBorder="1" applyAlignment="1">
      <alignment wrapText="1"/>
    </xf>
    <xf numFmtId="0" fontId="18" fillId="4" borderId="0" xfId="0" applyFont="1" applyFill="1" applyBorder="1" applyAlignment="1">
      <alignment horizontal="justify"/>
    </xf>
    <xf numFmtId="0" fontId="15" fillId="4" borderId="56" xfId="0" applyFont="1" applyFill="1" applyBorder="1"/>
    <xf numFmtId="0" fontId="2" fillId="4" borderId="0" xfId="0" applyFont="1" applyFill="1" applyBorder="1"/>
    <xf numFmtId="0" fontId="15" fillId="4" borderId="0" xfId="0" applyFont="1" applyFill="1" applyBorder="1" applyAlignment="1">
      <alignment vertical="center"/>
    </xf>
    <xf numFmtId="3" fontId="15" fillId="4" borderId="0" xfId="0" applyNumberFormat="1" applyFont="1" applyFill="1" applyBorder="1" applyAlignment="1">
      <alignment vertical="center"/>
    </xf>
    <xf numFmtId="0" fontId="20" fillId="5" borderId="55" xfId="0" applyFont="1" applyFill="1" applyBorder="1" applyAlignment="1">
      <alignment wrapText="1"/>
    </xf>
    <xf numFmtId="0" fontId="24" fillId="4" borderId="10" xfId="0" applyFont="1" applyFill="1" applyBorder="1"/>
    <xf numFmtId="0" fontId="24" fillId="4" borderId="0" xfId="0" applyFont="1" applyFill="1" applyBorder="1"/>
    <xf numFmtId="0" fontId="29" fillId="0" borderId="54" xfId="0" applyFont="1" applyBorder="1"/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7" fillId="6" borderId="55" xfId="0" applyFont="1" applyFill="1" applyBorder="1" applyAlignment="1">
      <alignment wrapText="1"/>
    </xf>
    <xf numFmtId="0" fontId="15" fillId="4" borderId="54" xfId="0" applyFont="1" applyFill="1" applyBorder="1"/>
    <xf numFmtId="0" fontId="16" fillId="4" borderId="57" xfId="0" applyFont="1" applyFill="1" applyBorder="1"/>
    <xf numFmtId="0" fontId="22" fillId="4" borderId="54" xfId="0" applyFont="1" applyFill="1" applyBorder="1" applyAlignment="1">
      <alignment horizontal="justify"/>
    </xf>
    <xf numFmtId="0" fontId="1" fillId="0" borderId="0" xfId="0" applyFont="1" applyBorder="1"/>
    <xf numFmtId="3" fontId="23" fillId="0" borderId="0" xfId="0" applyNumberFormat="1" applyFont="1" applyBorder="1" applyAlignment="1">
      <alignment horizontal="center"/>
    </xf>
    <xf numFmtId="0" fontId="4" fillId="4" borderId="54" xfId="0" applyFont="1" applyFill="1" applyBorder="1"/>
    <xf numFmtId="0" fontId="1" fillId="4" borderId="0" xfId="0" applyFont="1" applyFill="1" applyBorder="1"/>
    <xf numFmtId="0" fontId="16" fillId="4" borderId="10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17" fillId="6" borderId="58" xfId="0" applyFont="1" applyFill="1" applyBorder="1" applyAlignment="1">
      <alignment wrapText="1"/>
    </xf>
    <xf numFmtId="0" fontId="0" fillId="0" borderId="10" xfId="0" applyBorder="1"/>
    <xf numFmtId="0" fontId="0" fillId="0" borderId="54" xfId="0" applyBorder="1"/>
    <xf numFmtId="3" fontId="12" fillId="0" borderId="0" xfId="0" applyNumberFormat="1" applyFont="1" applyBorder="1" applyAlignment="1">
      <alignment horizontal="center"/>
    </xf>
    <xf numFmtId="0" fontId="0" fillId="0" borderId="26" xfId="0" applyBorder="1"/>
    <xf numFmtId="0" fontId="0" fillId="0" borderId="59" xfId="0" applyBorder="1"/>
    <xf numFmtId="0" fontId="0" fillId="0" borderId="60" xfId="0" applyBorder="1"/>
    <xf numFmtId="0" fontId="14" fillId="7" borderId="24" xfId="0" applyFont="1" applyFill="1" applyBorder="1"/>
    <xf numFmtId="0" fontId="12" fillId="0" borderId="52" xfId="0" applyFont="1" applyBorder="1"/>
    <xf numFmtId="0" fontId="12" fillId="0" borderId="0" xfId="0" applyFont="1" applyBorder="1"/>
    <xf numFmtId="0" fontId="10" fillId="0" borderId="0" xfId="0" applyFont="1" applyBorder="1"/>
    <xf numFmtId="3" fontId="10" fillId="0" borderId="16" xfId="0" applyNumberFormat="1" applyFont="1" applyBorder="1" applyAlignment="1">
      <alignment horizontal="center"/>
    </xf>
    <xf numFmtId="3" fontId="10" fillId="0" borderId="44" xfId="0" applyNumberFormat="1" applyFont="1" applyBorder="1" applyAlignment="1">
      <alignment horizontal="center"/>
    </xf>
    <xf numFmtId="3" fontId="10" fillId="0" borderId="3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5" xfId="0" applyNumberFormat="1" applyFont="1" applyBorder="1" applyAlignment="1">
      <alignment horizontal="center"/>
    </xf>
    <xf numFmtId="3" fontId="10" fillId="0" borderId="37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0" fillId="0" borderId="59" xfId="0" applyFont="1" applyBorder="1"/>
    <xf numFmtId="0" fontId="10" fillId="0" borderId="0" xfId="0" applyFont="1"/>
    <xf numFmtId="0" fontId="7" fillId="5" borderId="18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justify"/>
    </xf>
    <xf numFmtId="0" fontId="7" fillId="5" borderId="45" xfId="0" applyFont="1" applyFill="1" applyBorder="1" applyAlignment="1">
      <alignment horizontal="justify"/>
    </xf>
    <xf numFmtId="0" fontId="7" fillId="6" borderId="35" xfId="0" applyFont="1" applyFill="1" applyBorder="1" applyAlignment="1">
      <alignment horizontal="center" wrapText="1"/>
    </xf>
    <xf numFmtId="0" fontId="7" fillId="6" borderId="25" xfId="0" applyFont="1" applyFill="1" applyBorder="1" applyAlignment="1">
      <alignment horizontal="center" wrapText="1"/>
    </xf>
    <xf numFmtId="0" fontId="7" fillId="6" borderId="31" xfId="0" applyFont="1" applyFill="1" applyBorder="1" applyAlignment="1">
      <alignment horizontal="center" wrapText="1"/>
    </xf>
    <xf numFmtId="0" fontId="16" fillId="4" borderId="26" xfId="0" applyFont="1" applyFill="1" applyBorder="1" applyAlignment="1">
      <alignment horizontal="left"/>
    </xf>
    <xf numFmtId="0" fontId="16" fillId="4" borderId="50" xfId="0" applyFont="1" applyFill="1" applyBorder="1" applyAlignment="1">
      <alignment horizontal="left"/>
    </xf>
    <xf numFmtId="0" fontId="16" fillId="4" borderId="6" xfId="0" applyFont="1" applyFill="1" applyBorder="1" applyAlignment="1">
      <alignment horizontal="left"/>
    </xf>
    <xf numFmtId="0" fontId="16" fillId="4" borderId="20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6" fillId="0" borderId="1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2" fillId="4" borderId="17" xfId="0" applyFont="1" applyFill="1" applyBorder="1" applyAlignment="1">
      <alignment horizontal="left"/>
    </xf>
    <xf numFmtId="0" fontId="12" fillId="4" borderId="25" xfId="0" applyFont="1" applyFill="1" applyBorder="1" applyAlignment="1">
      <alignment horizontal="left"/>
    </xf>
    <xf numFmtId="44" fontId="16" fillId="4" borderId="17" xfId="1" applyFont="1" applyFill="1" applyBorder="1" applyAlignment="1">
      <alignment horizontal="left"/>
    </xf>
    <xf numFmtId="44" fontId="16" fillId="4" borderId="25" xfId="1" applyFont="1" applyFill="1" applyBorder="1" applyAlignment="1">
      <alignment horizontal="left"/>
    </xf>
    <xf numFmtId="0" fontId="28" fillId="4" borderId="6" xfId="0" applyFont="1" applyFill="1" applyBorder="1" applyAlignment="1">
      <alignment horizontal="left"/>
    </xf>
    <xf numFmtId="0" fontId="28" fillId="4" borderId="18" xfId="0" applyFont="1" applyFill="1" applyBorder="1" applyAlignment="1">
      <alignment horizontal="left"/>
    </xf>
    <xf numFmtId="0" fontId="16" fillId="4" borderId="17" xfId="0" applyFont="1" applyFill="1" applyBorder="1" applyAlignment="1">
      <alignment horizontal="left"/>
    </xf>
    <xf numFmtId="0" fontId="16" fillId="4" borderId="25" xfId="0" applyFont="1" applyFill="1" applyBorder="1" applyAlignment="1">
      <alignment horizontal="left"/>
    </xf>
    <xf numFmtId="0" fontId="16" fillId="4" borderId="47" xfId="0" applyFont="1" applyFill="1" applyBorder="1" applyAlignment="1">
      <alignment horizontal="left"/>
    </xf>
    <xf numFmtId="0" fontId="16" fillId="4" borderId="40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9" xfId="0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877728</xdr:colOff>
      <xdr:row>0</xdr:row>
      <xdr:rowOff>0</xdr:rowOff>
    </xdr:from>
    <xdr:to>
      <xdr:col>8</xdr:col>
      <xdr:colOff>1007746</xdr:colOff>
      <xdr:row>4</xdr:row>
      <xdr:rowOff>146686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D54DFF1-E574-544D-CDE5-0312388C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288" y="0"/>
          <a:ext cx="1120617" cy="857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0</xdr:row>
      <xdr:rowOff>85725</xdr:rowOff>
    </xdr:from>
    <xdr:to>
      <xdr:col>5</xdr:col>
      <xdr:colOff>952500</xdr:colOff>
      <xdr:row>3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9D5E1A5-FF9E-48AE-AFC0-FA301BD20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85725"/>
          <a:ext cx="9715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0632-3E5C-4B61-AC4F-B2396342ED14}">
  <sheetPr>
    <pageSetUpPr fitToPage="1"/>
  </sheetPr>
  <dimension ref="A1:K63"/>
  <sheetViews>
    <sheetView tabSelected="1" topLeftCell="A35" zoomScaleNormal="100" workbookViewId="0">
      <selection activeCell="C61" sqref="C61"/>
    </sheetView>
  </sheetViews>
  <sheetFormatPr defaultRowHeight="12.75" x14ac:dyDescent="0.2"/>
  <cols>
    <col min="1" max="1" width="38.140625" customWidth="1"/>
    <col min="2" max="2" width="18.7109375" customWidth="1"/>
    <col min="3" max="3" width="14.42578125" customWidth="1"/>
    <col min="4" max="4" width="17.7109375" customWidth="1"/>
    <col min="5" max="5" width="17.140625" style="205" customWidth="1"/>
    <col min="6" max="6" width="3.28515625" customWidth="1"/>
    <col min="7" max="7" width="35.7109375" customWidth="1"/>
    <col min="8" max="8" width="14.42578125" customWidth="1"/>
    <col min="9" max="9" width="16.42578125" customWidth="1"/>
  </cols>
  <sheetData>
    <row r="1" spans="1:11" ht="16.5" thickBot="1" x14ac:dyDescent="0.3">
      <c r="A1" s="191" t="s">
        <v>0</v>
      </c>
      <c r="B1" s="141"/>
      <c r="C1" s="142"/>
      <c r="D1" s="141"/>
      <c r="E1" s="192"/>
      <c r="F1" s="141"/>
      <c r="G1" s="141"/>
      <c r="H1" s="141"/>
      <c r="I1" s="141"/>
      <c r="J1" s="143"/>
      <c r="K1" s="2"/>
    </row>
    <row r="2" spans="1:11" x14ac:dyDescent="0.2">
      <c r="A2" s="217" t="s">
        <v>1</v>
      </c>
      <c r="B2" s="218"/>
      <c r="C2" s="218"/>
      <c r="D2" s="218"/>
      <c r="E2" s="218"/>
      <c r="F2" s="144"/>
      <c r="G2" s="144"/>
      <c r="H2" s="145"/>
      <c r="I2" s="145"/>
      <c r="J2" s="146"/>
      <c r="K2" s="2"/>
    </row>
    <row r="3" spans="1:11" x14ac:dyDescent="0.2">
      <c r="A3" s="147" t="s">
        <v>2</v>
      </c>
      <c r="B3" s="148"/>
      <c r="C3" s="148"/>
      <c r="D3" s="148"/>
      <c r="E3" s="193"/>
      <c r="F3" s="144"/>
      <c r="G3" s="144"/>
      <c r="H3" s="145"/>
      <c r="I3" s="145"/>
      <c r="J3" s="146"/>
      <c r="K3" s="2"/>
    </row>
    <row r="4" spans="1:11" x14ac:dyDescent="0.2">
      <c r="A4" s="147"/>
      <c r="B4" s="148"/>
      <c r="C4" s="148"/>
      <c r="D4" s="148"/>
      <c r="E4" s="193"/>
      <c r="F4" s="144"/>
      <c r="G4" s="144"/>
      <c r="H4" s="145"/>
      <c r="I4" s="145"/>
      <c r="J4" s="146"/>
      <c r="K4" s="2"/>
    </row>
    <row r="5" spans="1:11" x14ac:dyDescent="0.2">
      <c r="A5" s="147"/>
      <c r="B5" s="148"/>
      <c r="C5" s="148"/>
      <c r="D5" s="148"/>
      <c r="E5" s="193"/>
      <c r="F5" s="144"/>
      <c r="G5" s="144"/>
      <c r="H5" s="145"/>
      <c r="I5" s="145"/>
      <c r="J5" s="146"/>
      <c r="K5" s="2"/>
    </row>
    <row r="6" spans="1:11" ht="13.5" thickBot="1" x14ac:dyDescent="0.25">
      <c r="A6" s="149"/>
      <c r="B6" s="145"/>
      <c r="C6" s="150"/>
      <c r="D6" s="145"/>
      <c r="E6" s="194"/>
      <c r="F6" s="145"/>
      <c r="G6" s="145"/>
      <c r="H6" s="145"/>
      <c r="I6" s="145"/>
      <c r="J6" s="146"/>
      <c r="K6" s="2"/>
    </row>
    <row r="7" spans="1:11" ht="64.5" thickBot="1" x14ac:dyDescent="0.3">
      <c r="A7" s="4" t="s">
        <v>3</v>
      </c>
      <c r="B7" s="5" t="s">
        <v>4</v>
      </c>
      <c r="C7" s="6" t="s">
        <v>5</v>
      </c>
      <c r="D7" s="6" t="s">
        <v>6</v>
      </c>
      <c r="E7" s="206" t="s">
        <v>7</v>
      </c>
      <c r="F7" s="151"/>
      <c r="G7" s="4" t="s">
        <v>3</v>
      </c>
      <c r="H7" s="7" t="s">
        <v>8</v>
      </c>
      <c r="I7" s="6" t="s">
        <v>9</v>
      </c>
      <c r="J7" s="146"/>
      <c r="K7" s="2"/>
    </row>
    <row r="8" spans="1:11" x14ac:dyDescent="0.2">
      <c r="A8" s="8" t="s">
        <v>10</v>
      </c>
      <c r="B8" s="9" t="s">
        <v>11</v>
      </c>
      <c r="C8" s="10">
        <f>2880</f>
        <v>2880</v>
      </c>
      <c r="D8" s="11">
        <f>C8/C12</f>
        <v>5.168700646087581E-2</v>
      </c>
      <c r="E8" s="195">
        <f>C8*0.75</f>
        <v>2160</v>
      </c>
      <c r="F8" s="122"/>
      <c r="G8" s="228" t="s">
        <v>10</v>
      </c>
      <c r="H8" s="13" t="s">
        <v>12</v>
      </c>
      <c r="I8" s="14">
        <v>10000</v>
      </c>
      <c r="J8" s="146"/>
      <c r="K8" s="2"/>
    </row>
    <row r="9" spans="1:11" x14ac:dyDescent="0.2">
      <c r="A9" s="15"/>
      <c r="B9" s="16" t="s">
        <v>13</v>
      </c>
      <c r="C9" s="17">
        <f>7340</f>
        <v>7340</v>
      </c>
      <c r="D9" s="11">
        <f>C9/C12</f>
        <v>0.13173007896625988</v>
      </c>
      <c r="E9" s="195">
        <f>C9*0.75</f>
        <v>5505</v>
      </c>
      <c r="F9" s="122"/>
      <c r="G9" s="229"/>
      <c r="H9" s="18" t="s">
        <v>14</v>
      </c>
      <c r="I9" s="19">
        <v>10000</v>
      </c>
      <c r="J9" s="146"/>
      <c r="K9" s="2"/>
    </row>
    <row r="10" spans="1:11" x14ac:dyDescent="0.2">
      <c r="A10" s="15"/>
      <c r="B10" s="16" t="s">
        <v>15</v>
      </c>
      <c r="C10" s="17">
        <f>30680</f>
        <v>30680</v>
      </c>
      <c r="D10" s="11">
        <f>C10/C12</f>
        <v>0.55061019382627419</v>
      </c>
      <c r="E10" s="195">
        <f>C10*0.75</f>
        <v>23010</v>
      </c>
      <c r="F10" s="122"/>
      <c r="G10" s="229"/>
      <c r="H10" s="18" t="s">
        <v>16</v>
      </c>
      <c r="I10" s="19">
        <v>10000</v>
      </c>
      <c r="J10" s="146"/>
      <c r="K10" s="2"/>
    </row>
    <row r="11" spans="1:11" ht="13.5" thickBot="1" x14ac:dyDescent="0.25">
      <c r="A11" s="20"/>
      <c r="B11" s="21" t="s">
        <v>17</v>
      </c>
      <c r="C11" s="22">
        <f>14820</f>
        <v>14820</v>
      </c>
      <c r="D11" s="23">
        <f>C11/C12</f>
        <v>0.26597272074659012</v>
      </c>
      <c r="E11" s="196">
        <f>C11*0.75</f>
        <v>11115</v>
      </c>
      <c r="F11" s="122"/>
      <c r="G11" s="229"/>
      <c r="H11" s="18" t="s">
        <v>18</v>
      </c>
      <c r="I11" s="19">
        <v>5000</v>
      </c>
      <c r="J11" s="152"/>
      <c r="K11" s="2"/>
    </row>
    <row r="12" spans="1:11" ht="13.5" thickBot="1" x14ac:dyDescent="0.25">
      <c r="A12" s="24"/>
      <c r="B12" s="25" t="s">
        <v>19</v>
      </c>
      <c r="C12" s="26">
        <f>SUM(C8:C11)</f>
        <v>55720</v>
      </c>
      <c r="D12" s="27">
        <f>SUM(D8:D11)</f>
        <v>1</v>
      </c>
      <c r="E12" s="28">
        <v>41790</v>
      </c>
      <c r="F12" s="153"/>
      <c r="G12" s="230"/>
      <c r="H12" s="29" t="s">
        <v>20</v>
      </c>
      <c r="I12" s="30">
        <v>5000</v>
      </c>
      <c r="J12" s="152"/>
      <c r="K12" s="2"/>
    </row>
    <row r="13" spans="1:11" ht="13.5" thickBot="1" x14ac:dyDescent="0.25">
      <c r="A13" s="24"/>
      <c r="B13" s="123" t="s">
        <v>74</v>
      </c>
      <c r="C13" s="124">
        <f>0.1*C12</f>
        <v>5572</v>
      </c>
      <c r="D13" s="125"/>
      <c r="E13" s="126">
        <f>0.1*E12</f>
        <v>4179</v>
      </c>
      <c r="F13" s="154"/>
      <c r="G13" s="219" t="s">
        <v>21</v>
      </c>
      <c r="H13" s="220"/>
      <c r="I13" s="34">
        <v>40000</v>
      </c>
      <c r="J13" s="152"/>
      <c r="K13" s="2"/>
    </row>
    <row r="14" spans="1:11" ht="13.5" thickBot="1" x14ac:dyDescent="0.25">
      <c r="A14" s="24"/>
      <c r="B14" s="127" t="s">
        <v>69</v>
      </c>
      <c r="C14" s="31">
        <f>C12*0.9</f>
        <v>50148</v>
      </c>
      <c r="D14" s="32"/>
      <c r="E14" s="33">
        <f>E12-E13</f>
        <v>37611</v>
      </c>
      <c r="F14" s="148"/>
      <c r="G14" s="122"/>
      <c r="H14" s="155"/>
      <c r="I14" s="156"/>
      <c r="J14" s="152"/>
      <c r="K14" s="2"/>
    </row>
    <row r="15" spans="1:11" x14ac:dyDescent="0.2">
      <c r="A15" s="24"/>
      <c r="B15" s="157"/>
      <c r="C15" s="158"/>
      <c r="D15" s="144"/>
      <c r="E15" s="194"/>
      <c r="F15" s="148"/>
      <c r="G15" s="122"/>
      <c r="H15" s="155"/>
      <c r="I15" s="156"/>
      <c r="J15" s="152"/>
      <c r="K15" s="2"/>
    </row>
    <row r="16" spans="1:11" ht="13.5" thickBot="1" x14ac:dyDescent="0.25">
      <c r="A16" s="24"/>
      <c r="B16" s="145"/>
      <c r="C16" s="150"/>
      <c r="D16" s="145"/>
      <c r="E16" s="194"/>
      <c r="F16" s="148"/>
      <c r="G16" s="122"/>
      <c r="H16" s="155"/>
      <c r="I16" s="159"/>
      <c r="J16" s="152"/>
      <c r="K16" s="2"/>
    </row>
    <row r="17" spans="1:11" ht="64.5" thickBot="1" x14ac:dyDescent="0.3">
      <c r="A17" s="160" t="s">
        <v>3</v>
      </c>
      <c r="B17" s="35" t="s">
        <v>4</v>
      </c>
      <c r="C17" s="36" t="s">
        <v>5</v>
      </c>
      <c r="D17" s="37" t="s">
        <v>6</v>
      </c>
      <c r="E17" s="207" t="s">
        <v>7</v>
      </c>
      <c r="F17" s="161"/>
      <c r="G17" s="4" t="s">
        <v>3</v>
      </c>
      <c r="H17" s="7" t="s">
        <v>8</v>
      </c>
      <c r="I17" s="6" t="s">
        <v>9</v>
      </c>
      <c r="J17" s="146"/>
      <c r="K17" s="2"/>
    </row>
    <row r="18" spans="1:11" x14ac:dyDescent="0.2">
      <c r="A18" s="40" t="s">
        <v>22</v>
      </c>
      <c r="B18" s="38" t="s">
        <v>23</v>
      </c>
      <c r="C18" s="39">
        <f>35000*0.76</f>
        <v>26600</v>
      </c>
      <c r="D18" s="11">
        <f>C18/C22</f>
        <v>0.50330744895024448</v>
      </c>
      <c r="E18" s="197">
        <f>C18*0.75</f>
        <v>19950</v>
      </c>
      <c r="F18" s="122"/>
      <c r="G18" s="40" t="s">
        <v>22</v>
      </c>
      <c r="H18" s="41" t="s">
        <v>24</v>
      </c>
      <c r="I18" s="42">
        <v>10000</v>
      </c>
      <c r="J18" s="146"/>
      <c r="K18" s="2"/>
    </row>
    <row r="19" spans="1:11" x14ac:dyDescent="0.2">
      <c r="A19" s="15"/>
      <c r="B19" s="16" t="s">
        <v>25</v>
      </c>
      <c r="C19" s="17">
        <f>6980*0.76</f>
        <v>5304.8</v>
      </c>
      <c r="D19" s="11">
        <f>C19/C22</f>
        <v>0.10037388553350592</v>
      </c>
      <c r="E19" s="197">
        <f t="shared" ref="E19:E21" si="0">C19*0.75</f>
        <v>3978.6000000000004</v>
      </c>
      <c r="F19" s="122"/>
      <c r="G19" s="15"/>
      <c r="H19" s="18" t="s">
        <v>26</v>
      </c>
      <c r="I19" s="19">
        <v>10000</v>
      </c>
      <c r="J19" s="146"/>
      <c r="K19" s="2"/>
    </row>
    <row r="20" spans="1:11" x14ac:dyDescent="0.2">
      <c r="A20" s="15"/>
      <c r="B20" s="16" t="s">
        <v>27</v>
      </c>
      <c r="C20" s="43">
        <f>23510*0.76</f>
        <v>17867.599999999999</v>
      </c>
      <c r="D20" s="11">
        <f>C20/C22</f>
        <v>0.33807880356629277</v>
      </c>
      <c r="E20" s="197">
        <f t="shared" si="0"/>
        <v>13400.699999999999</v>
      </c>
      <c r="F20" s="122"/>
      <c r="G20" s="15"/>
      <c r="H20" s="18" t="s">
        <v>28</v>
      </c>
      <c r="I20" s="19">
        <v>7500</v>
      </c>
      <c r="J20" s="146"/>
      <c r="K20" s="2"/>
    </row>
    <row r="21" spans="1:11" ht="13.5" thickBot="1" x14ac:dyDescent="0.25">
      <c r="A21" s="162"/>
      <c r="B21" s="21" t="s">
        <v>29</v>
      </c>
      <c r="C21" s="22">
        <f>4050*0.76</f>
        <v>3078</v>
      </c>
      <c r="D21" s="23">
        <f>C21/C22</f>
        <v>5.8239861949956867E-2</v>
      </c>
      <c r="E21" s="197">
        <f t="shared" si="0"/>
        <v>2308.5</v>
      </c>
      <c r="F21" s="122"/>
      <c r="G21" s="15"/>
      <c r="H21" s="18" t="s">
        <v>30</v>
      </c>
      <c r="I21" s="19">
        <v>2500</v>
      </c>
      <c r="J21" s="146"/>
      <c r="K21" s="2"/>
    </row>
    <row r="22" spans="1:11" ht="13.5" thickBot="1" x14ac:dyDescent="0.25">
      <c r="A22" s="24"/>
      <c r="B22" s="44" t="s">
        <v>19</v>
      </c>
      <c r="C22" s="45">
        <f>SUM(C18:C21)</f>
        <v>52850.399999999994</v>
      </c>
      <c r="D22" s="46">
        <f>SUM(D18:D21)</f>
        <v>1</v>
      </c>
      <c r="E22" s="28">
        <f>SUM(E18:E21)</f>
        <v>39637.799999999996</v>
      </c>
      <c r="F22" s="163"/>
      <c r="G22" s="15"/>
      <c r="H22" s="18" t="s">
        <v>31</v>
      </c>
      <c r="I22" s="47">
        <v>2500</v>
      </c>
      <c r="J22" s="146"/>
      <c r="K22" s="2"/>
    </row>
    <row r="23" spans="1:11" ht="13.5" thickBot="1" x14ac:dyDescent="0.25">
      <c r="A23" s="24"/>
      <c r="B23" s="128" t="s">
        <v>73</v>
      </c>
      <c r="C23" s="129">
        <f>0.15*C22</f>
        <v>7927.5599999999986</v>
      </c>
      <c r="D23" s="130"/>
      <c r="E23" s="126">
        <f>0.15*E22</f>
        <v>5945.6699999999992</v>
      </c>
      <c r="F23" s="122"/>
      <c r="G23" s="221" t="s">
        <v>21</v>
      </c>
      <c r="H23" s="222"/>
      <c r="I23" s="34">
        <f>SUM(I18:I22)</f>
        <v>32500</v>
      </c>
      <c r="J23" s="152"/>
      <c r="K23" s="2"/>
    </row>
    <row r="24" spans="1:11" ht="13.5" thickBot="1" x14ac:dyDescent="0.25">
      <c r="A24" s="24"/>
      <c r="B24" s="114" t="s">
        <v>69</v>
      </c>
      <c r="C24" s="31">
        <f>C22-C23</f>
        <v>44922.84</v>
      </c>
      <c r="D24" s="48"/>
      <c r="E24" s="33">
        <f>E22-E23</f>
        <v>33692.129999999997</v>
      </c>
      <c r="F24" s="122"/>
      <c r="G24" s="49"/>
      <c r="H24" s="49"/>
      <c r="I24" s="156"/>
      <c r="J24" s="152"/>
      <c r="K24" s="2"/>
    </row>
    <row r="25" spans="1:11" x14ac:dyDescent="0.2">
      <c r="A25" s="24"/>
      <c r="B25" s="122"/>
      <c r="C25" s="164"/>
      <c r="D25" s="122"/>
      <c r="E25" s="194"/>
      <c r="F25" s="122"/>
      <c r="G25" s="49"/>
      <c r="H25" s="49"/>
      <c r="I25" s="156"/>
      <c r="J25" s="152"/>
      <c r="K25" s="2"/>
    </row>
    <row r="26" spans="1:11" ht="13.5" thickBot="1" x14ac:dyDescent="0.25">
      <c r="A26" s="24"/>
      <c r="B26" s="122"/>
      <c r="C26" s="165"/>
      <c r="D26" s="122"/>
      <c r="E26" s="194"/>
      <c r="F26" s="122"/>
      <c r="G26" s="122"/>
      <c r="H26" s="155"/>
      <c r="I26" s="115"/>
      <c r="J26" s="152"/>
      <c r="K26" s="2"/>
    </row>
    <row r="27" spans="1:11" ht="64.5" thickBot="1" x14ac:dyDescent="0.3">
      <c r="A27" s="166" t="s">
        <v>3</v>
      </c>
      <c r="B27" s="50" t="s">
        <v>4</v>
      </c>
      <c r="C27" s="51" t="s">
        <v>5</v>
      </c>
      <c r="D27" s="52" t="s">
        <v>6</v>
      </c>
      <c r="E27" s="208" t="s">
        <v>7</v>
      </c>
      <c r="F27" s="161"/>
      <c r="G27" s="4" t="s">
        <v>3</v>
      </c>
      <c r="H27" s="7" t="s">
        <v>8</v>
      </c>
      <c r="I27" s="6" t="s">
        <v>9</v>
      </c>
      <c r="J27" s="146"/>
      <c r="K27" s="2"/>
    </row>
    <row r="28" spans="1:11" x14ac:dyDescent="0.2">
      <c r="A28" s="40" t="s">
        <v>32</v>
      </c>
      <c r="B28" s="38" t="s">
        <v>33</v>
      </c>
      <c r="C28" s="39">
        <f>5900*0.88</f>
        <v>5192</v>
      </c>
      <c r="D28" s="53">
        <v>0.15</v>
      </c>
      <c r="E28" s="198">
        <f>C28*0.75</f>
        <v>3894</v>
      </c>
      <c r="F28" s="122"/>
      <c r="G28" s="40" t="s">
        <v>32</v>
      </c>
      <c r="H28" s="41" t="s">
        <v>34</v>
      </c>
      <c r="I28" s="42">
        <v>10000</v>
      </c>
      <c r="J28" s="146"/>
      <c r="K28" s="2"/>
    </row>
    <row r="29" spans="1:11" x14ac:dyDescent="0.2">
      <c r="A29" s="15"/>
      <c r="B29" s="16" t="s">
        <v>35</v>
      </c>
      <c r="C29" s="17">
        <f>21610*0.88</f>
        <v>19016.8</v>
      </c>
      <c r="D29" s="55">
        <v>0.56000000000000005</v>
      </c>
      <c r="E29" s="198">
        <f t="shared" ref="E29:E31" si="1">C29*0.75</f>
        <v>14262.599999999999</v>
      </c>
      <c r="F29" s="122"/>
      <c r="G29" s="15"/>
      <c r="H29" s="18" t="s">
        <v>36</v>
      </c>
      <c r="I29" s="19">
        <v>5000</v>
      </c>
      <c r="J29" s="152"/>
      <c r="K29" s="2"/>
    </row>
    <row r="30" spans="1:11" x14ac:dyDescent="0.2">
      <c r="A30" s="15"/>
      <c r="B30" s="16" t="s">
        <v>37</v>
      </c>
      <c r="C30" s="17">
        <f>7080*0.88</f>
        <v>6230.4</v>
      </c>
      <c r="D30" s="55">
        <v>0.19</v>
      </c>
      <c r="E30" s="198">
        <f t="shared" si="1"/>
        <v>4672.7999999999993</v>
      </c>
      <c r="F30" s="122"/>
      <c r="G30" s="15"/>
      <c r="H30" s="18" t="s">
        <v>38</v>
      </c>
      <c r="I30" s="19">
        <v>2500</v>
      </c>
      <c r="J30" s="152"/>
      <c r="K30" s="2"/>
    </row>
    <row r="31" spans="1:11" ht="13.5" thickBot="1" x14ac:dyDescent="0.25">
      <c r="A31" s="162"/>
      <c r="B31" s="21" t="s">
        <v>39</v>
      </c>
      <c r="C31" s="22">
        <f>3660*0.88</f>
        <v>3220.8</v>
      </c>
      <c r="D31" s="56">
        <v>0.1</v>
      </c>
      <c r="E31" s="199">
        <f t="shared" si="1"/>
        <v>2415.6000000000004</v>
      </c>
      <c r="F31" s="122"/>
      <c r="G31" s="15"/>
      <c r="H31" s="115" t="s">
        <v>70</v>
      </c>
      <c r="I31" s="19">
        <v>2500</v>
      </c>
      <c r="J31" s="152"/>
      <c r="K31" s="2"/>
    </row>
    <row r="32" spans="1:11" s="137" customFormat="1" thickBot="1" x14ac:dyDescent="0.25">
      <c r="A32" s="167"/>
      <c r="B32" s="131" t="s">
        <v>19</v>
      </c>
      <c r="C32" s="132">
        <f>SUM(C28:C31)</f>
        <v>33660</v>
      </c>
      <c r="D32" s="133">
        <v>1</v>
      </c>
      <c r="E32" s="134">
        <f>SUM(E28:E31)</f>
        <v>25245</v>
      </c>
      <c r="F32" s="168"/>
      <c r="G32" s="223" t="s">
        <v>21</v>
      </c>
      <c r="H32" s="224"/>
      <c r="I32" s="135">
        <v>20000</v>
      </c>
      <c r="J32" s="169"/>
      <c r="K32" s="136"/>
    </row>
    <row r="33" spans="1:11" ht="13.5" thickBot="1" x14ac:dyDescent="0.25">
      <c r="A33" s="167"/>
      <c r="B33" s="114" t="s">
        <v>73</v>
      </c>
      <c r="C33" s="138">
        <f>C32*0.15</f>
        <v>5049</v>
      </c>
      <c r="D33" s="139"/>
      <c r="E33" s="140">
        <f>0.15*E32</f>
        <v>3786.75</v>
      </c>
      <c r="F33" s="122"/>
      <c r="G33" s="122"/>
      <c r="H33" s="155"/>
      <c r="I33" s="159"/>
      <c r="J33" s="146"/>
      <c r="K33" s="2"/>
    </row>
    <row r="34" spans="1:11" ht="13.5" thickBot="1" x14ac:dyDescent="0.25">
      <c r="A34" s="24"/>
      <c r="B34" s="114" t="s">
        <v>69</v>
      </c>
      <c r="C34" s="31">
        <f>C32-C33</f>
        <v>28611</v>
      </c>
      <c r="D34" s="48"/>
      <c r="E34" s="33">
        <f>E32-E33</f>
        <v>21458.25</v>
      </c>
      <c r="F34" s="122"/>
      <c r="G34" s="122"/>
      <c r="H34" s="155"/>
      <c r="I34" s="159"/>
      <c r="J34" s="146"/>
      <c r="K34" s="2"/>
    </row>
    <row r="35" spans="1:11" ht="13.5" thickBot="1" x14ac:dyDescent="0.25">
      <c r="A35" s="24"/>
      <c r="B35" s="170"/>
      <c r="C35" s="158"/>
      <c r="D35" s="171"/>
      <c r="E35" s="158"/>
      <c r="F35" s="122"/>
      <c r="G35" s="122"/>
      <c r="H35" s="155"/>
      <c r="I35" s="159"/>
      <c r="J35" s="146"/>
      <c r="K35" s="2"/>
    </row>
    <row r="36" spans="1:11" ht="64.5" thickBot="1" x14ac:dyDescent="0.3">
      <c r="A36" s="172" t="s">
        <v>40</v>
      </c>
      <c r="B36" s="57" t="s">
        <v>4</v>
      </c>
      <c r="C36" s="58" t="s">
        <v>5</v>
      </c>
      <c r="D36" s="59" t="s">
        <v>41</v>
      </c>
      <c r="E36" s="209" t="s">
        <v>42</v>
      </c>
      <c r="F36" s="122"/>
      <c r="G36" s="60" t="s">
        <v>40</v>
      </c>
      <c r="H36" s="61" t="s">
        <v>8</v>
      </c>
      <c r="I36" s="62" t="s">
        <v>9</v>
      </c>
      <c r="J36" s="173"/>
      <c r="K36" s="12"/>
    </row>
    <row r="37" spans="1:11" ht="13.5" thickBot="1" x14ac:dyDescent="0.25">
      <c r="A37" s="174" t="s">
        <v>43</v>
      </c>
      <c r="B37" s="63" t="s">
        <v>44</v>
      </c>
      <c r="C37" s="64">
        <v>18500</v>
      </c>
      <c r="D37" s="65">
        <v>1</v>
      </c>
      <c r="E37" s="200">
        <f>C37*0.6</f>
        <v>11100</v>
      </c>
      <c r="F37" s="161"/>
      <c r="G37" s="66" t="s">
        <v>43</v>
      </c>
      <c r="H37" s="13" t="s">
        <v>45</v>
      </c>
      <c r="I37" s="14">
        <v>5000</v>
      </c>
      <c r="J37" s="175"/>
      <c r="K37" s="2"/>
    </row>
    <row r="38" spans="1:11" ht="13.5" thickBot="1" x14ac:dyDescent="0.25">
      <c r="A38" s="24"/>
      <c r="B38" s="176"/>
      <c r="C38" s="177"/>
      <c r="D38" s="145"/>
      <c r="E38" s="158"/>
      <c r="F38" s="122"/>
      <c r="G38" s="20"/>
      <c r="H38" s="67" t="s">
        <v>46</v>
      </c>
      <c r="I38" s="68">
        <v>5000</v>
      </c>
      <c r="J38" s="178"/>
      <c r="K38" s="2"/>
    </row>
    <row r="39" spans="1:11" ht="13.5" thickBot="1" x14ac:dyDescent="0.25">
      <c r="A39" s="149"/>
      <c r="B39" s="176"/>
      <c r="C39" s="150"/>
      <c r="D39" s="145"/>
      <c r="E39" s="194"/>
      <c r="F39" s="122"/>
      <c r="G39" s="225" t="s">
        <v>21</v>
      </c>
      <c r="H39" s="226"/>
      <c r="I39" s="69">
        <v>10000</v>
      </c>
      <c r="J39" s="173"/>
      <c r="K39" s="2"/>
    </row>
    <row r="40" spans="1:11" ht="13.5" thickBot="1" x14ac:dyDescent="0.25">
      <c r="A40" s="149"/>
      <c r="B40" s="179"/>
      <c r="C40" s="164"/>
      <c r="D40" s="122"/>
      <c r="E40" s="194"/>
      <c r="F40" s="122"/>
      <c r="G40" s="122"/>
      <c r="H40" s="115"/>
      <c r="I40" s="115"/>
      <c r="J40" s="173"/>
      <c r="K40" s="2"/>
    </row>
    <row r="41" spans="1:11" ht="64.5" thickBot="1" x14ac:dyDescent="0.3">
      <c r="A41" s="60" t="s">
        <v>40</v>
      </c>
      <c r="B41" s="70" t="s">
        <v>4</v>
      </c>
      <c r="C41" s="71" t="s">
        <v>5</v>
      </c>
      <c r="D41" s="72" t="s">
        <v>41</v>
      </c>
      <c r="E41" s="210" t="s">
        <v>7</v>
      </c>
      <c r="F41" s="122"/>
      <c r="G41" s="120" t="s">
        <v>40</v>
      </c>
      <c r="H41" s="61" t="s">
        <v>47</v>
      </c>
      <c r="I41" s="62" t="s">
        <v>9</v>
      </c>
      <c r="J41" s="173"/>
      <c r="K41" s="2"/>
    </row>
    <row r="42" spans="1:11" ht="13.5" thickBot="1" x14ac:dyDescent="0.25">
      <c r="A42" s="73" t="s">
        <v>48</v>
      </c>
      <c r="B42" s="74" t="s">
        <v>44</v>
      </c>
      <c r="C42" s="75">
        <v>0</v>
      </c>
      <c r="D42" s="76"/>
      <c r="E42" s="201">
        <v>0</v>
      </c>
      <c r="F42" s="161"/>
      <c r="G42" s="121" t="s">
        <v>48</v>
      </c>
      <c r="H42" s="41" t="s">
        <v>49</v>
      </c>
      <c r="I42" s="77">
        <v>0</v>
      </c>
      <c r="J42" s="173"/>
      <c r="K42" s="2"/>
    </row>
    <row r="43" spans="1:11" x14ac:dyDescent="0.2">
      <c r="A43" s="180"/>
      <c r="B43" s="179"/>
      <c r="C43" s="181"/>
      <c r="D43" s="115"/>
      <c r="E43" s="202"/>
      <c r="F43" s="122"/>
      <c r="G43" s="121"/>
      <c r="H43" s="18" t="s">
        <v>50</v>
      </c>
      <c r="I43" s="78">
        <v>0</v>
      </c>
      <c r="J43" s="152"/>
      <c r="K43" s="2"/>
    </row>
    <row r="44" spans="1:11" x14ac:dyDescent="0.2">
      <c r="A44" s="180"/>
      <c r="B44" s="179"/>
      <c r="C44" s="181"/>
      <c r="D44" s="115"/>
      <c r="E44" s="202"/>
      <c r="F44" s="122"/>
      <c r="G44" s="121"/>
      <c r="H44" s="18" t="s">
        <v>51</v>
      </c>
      <c r="I44" s="78">
        <v>0</v>
      </c>
      <c r="J44" s="152"/>
      <c r="K44" s="2"/>
    </row>
    <row r="45" spans="1:11" x14ac:dyDescent="0.2">
      <c r="A45" s="180"/>
      <c r="B45" s="179"/>
      <c r="C45" s="181"/>
      <c r="D45" s="115"/>
      <c r="E45" s="202"/>
      <c r="F45" s="122"/>
      <c r="G45" s="121"/>
      <c r="H45" s="79" t="s">
        <v>52</v>
      </c>
      <c r="I45" s="80">
        <v>0</v>
      </c>
      <c r="J45" s="152"/>
      <c r="K45" s="2"/>
    </row>
    <row r="46" spans="1:11" ht="13.5" thickBot="1" x14ac:dyDescent="0.25">
      <c r="A46" s="180"/>
      <c r="B46" s="179"/>
      <c r="C46" s="181"/>
      <c r="D46" s="115"/>
      <c r="E46" s="202"/>
      <c r="F46" s="122"/>
      <c r="G46" s="121"/>
      <c r="H46" s="67" t="s">
        <v>53</v>
      </c>
      <c r="I46" s="81">
        <v>0</v>
      </c>
      <c r="J46" s="152"/>
      <c r="K46" s="2"/>
    </row>
    <row r="47" spans="1:11" ht="13.5" thickBot="1" x14ac:dyDescent="0.25">
      <c r="A47" s="149"/>
      <c r="B47" s="176"/>
      <c r="C47" s="182"/>
      <c r="D47" s="145"/>
      <c r="E47" s="194"/>
      <c r="F47" s="122"/>
      <c r="G47" s="212" t="s">
        <v>21</v>
      </c>
      <c r="H47" s="227"/>
      <c r="I47" s="82">
        <v>0</v>
      </c>
      <c r="J47" s="152"/>
      <c r="K47" s="2"/>
    </row>
    <row r="48" spans="1:11" ht="13.5" thickBot="1" x14ac:dyDescent="0.25">
      <c r="A48" s="149"/>
      <c r="B48" s="176"/>
      <c r="C48" s="182"/>
      <c r="D48" s="145"/>
      <c r="E48" s="194"/>
      <c r="F48" s="122"/>
      <c r="G48" s="155"/>
      <c r="H48" s="155"/>
      <c r="I48" s="159"/>
      <c r="J48" s="152"/>
      <c r="K48" s="2"/>
    </row>
    <row r="49" spans="1:11" ht="64.5" thickBot="1" x14ac:dyDescent="0.3">
      <c r="A49" s="60" t="s">
        <v>40</v>
      </c>
      <c r="B49" s="70" t="s">
        <v>4</v>
      </c>
      <c r="C49" s="71" t="s">
        <v>5</v>
      </c>
      <c r="D49" s="72" t="s">
        <v>41</v>
      </c>
      <c r="E49" s="210" t="s">
        <v>7</v>
      </c>
      <c r="F49" s="122"/>
      <c r="G49" s="120" t="s">
        <v>40</v>
      </c>
      <c r="H49" s="61" t="s">
        <v>47</v>
      </c>
      <c r="I49" s="62" t="s">
        <v>9</v>
      </c>
      <c r="J49" s="152"/>
      <c r="K49" s="2"/>
    </row>
    <row r="50" spans="1:11" ht="13.5" thickBot="1" x14ac:dyDescent="0.25">
      <c r="A50" s="73" t="s">
        <v>54</v>
      </c>
      <c r="B50" s="74" t="s">
        <v>44</v>
      </c>
      <c r="C50" s="75">
        <v>0</v>
      </c>
      <c r="D50" s="76"/>
      <c r="E50" s="201">
        <v>0</v>
      </c>
      <c r="F50" s="161"/>
      <c r="G50" s="121" t="s">
        <v>54</v>
      </c>
      <c r="H50" s="41" t="s">
        <v>55</v>
      </c>
      <c r="I50" s="77">
        <v>0</v>
      </c>
      <c r="J50" s="152"/>
      <c r="K50" s="2"/>
    </row>
    <row r="51" spans="1:11" x14ac:dyDescent="0.2">
      <c r="A51" s="180"/>
      <c r="B51" s="179"/>
      <c r="C51" s="181"/>
      <c r="D51" s="115"/>
      <c r="E51" s="202"/>
      <c r="F51" s="122"/>
      <c r="G51" s="121"/>
      <c r="H51" s="18" t="s">
        <v>56</v>
      </c>
      <c r="I51" s="78">
        <v>0</v>
      </c>
      <c r="J51" s="152"/>
      <c r="K51" s="2"/>
    </row>
    <row r="52" spans="1:11" ht="13.5" thickBot="1" x14ac:dyDescent="0.25">
      <c r="A52" s="180"/>
      <c r="B52" s="179"/>
      <c r="C52" s="181"/>
      <c r="D52" s="115"/>
      <c r="E52" s="202"/>
      <c r="F52" s="122"/>
      <c r="G52" s="121"/>
      <c r="H52" s="79" t="s">
        <v>57</v>
      </c>
      <c r="I52" s="80">
        <v>0</v>
      </c>
      <c r="J52" s="152"/>
      <c r="K52" s="2"/>
    </row>
    <row r="53" spans="1:11" ht="13.5" thickBot="1" x14ac:dyDescent="0.25">
      <c r="A53" s="149"/>
      <c r="B53" s="176"/>
      <c r="C53" s="182"/>
      <c r="D53" s="145"/>
      <c r="E53" s="194"/>
      <c r="F53" s="122"/>
      <c r="G53" s="212" t="s">
        <v>21</v>
      </c>
      <c r="H53" s="213"/>
      <c r="I53" s="109">
        <v>0</v>
      </c>
      <c r="J53" s="152"/>
      <c r="K53" s="2"/>
    </row>
    <row r="54" spans="1:11" x14ac:dyDescent="0.2">
      <c r="A54" s="149"/>
      <c r="B54" s="176"/>
      <c r="C54" s="182"/>
      <c r="D54" s="145"/>
      <c r="E54" s="194"/>
      <c r="F54" s="122"/>
      <c r="G54" s="155"/>
      <c r="H54" s="155"/>
      <c r="I54" s="159"/>
      <c r="J54" s="152"/>
      <c r="K54" s="2"/>
    </row>
    <row r="55" spans="1:11" ht="13.5" thickBot="1" x14ac:dyDescent="0.25">
      <c r="A55" s="149"/>
      <c r="B55" s="176"/>
      <c r="C55" s="182"/>
      <c r="D55" s="145"/>
      <c r="E55" s="194"/>
      <c r="F55" s="122"/>
      <c r="G55" s="145"/>
      <c r="H55" s="145"/>
      <c r="I55" s="183"/>
      <c r="J55" s="152"/>
      <c r="K55" s="2"/>
    </row>
    <row r="56" spans="1:11" ht="64.5" thickBot="1" x14ac:dyDescent="0.3">
      <c r="A56" s="184" t="s">
        <v>40</v>
      </c>
      <c r="B56" s="83" t="s">
        <v>4</v>
      </c>
      <c r="C56" s="84" t="s">
        <v>5</v>
      </c>
      <c r="D56" s="85" t="s">
        <v>41</v>
      </c>
      <c r="E56" s="211" t="s">
        <v>7</v>
      </c>
      <c r="F56" s="122"/>
      <c r="G56" s="60" t="s">
        <v>40</v>
      </c>
      <c r="H56" s="116" t="s">
        <v>47</v>
      </c>
      <c r="I56" s="117" t="s">
        <v>9</v>
      </c>
      <c r="J56" s="152"/>
      <c r="K56" s="2"/>
    </row>
    <row r="57" spans="1:11" ht="13.5" thickBot="1" x14ac:dyDescent="0.25">
      <c r="A57" s="73" t="s">
        <v>58</v>
      </c>
      <c r="B57" s="74" t="s">
        <v>44</v>
      </c>
      <c r="C57" s="86">
        <v>3500</v>
      </c>
      <c r="D57" s="76"/>
      <c r="E57" s="203"/>
      <c r="F57" s="161"/>
      <c r="G57" s="66" t="s">
        <v>58</v>
      </c>
      <c r="H57" s="18" t="s">
        <v>59</v>
      </c>
      <c r="I57" s="119">
        <v>0</v>
      </c>
      <c r="J57" s="146"/>
      <c r="K57" s="2"/>
    </row>
    <row r="58" spans="1:11" ht="13.5" thickBot="1" x14ac:dyDescent="0.25">
      <c r="A58" s="149"/>
      <c r="B58" s="176"/>
      <c r="C58" s="182"/>
      <c r="D58" s="145"/>
      <c r="E58" s="194"/>
      <c r="F58" s="122"/>
      <c r="G58" s="66"/>
      <c r="H58" s="18" t="s">
        <v>71</v>
      </c>
      <c r="I58" s="119">
        <v>0</v>
      </c>
      <c r="J58" s="173"/>
      <c r="K58" s="2"/>
    </row>
    <row r="59" spans="1:11" ht="13.5" thickBot="1" x14ac:dyDescent="0.25">
      <c r="A59" s="149"/>
      <c r="B59" s="176"/>
      <c r="C59" s="182"/>
      <c r="D59" s="145"/>
      <c r="E59" s="194"/>
      <c r="F59" s="122"/>
      <c r="G59" s="214" t="s">
        <v>21</v>
      </c>
      <c r="H59" s="215"/>
      <c r="I59" s="118">
        <v>0</v>
      </c>
      <c r="J59" s="173"/>
      <c r="K59" s="2"/>
    </row>
    <row r="60" spans="1:11" x14ac:dyDescent="0.2">
      <c r="A60" s="185"/>
      <c r="B60" s="157"/>
      <c r="C60" s="157"/>
      <c r="D60" s="157"/>
      <c r="E60" s="194"/>
      <c r="F60" s="122"/>
      <c r="G60" s="145"/>
      <c r="H60" s="155"/>
      <c r="I60" s="159"/>
      <c r="J60" s="173"/>
      <c r="K60" s="2"/>
    </row>
    <row r="61" spans="1:11" x14ac:dyDescent="0.2">
      <c r="A61" s="185"/>
      <c r="B61" s="157"/>
      <c r="C61" s="157"/>
      <c r="D61" s="157"/>
      <c r="E61" s="194"/>
      <c r="F61" s="157"/>
      <c r="G61" s="157"/>
      <c r="H61" s="157"/>
      <c r="I61" s="157"/>
      <c r="J61" s="186"/>
    </row>
    <row r="62" spans="1:11" x14ac:dyDescent="0.2">
      <c r="A62" s="185"/>
      <c r="B62" s="157"/>
      <c r="C62" s="157"/>
      <c r="D62" s="157"/>
      <c r="E62" s="194"/>
      <c r="F62" s="157"/>
      <c r="G62" s="216" t="s">
        <v>60</v>
      </c>
      <c r="H62" s="216"/>
      <c r="I62" s="187">
        <f>I59+I53+I47+I39+I32+I23+I13</f>
        <v>102500</v>
      </c>
      <c r="J62" s="186"/>
    </row>
    <row r="63" spans="1:11" ht="13.5" thickBot="1" x14ac:dyDescent="0.25">
      <c r="A63" s="188"/>
      <c r="B63" s="189"/>
      <c r="C63" s="189"/>
      <c r="D63" s="189"/>
      <c r="E63" s="204"/>
      <c r="F63" s="189"/>
      <c r="G63" s="189"/>
      <c r="H63" s="189"/>
      <c r="I63" s="189"/>
      <c r="J63" s="190"/>
    </row>
  </sheetData>
  <mergeCells count="10">
    <mergeCell ref="G53:H53"/>
    <mergeCell ref="G59:H59"/>
    <mergeCell ref="G62:H62"/>
    <mergeCell ref="A2:E2"/>
    <mergeCell ref="G13:H13"/>
    <mergeCell ref="G23:H23"/>
    <mergeCell ref="G32:H32"/>
    <mergeCell ref="G39:H39"/>
    <mergeCell ref="G47:H47"/>
    <mergeCell ref="G8:G12"/>
  </mergeCells>
  <phoneticPr fontId="3" type="noConversion"/>
  <pageMargins left="0.78740157480314965" right="0.23622047244094491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53B8-818D-47FC-8985-8240382D8DD7}">
  <dimension ref="A1:G20"/>
  <sheetViews>
    <sheetView workbookViewId="0">
      <selection activeCell="H24" sqref="H24"/>
    </sheetView>
  </sheetViews>
  <sheetFormatPr defaultRowHeight="12.75" x14ac:dyDescent="0.2"/>
  <cols>
    <col min="1" max="1" width="32.42578125" customWidth="1"/>
    <col min="2" max="2" width="14.140625" bestFit="1" customWidth="1"/>
    <col min="3" max="3" width="16" customWidth="1"/>
    <col min="4" max="4" width="13.5703125" style="1" customWidth="1"/>
    <col min="5" max="5" width="15.42578125" style="1" customWidth="1"/>
    <col min="6" max="7" width="15" customWidth="1"/>
    <col min="8" max="8" width="16.85546875" customWidth="1"/>
    <col min="9" max="9" width="16.5703125" customWidth="1"/>
  </cols>
  <sheetData>
    <row r="1" spans="1:7" ht="21.75" customHeight="1" x14ac:dyDescent="0.25">
      <c r="A1" s="105" t="s">
        <v>61</v>
      </c>
    </row>
    <row r="2" spans="1:7" ht="21.75" customHeight="1" x14ac:dyDescent="0.2">
      <c r="A2" s="231" t="s">
        <v>1</v>
      </c>
      <c r="B2" s="232"/>
      <c r="C2" s="232"/>
      <c r="D2" s="232"/>
      <c r="E2" s="232"/>
      <c r="F2" s="232"/>
      <c r="G2" s="232"/>
    </row>
    <row r="3" spans="1:7" ht="21.75" customHeight="1" x14ac:dyDescent="0.2">
      <c r="A3" s="3" t="s">
        <v>62</v>
      </c>
      <c r="B3" s="101"/>
      <c r="C3" s="101"/>
      <c r="D3" s="101"/>
      <c r="E3" s="101"/>
      <c r="F3" s="101"/>
      <c r="G3" s="101"/>
    </row>
    <row r="4" spans="1:7" ht="16.5" customHeight="1" thickBot="1" x14ac:dyDescent="0.25"/>
    <row r="5" spans="1:7" ht="64.5" thickBot="1" x14ac:dyDescent="0.3">
      <c r="A5" s="87" t="s">
        <v>63</v>
      </c>
      <c r="B5" s="106" t="s">
        <v>5</v>
      </c>
      <c r="C5" s="106" t="s">
        <v>64</v>
      </c>
      <c r="D5" s="106" t="s">
        <v>65</v>
      </c>
      <c r="E5" s="107" t="s">
        <v>66</v>
      </c>
      <c r="F5" s="108" t="s">
        <v>67</v>
      </c>
      <c r="G5" s="104"/>
    </row>
    <row r="6" spans="1:7" ht="15" customHeight="1" x14ac:dyDescent="0.2">
      <c r="A6" s="88" t="s">
        <v>10</v>
      </c>
      <c r="B6" s="89">
        <f>'Bijlage 13, Oogstgebieden'!C14</f>
        <v>50148</v>
      </c>
      <c r="C6" s="89">
        <f>'Bijlage 13, Oogstgebieden'!I13</f>
        <v>40000</v>
      </c>
      <c r="D6" s="90">
        <f t="shared" ref="D6:D12" si="0">B6*1.5</f>
        <v>75222</v>
      </c>
      <c r="E6" s="90">
        <v>6</v>
      </c>
      <c r="F6" s="91">
        <f>E6*D6</f>
        <v>451332</v>
      </c>
      <c r="G6" s="92"/>
    </row>
    <row r="7" spans="1:7" ht="18" customHeight="1" x14ac:dyDescent="0.2">
      <c r="A7" s="93" t="s">
        <v>22</v>
      </c>
      <c r="B7" s="94">
        <f>'Bijlage 13, Oogstgebieden'!C24</f>
        <v>44922.84</v>
      </c>
      <c r="C7" s="94">
        <f>'Bijlage 13, Oogstgebieden'!I23</f>
        <v>32500</v>
      </c>
      <c r="D7" s="95">
        <f t="shared" si="0"/>
        <v>67384.259999999995</v>
      </c>
      <c r="E7" s="95">
        <v>6</v>
      </c>
      <c r="F7" s="96">
        <f t="shared" ref="F7:F12" si="1">E7*D7</f>
        <v>404305.55999999994</v>
      </c>
      <c r="G7" s="97"/>
    </row>
    <row r="8" spans="1:7" ht="15" customHeight="1" x14ac:dyDescent="0.2">
      <c r="A8" s="93" t="s">
        <v>32</v>
      </c>
      <c r="B8" s="94">
        <f>'Bijlage 13, Oogstgebieden'!C34</f>
        <v>28611</v>
      </c>
      <c r="C8" s="94">
        <f>'Bijlage 13, Oogstgebieden'!I32</f>
        <v>20000</v>
      </c>
      <c r="D8" s="95">
        <f t="shared" si="0"/>
        <v>42916.5</v>
      </c>
      <c r="E8" s="95">
        <v>6</v>
      </c>
      <c r="F8" s="96">
        <f t="shared" si="1"/>
        <v>257499</v>
      </c>
      <c r="G8" s="98"/>
    </row>
    <row r="9" spans="1:7" ht="15" customHeight="1" x14ac:dyDescent="0.2">
      <c r="A9" s="99" t="s">
        <v>43</v>
      </c>
      <c r="B9" s="110">
        <f>'Bijlage 13, Oogstgebieden'!C37</f>
        <v>18500</v>
      </c>
      <c r="C9" s="110">
        <f>'Bijlage 13, Oogstgebieden'!I39</f>
        <v>10000</v>
      </c>
      <c r="D9" s="54">
        <f t="shared" si="0"/>
        <v>27750</v>
      </c>
      <c r="E9" s="54">
        <v>6</v>
      </c>
      <c r="F9" s="111">
        <f t="shared" si="1"/>
        <v>166500</v>
      </c>
      <c r="G9" s="92"/>
    </row>
    <row r="10" spans="1:7" ht="15" customHeight="1" x14ac:dyDescent="0.2">
      <c r="A10" s="93" t="s">
        <v>68</v>
      </c>
      <c r="B10" s="110">
        <v>0</v>
      </c>
      <c r="C10" s="110">
        <f t="shared" ref="C10" si="2">B10*0.75</f>
        <v>0</v>
      </c>
      <c r="D10" s="54">
        <f t="shared" si="0"/>
        <v>0</v>
      </c>
      <c r="E10" s="54">
        <v>6</v>
      </c>
      <c r="F10" s="111">
        <f t="shared" si="1"/>
        <v>0</v>
      </c>
      <c r="G10" s="92"/>
    </row>
    <row r="11" spans="1:7" ht="15" customHeight="1" x14ac:dyDescent="0.2">
      <c r="A11" s="93" t="s">
        <v>72</v>
      </c>
      <c r="B11" s="110">
        <v>0</v>
      </c>
      <c r="C11" s="110">
        <v>0</v>
      </c>
      <c r="D11" s="54">
        <f t="shared" ref="D11" si="3">B11*1.5</f>
        <v>0</v>
      </c>
      <c r="E11" s="54">
        <v>6</v>
      </c>
      <c r="F11" s="111">
        <f t="shared" ref="F11" si="4">E11*D11</f>
        <v>0</v>
      </c>
      <c r="G11" s="92"/>
    </row>
    <row r="12" spans="1:7" ht="15" customHeight="1" thickBot="1" x14ac:dyDescent="0.25">
      <c r="A12" s="93" t="s">
        <v>58</v>
      </c>
      <c r="B12" s="110">
        <f>'Bijlage 13, Oogstgebieden'!C57</f>
        <v>3500</v>
      </c>
      <c r="C12" s="110">
        <f>'Bijlage 13, Oogstgebieden'!I59</f>
        <v>0</v>
      </c>
      <c r="D12" s="54">
        <f t="shared" si="0"/>
        <v>5250</v>
      </c>
      <c r="E12" s="54">
        <v>6</v>
      </c>
      <c r="F12" s="111">
        <f t="shared" si="1"/>
        <v>31500</v>
      </c>
      <c r="G12" s="92"/>
    </row>
    <row r="13" spans="1:7" ht="15" customHeight="1" thickBot="1" x14ac:dyDescent="0.25">
      <c r="A13" s="100" t="s">
        <v>69</v>
      </c>
      <c r="B13" s="112">
        <f>SUM(B6:B12)</f>
        <v>145681.84</v>
      </c>
      <c r="C13" s="112">
        <f>SUM(C6:C12)</f>
        <v>102500</v>
      </c>
      <c r="D13" s="112">
        <f>SUM(D6:D12)</f>
        <v>218522.76</v>
      </c>
      <c r="E13" s="112">
        <v>6</v>
      </c>
      <c r="F13" s="113">
        <f>SUM(F6:F12)</f>
        <v>1311136.56</v>
      </c>
      <c r="G13" s="92"/>
    </row>
    <row r="14" spans="1:7" ht="15" customHeight="1" x14ac:dyDescent="0.2">
      <c r="A14" s="101"/>
      <c r="B14" s="102"/>
      <c r="C14" s="102"/>
      <c r="D14" s="103"/>
      <c r="E14" s="103"/>
      <c r="F14" s="103"/>
      <c r="G14" s="92"/>
    </row>
    <row r="15" spans="1:7" ht="15" customHeight="1" x14ac:dyDescent="0.2">
      <c r="B15" s="1"/>
      <c r="C15" s="1"/>
      <c r="D15"/>
      <c r="E15"/>
      <c r="G15" s="92"/>
    </row>
    <row r="20" spans="1:1" x14ac:dyDescent="0.2">
      <c r="A20" s="101"/>
    </row>
  </sheetData>
  <mergeCells count="1">
    <mergeCell ref="A2:G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E64165025569419C8D69E340EC8D35" ma:contentTypeVersion="4" ma:contentTypeDescription="Een nieuw document maken." ma:contentTypeScope="" ma:versionID="982d7baa605159e3bfcf559641925a9d">
  <xsd:schema xmlns:xsd="http://www.w3.org/2001/XMLSchema" xmlns:xs="http://www.w3.org/2001/XMLSchema" xmlns:p="http://schemas.microsoft.com/office/2006/metadata/properties" xmlns:ns2="b3b754a1-418f-41b0-8b73-3407619c16dc" targetNamespace="http://schemas.microsoft.com/office/2006/metadata/properties" ma:root="true" ma:fieldsID="9a17734c52935b18512b924d6acf4221" ns2:_="">
    <xsd:import namespace="b3b754a1-418f-41b0-8b73-3407619c1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754a1-418f-41b0-8b73-3407619c16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EB3B09-761F-4142-ACA8-E99B4960A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26E19-DC8C-486F-ADE1-21C495C1D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754a1-418f-41b0-8b73-3407619c1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AD4F9-BF65-4501-825A-A918CD1726EB}">
  <ds:schemaRefs>
    <ds:schemaRef ds:uri="b3b754a1-418f-41b0-8b73-3407619c16dc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13, Oogstgebieden</vt:lpstr>
      <vt:lpstr>Bijlage 13a, omvang opdracht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Koten, Jorien van</dc:creator>
  <cp:keywords/>
  <dc:description/>
  <cp:lastModifiedBy>Riphagen, Herman</cp:lastModifiedBy>
  <cp:revision/>
  <dcterms:created xsi:type="dcterms:W3CDTF">2024-11-27T10:18:25Z</dcterms:created>
  <dcterms:modified xsi:type="dcterms:W3CDTF">2025-11-21T14:26:27Z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0x0101003CE64165025569419C8D69E340EC8D35</vt:lpwstr>
  </property>
</Properties>
</file>