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https://erasmusmc.sharepoint.com/sites/int_EAOperatiemicroscopen/Gedeelde documenten/General/Aanbesteding - voorbereiding/Algemeen - Offerteleidraad en DEF bijlagen/"/>
    </mc:Choice>
  </mc:AlternateContent>
  <xr:revisionPtr revIDLastSave="560" documentId="11_A25B0286AC57752DAD5756A947356CC927ED40E8" xr6:coauthVersionLast="47" xr6:coauthVersionMax="47" xr10:uidLastSave="{17F59598-47DF-40BD-90DD-C6BB1F2F00E8}"/>
  <bookViews>
    <workbookView xWindow="-120" yWindow="-120" windowWidth="29040" windowHeight="15840" xr2:uid="{00000000-000D-0000-FFFF-FFFF00000000}"/>
  </bookViews>
  <sheets>
    <sheet name="Voorbeeld Perceel 1" sheetId="2" r:id="rId1"/>
    <sheet name="Voorbeeld Perceel 2" sheetId="5" r:id="rId2"/>
    <sheet name="Voorbeeld Perceel 3" sheetId="6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6" l="1"/>
  <c r="D9" i="6"/>
  <c r="E9" i="6" s="1"/>
  <c r="G8" i="6"/>
  <c r="F8" i="6"/>
  <c r="E8" i="6"/>
  <c r="G7" i="6"/>
  <c r="F7" i="6"/>
  <c r="E7" i="6"/>
  <c r="G3" i="6"/>
  <c r="F3" i="6"/>
  <c r="E3" i="6"/>
  <c r="G10" i="5"/>
  <c r="D9" i="5"/>
  <c r="G9" i="5" s="1"/>
  <c r="G8" i="5"/>
  <c r="F8" i="5"/>
  <c r="E8" i="5"/>
  <c r="G7" i="5"/>
  <c r="F7" i="5"/>
  <c r="E7" i="5"/>
  <c r="G3" i="5"/>
  <c r="F3" i="5"/>
  <c r="E3" i="5"/>
  <c r="E3" i="2"/>
  <c r="D9" i="2"/>
  <c r="E9" i="2" s="1"/>
  <c r="G8" i="2"/>
  <c r="G7" i="2"/>
  <c r="F8" i="2"/>
  <c r="F7" i="2"/>
  <c r="E8" i="2"/>
  <c r="E7" i="2"/>
  <c r="E10" i="2"/>
  <c r="G3" i="2"/>
  <c r="F3" i="2"/>
  <c r="G9" i="2" l="1"/>
  <c r="F9" i="6"/>
  <c r="G9" i="6"/>
  <c r="G10" i="6"/>
  <c r="G12" i="6" s="1"/>
  <c r="E10" i="5"/>
  <c r="F10" i="5"/>
  <c r="G12" i="5"/>
  <c r="E12" i="6"/>
  <c r="F10" i="6"/>
  <c r="F12" i="6" s="1"/>
  <c r="E9" i="5"/>
  <c r="F9" i="5"/>
  <c r="F12" i="5" s="1"/>
  <c r="G10" i="2"/>
  <c r="G12" i="2" s="1"/>
  <c r="E12" i="2"/>
  <c r="F10" i="2"/>
  <c r="F9" i="2"/>
  <c r="E12" i="5" l="1"/>
  <c r="F12" i="2"/>
</calcChain>
</file>

<file path=xl/sharedStrings.xml><?xml version="1.0" encoding="utf-8"?>
<sst xmlns="http://schemas.openxmlformats.org/spreadsheetml/2006/main" count="63" uniqueCount="21">
  <si>
    <r>
      <t>Gunningscriterium</t>
    </r>
    <r>
      <rPr>
        <sz val="11"/>
        <color rgb="FFFFFFFF"/>
        <rFont val="Arial"/>
        <family val="2"/>
      </rPr>
      <t> </t>
    </r>
  </si>
  <si>
    <r>
      <t>Kwaliteit</t>
    </r>
    <r>
      <rPr>
        <sz val="11"/>
        <rFont val="Arial"/>
        <family val="2"/>
      </rPr>
      <t> </t>
    </r>
  </si>
  <si>
    <t>Knock-out criteria </t>
  </si>
  <si>
    <t>Programma van Wensen </t>
  </si>
  <si>
    <t>Duurzaamheid </t>
  </si>
  <si>
    <t>Gebruikerstest medisch specialisten </t>
  </si>
  <si>
    <r>
      <t>Prijs</t>
    </r>
    <r>
      <rPr>
        <sz val="11"/>
        <rFont val="Arial"/>
        <family val="2"/>
      </rPr>
      <t> </t>
    </r>
  </si>
  <si>
    <t>Inschrijver A</t>
  </si>
  <si>
    <t>Inschrijver B</t>
  </si>
  <si>
    <t>Inschrijver C</t>
  </si>
  <si>
    <t>Totaal</t>
  </si>
  <si>
    <t>Programma van Eisen / technische test</t>
  </si>
  <si>
    <t>Max te behalen punten</t>
  </si>
  <si>
    <t>Weging</t>
  </si>
  <si>
    <t>Gebruikerstest OK assistenten</t>
  </si>
  <si>
    <t>Inschrijver A heeft de beste inschrijving gedaan en krijgt de opdracht gegund.</t>
  </si>
  <si>
    <t>Inschrijver B heeft de beste inschrijving gedaan en krijgt de opdracht gegund.</t>
  </si>
  <si>
    <t>Inschrijver C heeft de beste inschrijving gedaan en krijgt de opdracht gegund.</t>
  </si>
  <si>
    <t>Voorbeeld Perceel 1</t>
  </si>
  <si>
    <t>Voorbeeld Perceel 2</t>
  </si>
  <si>
    <t>Voorbeeld Perceel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</si>
</sst>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1"/>
      <color rgb="FFFFFFFF"/>
      <name val="Arial"/>
      <family val="2"/>
    </font>
    <font>
      <b/>
      <sz val="11"/>
      <color rgb="FFFFFFFF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theme="1"/>
      <name val="Aptos Narrow"/>
      <family val="2"/>
      <scheme val="minor"/>
    </font>
    <font>
      <b/>
      <sz val="11"/>
      <color rgb="FF00B050"/>
      <name val="Aptos Narrow"/>
      <family val="2"/>
      <scheme val="minor"/>
    </font>
    <font>
      <b/>
      <sz val="11"/>
      <name val="Arial"/>
      <family val="2"/>
    </font>
    <font>
      <sz val="11"/>
      <color theme="1"/>
      <name val="Aptos Narrow"/>
      <family val="2"/>
      <scheme val="minor"/>
    </font>
    <font>
      <b/>
      <sz val="11"/>
      <color theme="0"/>
      <name val="Arial"/>
      <family val="2"/>
    </font>
    <font>
      <b/>
      <sz val="18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70C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59">
    <xf numFmtId="0" fontId="0" fillId="0" borderId="0" xfId="0"/>
    <xf numFmtId="0" fontId="4" fillId="2" borderId="4" xfId="0" applyFont="1" applyFill="1" applyBorder="1" applyAlignment="1">
      <alignment wrapText="1" readingOrder="1"/>
    </xf>
    <xf numFmtId="0" fontId="3" fillId="0" borderId="4" xfId="0" applyFont="1" applyBorder="1" applyAlignment="1">
      <alignment wrapText="1" readingOrder="1"/>
    </xf>
    <xf numFmtId="0" fontId="4" fillId="2" borderId="6" xfId="0" applyFont="1" applyFill="1" applyBorder="1" applyAlignment="1">
      <alignment wrapText="1" readingOrder="1"/>
    </xf>
    <xf numFmtId="0" fontId="4" fillId="2" borderId="9" xfId="0" applyFont="1" applyFill="1" applyBorder="1" applyAlignment="1">
      <alignment wrapText="1" readingOrder="1"/>
    </xf>
    <xf numFmtId="0" fontId="3" fillId="0" borderId="9" xfId="0" applyFont="1" applyBorder="1" applyAlignment="1">
      <alignment wrapText="1" readingOrder="1"/>
    </xf>
    <xf numFmtId="0" fontId="4" fillId="2" borderId="10" xfId="0" applyFont="1" applyFill="1" applyBorder="1" applyAlignment="1">
      <alignment wrapText="1" readingOrder="1"/>
    </xf>
    <xf numFmtId="0" fontId="3" fillId="0" borderId="5" xfId="0" applyFont="1" applyBorder="1" applyAlignment="1">
      <alignment horizontal="right" wrapText="1" readingOrder="1"/>
    </xf>
    <xf numFmtId="0" fontId="2" fillId="0" borderId="11" xfId="0" applyFont="1" applyFill="1" applyBorder="1" applyAlignment="1">
      <alignment wrapText="1" readingOrder="1"/>
    </xf>
    <xf numFmtId="0" fontId="2" fillId="0" borderId="12" xfId="0" applyFont="1" applyFill="1" applyBorder="1" applyAlignment="1">
      <alignment wrapText="1" readingOrder="1"/>
    </xf>
    <xf numFmtId="2" fontId="4" fillId="2" borderId="7" xfId="0" applyNumberFormat="1" applyFont="1" applyFill="1" applyBorder="1" applyAlignment="1">
      <alignment horizontal="right" wrapText="1" readingOrder="1"/>
    </xf>
    <xf numFmtId="0" fontId="2" fillId="0" borderId="13" xfId="0" applyFont="1" applyFill="1" applyBorder="1" applyAlignment="1">
      <alignment horizontal="right" wrapText="1" readingOrder="1"/>
    </xf>
    <xf numFmtId="0" fontId="2" fillId="0" borderId="14" xfId="0" applyFont="1" applyFill="1" applyBorder="1" applyAlignment="1">
      <alignment horizontal="right" wrapText="1" readingOrder="1"/>
    </xf>
    <xf numFmtId="9" fontId="4" fillId="2" borderId="5" xfId="0" applyNumberFormat="1" applyFont="1" applyFill="1" applyBorder="1" applyAlignment="1">
      <alignment horizontal="right" wrapText="1" readingOrder="1"/>
    </xf>
    <xf numFmtId="2" fontId="3" fillId="0" borderId="5" xfId="0" applyNumberFormat="1" applyFont="1" applyBorder="1" applyAlignment="1">
      <alignment horizontal="right" wrapText="1" readingOrder="1"/>
    </xf>
    <xf numFmtId="0" fontId="7" fillId="3" borderId="0" xfId="0" applyFont="1" applyFill="1" applyBorder="1" applyAlignment="1">
      <alignment wrapText="1" readingOrder="1"/>
    </xf>
    <xf numFmtId="0" fontId="5" fillId="3" borderId="0" xfId="0" applyFont="1" applyFill="1"/>
    <xf numFmtId="2" fontId="5" fillId="3" borderId="0" xfId="0" applyNumberFormat="1" applyFont="1" applyFill="1"/>
    <xf numFmtId="9" fontId="0" fillId="0" borderId="0" xfId="1" applyFont="1"/>
    <xf numFmtId="0" fontId="2" fillId="4" borderId="1" xfId="0" applyFont="1" applyFill="1" applyBorder="1" applyAlignment="1">
      <alignment wrapText="1" readingOrder="1"/>
    </xf>
    <xf numFmtId="0" fontId="4" fillId="5" borderId="6" xfId="0" applyFont="1" applyFill="1" applyBorder="1" applyAlignment="1">
      <alignment wrapText="1" readingOrder="1"/>
    </xf>
    <xf numFmtId="0" fontId="4" fillId="5" borderId="10" xfId="0" applyFont="1" applyFill="1" applyBorder="1" applyAlignment="1">
      <alignment wrapText="1" readingOrder="1"/>
    </xf>
    <xf numFmtId="2" fontId="4" fillId="5" borderId="7" xfId="0" applyNumberFormat="1" applyFont="1" applyFill="1" applyBorder="1" applyAlignment="1">
      <alignment horizontal="right" wrapText="1" readingOrder="1"/>
    </xf>
    <xf numFmtId="0" fontId="4" fillId="5" borderId="4" xfId="0" applyFont="1" applyFill="1" applyBorder="1" applyAlignment="1">
      <alignment wrapText="1" readingOrder="1"/>
    </xf>
    <xf numFmtId="0" fontId="4" fillId="5" borderId="9" xfId="0" applyFont="1" applyFill="1" applyBorder="1" applyAlignment="1">
      <alignment wrapText="1" readingOrder="1"/>
    </xf>
    <xf numFmtId="9" fontId="4" fillId="5" borderId="5" xfId="0" applyNumberFormat="1" applyFont="1" applyFill="1" applyBorder="1" applyAlignment="1">
      <alignment horizontal="right" wrapText="1" readingOrder="1"/>
    </xf>
    <xf numFmtId="0" fontId="7" fillId="5" borderId="0" xfId="0" applyFont="1" applyFill="1" applyBorder="1" applyAlignment="1">
      <alignment wrapText="1" readingOrder="1"/>
    </xf>
    <xf numFmtId="0" fontId="5" fillId="5" borderId="0" xfId="0" applyFont="1" applyFill="1"/>
    <xf numFmtId="2" fontId="5" fillId="5" borderId="0" xfId="0" applyNumberFormat="1" applyFont="1" applyFill="1"/>
    <xf numFmtId="2" fontId="6" fillId="5" borderId="0" xfId="0" applyNumberFormat="1" applyFont="1" applyFill="1"/>
    <xf numFmtId="0" fontId="2" fillId="6" borderId="1" xfId="0" applyFont="1" applyFill="1" applyBorder="1" applyAlignment="1">
      <alignment wrapText="1" readingOrder="1"/>
    </xf>
    <xf numFmtId="0" fontId="4" fillId="7" borderId="6" xfId="0" applyFont="1" applyFill="1" applyBorder="1" applyAlignment="1">
      <alignment wrapText="1" readingOrder="1"/>
    </xf>
    <xf numFmtId="0" fontId="4" fillId="7" borderId="10" xfId="0" applyFont="1" applyFill="1" applyBorder="1" applyAlignment="1">
      <alignment wrapText="1" readingOrder="1"/>
    </xf>
    <xf numFmtId="2" fontId="4" fillId="7" borderId="7" xfId="0" applyNumberFormat="1" applyFont="1" applyFill="1" applyBorder="1" applyAlignment="1">
      <alignment horizontal="right" wrapText="1" readingOrder="1"/>
    </xf>
    <xf numFmtId="0" fontId="4" fillId="7" borderId="4" xfId="0" applyFont="1" applyFill="1" applyBorder="1" applyAlignment="1">
      <alignment wrapText="1" readingOrder="1"/>
    </xf>
    <xf numFmtId="0" fontId="4" fillId="7" borderId="9" xfId="0" applyFont="1" applyFill="1" applyBorder="1" applyAlignment="1">
      <alignment wrapText="1" readingOrder="1"/>
    </xf>
    <xf numFmtId="9" fontId="4" fillId="7" borderId="5" xfId="0" applyNumberFormat="1" applyFont="1" applyFill="1" applyBorder="1" applyAlignment="1">
      <alignment horizontal="right" wrapText="1" readingOrder="1"/>
    </xf>
    <xf numFmtId="0" fontId="7" fillId="7" borderId="0" xfId="0" applyFont="1" applyFill="1" applyBorder="1" applyAlignment="1">
      <alignment wrapText="1" readingOrder="1"/>
    </xf>
    <xf numFmtId="0" fontId="5" fillId="7" borderId="0" xfId="0" applyFont="1" applyFill="1"/>
    <xf numFmtId="2" fontId="5" fillId="7" borderId="0" xfId="0" applyNumberFormat="1" applyFont="1" applyFill="1"/>
    <xf numFmtId="2" fontId="6" fillId="7" borderId="0" xfId="0" applyNumberFormat="1" applyFont="1" applyFill="1"/>
    <xf numFmtId="0" fontId="2" fillId="8" borderId="1" xfId="0" applyFont="1" applyFill="1" applyBorder="1" applyAlignment="1">
      <alignment wrapText="1" readingOrder="1"/>
    </xf>
    <xf numFmtId="0" fontId="0" fillId="3" borderId="0" xfId="0" applyFill="1"/>
    <xf numFmtId="0" fontId="2" fillId="8" borderId="8" xfId="0" applyFont="1" applyFill="1" applyBorder="1" applyAlignment="1">
      <alignment horizontal="left" vertical="center" wrapText="1" readingOrder="1"/>
    </xf>
    <xf numFmtId="0" fontId="9" fillId="8" borderId="9" xfId="0" applyFont="1" applyFill="1" applyBorder="1" applyAlignment="1">
      <alignment horizontal="left" vertical="center" wrapText="1" readingOrder="1"/>
    </xf>
    <xf numFmtId="0" fontId="2" fillId="8" borderId="2" xfId="0" applyFont="1" applyFill="1" applyBorder="1" applyAlignment="1">
      <alignment horizontal="left" vertical="center" wrapText="1" readingOrder="1"/>
    </xf>
    <xf numFmtId="0" fontId="2" fillId="8" borderId="3" xfId="0" applyFont="1" applyFill="1" applyBorder="1" applyAlignment="1">
      <alignment horizontal="left" vertical="center" wrapText="1" readingOrder="1"/>
    </xf>
    <xf numFmtId="0" fontId="2" fillId="6" borderId="8" xfId="0" applyFont="1" applyFill="1" applyBorder="1" applyAlignment="1">
      <alignment horizontal="left" vertical="center" wrapText="1" readingOrder="1"/>
    </xf>
    <xf numFmtId="0" fontId="2" fillId="6" borderId="2" xfId="0" applyFont="1" applyFill="1" applyBorder="1" applyAlignment="1">
      <alignment horizontal="left" vertical="center" wrapText="1" readingOrder="1"/>
    </xf>
    <xf numFmtId="0" fontId="2" fillId="6" borderId="3" xfId="0" applyFont="1" applyFill="1" applyBorder="1" applyAlignment="1">
      <alignment horizontal="left" vertical="center" wrapText="1" readingOrder="1"/>
    </xf>
    <xf numFmtId="0" fontId="2" fillId="4" borderId="8" xfId="0" applyFont="1" applyFill="1" applyBorder="1" applyAlignment="1">
      <alignment horizontal="left" vertical="center" wrapText="1" readingOrder="1"/>
    </xf>
    <xf numFmtId="0" fontId="2" fillId="4" borderId="2" xfId="0" applyFont="1" applyFill="1" applyBorder="1" applyAlignment="1">
      <alignment horizontal="left" vertical="center" wrapText="1" readingOrder="1"/>
    </xf>
    <xf numFmtId="0" fontId="2" fillId="4" borderId="3" xfId="0" applyFont="1" applyFill="1" applyBorder="1" applyAlignment="1">
      <alignment horizontal="left" vertical="center" wrapText="1" readingOrder="1"/>
    </xf>
    <xf numFmtId="0" fontId="10" fillId="3" borderId="0" xfId="0" applyFont="1" applyFill="1"/>
    <xf numFmtId="0" fontId="10" fillId="5" borderId="0" xfId="0" applyFont="1" applyFill="1"/>
    <xf numFmtId="0" fontId="10" fillId="7" borderId="0" xfId="0" applyFont="1" applyFill="1"/>
    <xf numFmtId="2" fontId="6" fillId="3" borderId="0" xfId="0" applyNumberFormat="1" applyFont="1" applyFill="1"/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F0D6D-1F3F-410A-92DC-B6CDA7E04986}">
  <dimension ref="B1:L14"/>
  <sheetViews>
    <sheetView tabSelected="1" workbookViewId="0">
      <selection activeCell="D7" sqref="D7"/>
    </sheetView>
  </sheetViews>
  <sheetFormatPr defaultRowHeight="15" x14ac:dyDescent="0.25"/>
  <cols>
    <col min="1" max="1" width="11.28515625" bestFit="1" customWidth="1"/>
    <col min="2" max="2" width="40.5703125" customWidth="1"/>
    <col min="3" max="4" width="18.140625" customWidth="1"/>
    <col min="5" max="7" width="19.5703125" bestFit="1" customWidth="1"/>
  </cols>
  <sheetData>
    <row r="1" spans="2:12" ht="24" x14ac:dyDescent="0.4">
      <c r="B1" s="53" t="s">
        <v>18</v>
      </c>
    </row>
    <row r="2" spans="2:12" ht="30" x14ac:dyDescent="0.25">
      <c r="B2" s="41" t="s">
        <v>0</v>
      </c>
      <c r="C2" s="43" t="s">
        <v>13</v>
      </c>
      <c r="D2" s="44" t="s">
        <v>12</v>
      </c>
      <c r="E2" s="45" t="s">
        <v>7</v>
      </c>
      <c r="F2" s="45" t="s">
        <v>8</v>
      </c>
      <c r="G2" s="46" t="s">
        <v>9</v>
      </c>
    </row>
    <row r="3" spans="2:12" x14ac:dyDescent="0.25">
      <c r="B3" s="3" t="s">
        <v>6</v>
      </c>
      <c r="C3" s="6">
        <v>35</v>
      </c>
      <c r="D3" s="6"/>
      <c r="E3" s="10">
        <f>(750000/750000)*$C$3</f>
        <v>35</v>
      </c>
      <c r="F3" s="10">
        <f>(750000/780000)*$C$3</f>
        <v>33.653846153846153</v>
      </c>
      <c r="G3" s="10">
        <f>(750000/850000)*$C$3</f>
        <v>30.882352941176471</v>
      </c>
    </row>
    <row r="4" spans="2:12" x14ac:dyDescent="0.25">
      <c r="B4" s="8"/>
      <c r="C4" s="9"/>
      <c r="D4" s="9"/>
      <c r="E4" s="11"/>
      <c r="F4" s="11"/>
      <c r="G4" s="12"/>
    </row>
    <row r="5" spans="2:12" x14ac:dyDescent="0.25">
      <c r="B5" s="1" t="s">
        <v>1</v>
      </c>
      <c r="C5" s="4">
        <v>65</v>
      </c>
      <c r="D5" s="42"/>
      <c r="E5" s="13"/>
      <c r="F5" s="13"/>
      <c r="G5" s="13"/>
    </row>
    <row r="6" spans="2:12" x14ac:dyDescent="0.25">
      <c r="B6" s="2" t="s">
        <v>11</v>
      </c>
      <c r="C6" s="7" t="s">
        <v>2</v>
      </c>
      <c r="D6" s="7" t="s">
        <v>2</v>
      </c>
      <c r="E6" s="7" t="s">
        <v>2</v>
      </c>
      <c r="F6" s="7" t="s">
        <v>2</v>
      </c>
      <c r="G6" s="7" t="s">
        <v>2</v>
      </c>
    </row>
    <row r="7" spans="2:12" x14ac:dyDescent="0.25">
      <c r="B7" s="2" t="s">
        <v>3</v>
      </c>
      <c r="C7" s="5">
        <v>20</v>
      </c>
      <c r="D7" s="5">
        <v>220</v>
      </c>
      <c r="E7" s="14">
        <f>(150/$D$7)*$C$7</f>
        <v>13.636363636363635</v>
      </c>
      <c r="F7" s="14">
        <f>(180/$D$7)*$C$7</f>
        <v>16.363636363636363</v>
      </c>
      <c r="G7" s="14">
        <f>(130/$D$7)*$C$7</f>
        <v>11.818181818181818</v>
      </c>
      <c r="L7" s="18"/>
    </row>
    <row r="8" spans="2:12" x14ac:dyDescent="0.25">
      <c r="B8" s="2" t="s">
        <v>4</v>
      </c>
      <c r="C8" s="5">
        <v>10</v>
      </c>
      <c r="D8" s="5">
        <v>1525</v>
      </c>
      <c r="E8" s="14">
        <f>(1000/$D$8)*$C$8</f>
        <v>6.5573770491803272</v>
      </c>
      <c r="F8" s="14">
        <f>(1100/$D$8)*$C$8</f>
        <v>7.2131147540983607</v>
      </c>
      <c r="G8" s="14">
        <f>(1200/$D$8)*$C$8</f>
        <v>7.8688524590163933</v>
      </c>
    </row>
    <row r="9" spans="2:12" x14ac:dyDescent="0.25">
      <c r="B9" s="2" t="s">
        <v>5</v>
      </c>
      <c r="C9" s="5">
        <v>25</v>
      </c>
      <c r="D9" s="5">
        <f>6*(3+3+3+5+3+2+3)</f>
        <v>132</v>
      </c>
      <c r="E9" s="14">
        <f>(110/$D$9)*$C$9</f>
        <v>20.833333333333336</v>
      </c>
      <c r="F9" s="14">
        <f>(70/$D$9)*$C$9</f>
        <v>13.257575757575758</v>
      </c>
      <c r="G9" s="14">
        <f>(90/$D$9)*$C$9</f>
        <v>17.045454545454543</v>
      </c>
    </row>
    <row r="10" spans="2:12" x14ac:dyDescent="0.25">
      <c r="B10" s="2" t="s">
        <v>14</v>
      </c>
      <c r="C10" s="5">
        <v>10</v>
      </c>
      <c r="D10" s="5">
        <v>78</v>
      </c>
      <c r="E10" s="14">
        <f>(60/$D$10)*$C$10</f>
        <v>7.6923076923076925</v>
      </c>
      <c r="F10" s="14">
        <f>(50/$D$10)*$C$10</f>
        <v>6.4102564102564106</v>
      </c>
      <c r="G10" s="14">
        <f>(40/$D$10)*$C$10</f>
        <v>5.1282051282051277</v>
      </c>
    </row>
    <row r="12" spans="2:12" x14ac:dyDescent="0.25">
      <c r="B12" s="15" t="s">
        <v>10</v>
      </c>
      <c r="C12" s="16"/>
      <c r="D12" s="16"/>
      <c r="E12" s="56">
        <f>E10+E9+E8+E7+E3</f>
        <v>83.71938171118498</v>
      </c>
      <c r="F12" s="17">
        <f>F10+F9+F8+F7+F3</f>
        <v>76.898429439413036</v>
      </c>
      <c r="G12" s="17">
        <f>G10+G9+G8+G7+G3</f>
        <v>72.743046892034357</v>
      </c>
    </row>
    <row r="13" spans="2:12" x14ac:dyDescent="0.25">
      <c r="B13" s="58" t="s">
        <v>15</v>
      </c>
      <c r="C13" s="58"/>
      <c r="D13" s="58"/>
      <c r="E13" s="58"/>
      <c r="F13" s="58"/>
      <c r="G13" s="58"/>
    </row>
    <row r="14" spans="2:12" x14ac:dyDescent="0.25">
      <c r="B14" s="57"/>
      <c r="C14" s="57"/>
      <c r="D14" s="57"/>
      <c r="E14" s="57"/>
      <c r="F14" s="57"/>
      <c r="G14" s="57"/>
    </row>
  </sheetData>
  <mergeCells count="1">
    <mergeCell ref="B13:G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39A36-42A4-491A-B329-5401EF026BA0}">
  <dimension ref="B1:G13"/>
  <sheetViews>
    <sheetView workbookViewId="0">
      <selection activeCell="F29" sqref="F29"/>
    </sheetView>
  </sheetViews>
  <sheetFormatPr defaultRowHeight="15" x14ac:dyDescent="0.25"/>
  <cols>
    <col min="1" max="1" width="11.28515625" bestFit="1" customWidth="1"/>
    <col min="2" max="2" width="40.5703125" customWidth="1"/>
    <col min="3" max="4" width="18.140625" customWidth="1"/>
    <col min="5" max="7" width="19.5703125" bestFit="1" customWidth="1"/>
  </cols>
  <sheetData>
    <row r="1" spans="2:7" ht="24" x14ac:dyDescent="0.4">
      <c r="B1" s="54" t="s">
        <v>19</v>
      </c>
    </row>
    <row r="2" spans="2:7" ht="30" x14ac:dyDescent="0.25">
      <c r="B2" s="19" t="s">
        <v>0</v>
      </c>
      <c r="C2" s="50" t="s">
        <v>13</v>
      </c>
      <c r="D2" s="50" t="s">
        <v>12</v>
      </c>
      <c r="E2" s="51" t="s">
        <v>7</v>
      </c>
      <c r="F2" s="51" t="s">
        <v>8</v>
      </c>
      <c r="G2" s="52" t="s">
        <v>9</v>
      </c>
    </row>
    <row r="3" spans="2:7" x14ac:dyDescent="0.25">
      <c r="B3" s="20" t="s">
        <v>6</v>
      </c>
      <c r="C3" s="21">
        <v>35</v>
      </c>
      <c r="D3" s="21"/>
      <c r="E3" s="22">
        <f>(90000/150000)*$C$3</f>
        <v>21</v>
      </c>
      <c r="F3" s="22">
        <f>(90000/90000)*$C$3</f>
        <v>35</v>
      </c>
      <c r="G3" s="22">
        <f>(90000/120000)*$C$3</f>
        <v>26.25</v>
      </c>
    </row>
    <row r="4" spans="2:7" x14ac:dyDescent="0.25">
      <c r="B4" s="8"/>
      <c r="C4" s="9"/>
      <c r="D4" s="9"/>
      <c r="E4" s="11"/>
      <c r="F4" s="11"/>
      <c r="G4" s="12"/>
    </row>
    <row r="5" spans="2:7" x14ac:dyDescent="0.25">
      <c r="B5" s="23" t="s">
        <v>1</v>
      </c>
      <c r="C5" s="24">
        <v>65</v>
      </c>
      <c r="D5" s="24"/>
      <c r="E5" s="25"/>
      <c r="F5" s="25"/>
      <c r="G5" s="25"/>
    </row>
    <row r="6" spans="2:7" x14ac:dyDescent="0.25">
      <c r="B6" s="2" t="s">
        <v>11</v>
      </c>
      <c r="C6" s="7" t="s">
        <v>2</v>
      </c>
      <c r="D6" s="7" t="s">
        <v>2</v>
      </c>
      <c r="E6" s="7" t="s">
        <v>2</v>
      </c>
      <c r="F6" s="7" t="s">
        <v>2</v>
      </c>
      <c r="G6" s="7" t="s">
        <v>2</v>
      </c>
    </row>
    <row r="7" spans="2:7" x14ac:dyDescent="0.25">
      <c r="B7" s="2" t="s">
        <v>3</v>
      </c>
      <c r="C7" s="5">
        <v>20</v>
      </c>
      <c r="D7" s="5">
        <v>190</v>
      </c>
      <c r="E7" s="14">
        <f>(120/$D$7)*$C$7</f>
        <v>12.631578947368421</v>
      </c>
      <c r="F7" s="14">
        <f>(100/$D$7)*$C$7</f>
        <v>10.526315789473683</v>
      </c>
      <c r="G7" s="14">
        <f>(110/$D$7)*$C$7</f>
        <v>11.578947368421053</v>
      </c>
    </row>
    <row r="8" spans="2:7" x14ac:dyDescent="0.25">
      <c r="B8" s="2" t="s">
        <v>4</v>
      </c>
      <c r="C8" s="5">
        <v>10</v>
      </c>
      <c r="D8" s="5">
        <v>1525</v>
      </c>
      <c r="E8" s="14">
        <f>(1100/$D$8)*$C$8</f>
        <v>7.2131147540983607</v>
      </c>
      <c r="F8" s="14">
        <f>(1200/$D$8)*$C$8</f>
        <v>7.8688524590163933</v>
      </c>
      <c r="G8" s="14">
        <f>(1300/$D$8)*$C$8</f>
        <v>8.524590163934425</v>
      </c>
    </row>
    <row r="9" spans="2:7" x14ac:dyDescent="0.25">
      <c r="B9" s="2" t="s">
        <v>5</v>
      </c>
      <c r="C9" s="5">
        <v>25</v>
      </c>
      <c r="D9" s="5">
        <f>6*(3+1+2+3+2)</f>
        <v>66</v>
      </c>
      <c r="E9" s="14">
        <f>(40/$D$9)*$C$9</f>
        <v>15.151515151515152</v>
      </c>
      <c r="F9" s="14">
        <f>(60/$D$9)*$C$9</f>
        <v>22.727272727272727</v>
      </c>
      <c r="G9" s="14">
        <f>(40/$D$9)*$C$9</f>
        <v>15.151515151515152</v>
      </c>
    </row>
    <row r="10" spans="2:7" x14ac:dyDescent="0.25">
      <c r="B10" s="2" t="s">
        <v>14</v>
      </c>
      <c r="C10" s="5">
        <v>10</v>
      </c>
      <c r="D10" s="5">
        <v>54</v>
      </c>
      <c r="E10" s="14">
        <f>(30/$D$10)*$C$10</f>
        <v>5.5555555555555554</v>
      </c>
      <c r="F10" s="14">
        <f>(42/$D$10)*$C$10</f>
        <v>7.7777777777777777</v>
      </c>
      <c r="G10" s="14">
        <f>(26/$D$10)*$C$10</f>
        <v>4.8148148148148149</v>
      </c>
    </row>
    <row r="12" spans="2:7" x14ac:dyDescent="0.25">
      <c r="B12" s="26" t="s">
        <v>10</v>
      </c>
      <c r="C12" s="27"/>
      <c r="D12" s="27"/>
      <c r="E12" s="28">
        <f>E10+E9+E8+E7+E3</f>
        <v>61.551764408537487</v>
      </c>
      <c r="F12" s="29">
        <f>F10+F9+F8+F7+F3</f>
        <v>83.900218753540585</v>
      </c>
      <c r="G12" s="28">
        <f>G10+G9+G8+G7+G3</f>
        <v>66.319867498685454</v>
      </c>
    </row>
    <row r="13" spans="2:7" x14ac:dyDescent="0.25">
      <c r="B13" s="58" t="s">
        <v>16</v>
      </c>
      <c r="C13" s="58"/>
      <c r="D13" s="58"/>
      <c r="E13" s="58"/>
      <c r="F13" s="58"/>
      <c r="G13" s="58"/>
    </row>
  </sheetData>
  <mergeCells count="1">
    <mergeCell ref="B13:G13"/>
  </mergeCells>
  <pageMargins left="0.7" right="0.7" top="0.75" bottom="0.75" header="0.3" footer="0.3"/>
  <pageSetup paperSize="9" orientation="portrait" r:id="rId1"/>
  <ignoredErrors>
    <ignoredError sqref="F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94160-1204-42FB-8025-EF548B54BA8A}">
  <dimension ref="B1:G13"/>
  <sheetViews>
    <sheetView workbookViewId="0">
      <selection activeCell="G22" sqref="G22"/>
    </sheetView>
  </sheetViews>
  <sheetFormatPr defaultRowHeight="15" x14ac:dyDescent="0.25"/>
  <cols>
    <col min="1" max="1" width="11.28515625" bestFit="1" customWidth="1"/>
    <col min="2" max="2" width="40.5703125" customWidth="1"/>
    <col min="3" max="4" width="18.140625" customWidth="1"/>
    <col min="5" max="7" width="19.5703125" bestFit="1" customWidth="1"/>
  </cols>
  <sheetData>
    <row r="1" spans="2:7" ht="24" x14ac:dyDescent="0.4">
      <c r="B1" s="55" t="s">
        <v>20</v>
      </c>
    </row>
    <row r="2" spans="2:7" ht="30" x14ac:dyDescent="0.25">
      <c r="B2" s="30" t="s">
        <v>0</v>
      </c>
      <c r="C2" s="47" t="s">
        <v>13</v>
      </c>
      <c r="D2" s="47" t="s">
        <v>12</v>
      </c>
      <c r="E2" s="48" t="s">
        <v>7</v>
      </c>
      <c r="F2" s="48" t="s">
        <v>8</v>
      </c>
      <c r="G2" s="49" t="s">
        <v>9</v>
      </c>
    </row>
    <row r="3" spans="2:7" x14ac:dyDescent="0.25">
      <c r="B3" s="31" t="s">
        <v>6</v>
      </c>
      <c r="C3" s="32">
        <v>35</v>
      </c>
      <c r="D3" s="32"/>
      <c r="E3" s="33">
        <f>(280000/280000)*$C$3</f>
        <v>35</v>
      </c>
      <c r="F3" s="33">
        <f>(280000/350000)*$C$3</f>
        <v>28</v>
      </c>
      <c r="G3" s="33">
        <f>(280000/310000)*$C$3</f>
        <v>31.612903225806452</v>
      </c>
    </row>
    <row r="4" spans="2:7" x14ac:dyDescent="0.25">
      <c r="B4" s="8"/>
      <c r="C4" s="9"/>
      <c r="D4" s="9"/>
      <c r="E4" s="11"/>
      <c r="F4" s="11"/>
      <c r="G4" s="12"/>
    </row>
    <row r="5" spans="2:7" x14ac:dyDescent="0.25">
      <c r="B5" s="34" t="s">
        <v>1</v>
      </c>
      <c r="C5" s="35">
        <v>65</v>
      </c>
      <c r="D5" s="35"/>
      <c r="E5" s="36"/>
      <c r="F5" s="36"/>
      <c r="G5" s="36"/>
    </row>
    <row r="6" spans="2:7" x14ac:dyDescent="0.25">
      <c r="B6" s="2" t="s">
        <v>11</v>
      </c>
      <c r="C6" s="7" t="s">
        <v>2</v>
      </c>
      <c r="D6" s="7" t="s">
        <v>2</v>
      </c>
      <c r="E6" s="7" t="s">
        <v>2</v>
      </c>
      <c r="F6" s="7" t="s">
        <v>2</v>
      </c>
      <c r="G6" s="7" t="s">
        <v>2</v>
      </c>
    </row>
    <row r="7" spans="2:7" x14ac:dyDescent="0.25">
      <c r="B7" s="2" t="s">
        <v>3</v>
      </c>
      <c r="C7" s="5">
        <v>20</v>
      </c>
      <c r="D7" s="5">
        <v>140</v>
      </c>
      <c r="E7" s="14">
        <f>(90/$D$7)*$C$7</f>
        <v>12.857142857142858</v>
      </c>
      <c r="F7" s="14">
        <f>(120/$D$7)*$C$7</f>
        <v>17.142857142857142</v>
      </c>
      <c r="G7" s="14">
        <f>(100/$D$7)*$C$7</f>
        <v>14.285714285714286</v>
      </c>
    </row>
    <row r="8" spans="2:7" x14ac:dyDescent="0.25">
      <c r="B8" s="2" t="s">
        <v>4</v>
      </c>
      <c r="C8" s="5">
        <v>10</v>
      </c>
      <c r="D8" s="5">
        <v>1525</v>
      </c>
      <c r="E8" s="14">
        <f>(1000/$D$8)*$C$8</f>
        <v>6.5573770491803272</v>
      </c>
      <c r="F8" s="14">
        <f>(1200/$D$8)*$C$8</f>
        <v>7.8688524590163933</v>
      </c>
      <c r="G8" s="14">
        <f>(1400/$D$8)*$C$8</f>
        <v>9.1803278688524586</v>
      </c>
    </row>
    <row r="9" spans="2:7" x14ac:dyDescent="0.25">
      <c r="B9" s="2" t="s">
        <v>5</v>
      </c>
      <c r="C9" s="5">
        <v>25</v>
      </c>
      <c r="D9" s="5">
        <f>6*(2+3+3+5+2)</f>
        <v>90</v>
      </c>
      <c r="E9" s="14">
        <f>(66/$D$9)*$C$9</f>
        <v>18.333333333333332</v>
      </c>
      <c r="F9" s="14">
        <f>(50/$D$9)*$C$9</f>
        <v>13.888888888888889</v>
      </c>
      <c r="G9" s="14">
        <f>(70/$D$9)*$C$9</f>
        <v>19.444444444444446</v>
      </c>
    </row>
    <row r="10" spans="2:7" x14ac:dyDescent="0.25">
      <c r="B10" s="2" t="s">
        <v>14</v>
      </c>
      <c r="C10" s="5">
        <v>10</v>
      </c>
      <c r="D10" s="5">
        <v>54</v>
      </c>
      <c r="E10" s="14">
        <f>(32/$D$10)*$C$10</f>
        <v>5.9259259259259256</v>
      </c>
      <c r="F10" s="14">
        <f>(30/$D$10)*$C$10</f>
        <v>5.5555555555555554</v>
      </c>
      <c r="G10" s="14">
        <f>(32/$D$10)*$C$10</f>
        <v>5.9259259259259256</v>
      </c>
    </row>
    <row r="12" spans="2:7" x14ac:dyDescent="0.25">
      <c r="B12" s="37" t="s">
        <v>10</v>
      </c>
      <c r="C12" s="38"/>
      <c r="D12" s="38"/>
      <c r="E12" s="39">
        <f>E10+E9+E8+E7+E3</f>
        <v>78.673779165582445</v>
      </c>
      <c r="F12" s="39">
        <f>F10+F9+F8+F7+F3</f>
        <v>72.456154046317977</v>
      </c>
      <c r="G12" s="40">
        <f>G10+G9+G8+G7+G3</f>
        <v>80.449315750743565</v>
      </c>
    </row>
    <row r="13" spans="2:7" x14ac:dyDescent="0.25">
      <c r="B13" s="58" t="s">
        <v>17</v>
      </c>
      <c r="C13" s="58"/>
      <c r="D13" s="58"/>
      <c r="E13" s="58"/>
      <c r="F13" s="58"/>
      <c r="G13" s="58"/>
    </row>
  </sheetData>
  <mergeCells count="1">
    <mergeCell ref="B13:G13"/>
  </mergeCells>
  <pageMargins left="0.7" right="0.7" top="0.75" bottom="0.75" header="0.3" footer="0.3"/>
  <pageSetup paperSize="9" orientation="portrait" r:id="rId1"/>
  <ignoredErrors>
    <ignoredError sqref="F10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1C64117068DD4D97BB1F9E7FBD483B" ma:contentTypeVersion="11" ma:contentTypeDescription="Een nieuw document maken." ma:contentTypeScope="" ma:versionID="073adb7befc874abfafacbaf4f83f73c">
  <xsd:schema xmlns:xsd="http://www.w3.org/2001/XMLSchema" xmlns:xs="http://www.w3.org/2001/XMLSchema" xmlns:p="http://schemas.microsoft.com/office/2006/metadata/properties" xmlns:ns2="96de6dcd-c286-43ad-8b82-df2f9fc1e1cf" xmlns:ns3="4c588324-0e9e-4799-a74b-b7d1d319ca98" targetNamespace="http://schemas.microsoft.com/office/2006/metadata/properties" ma:root="true" ma:fieldsID="fb4be5a52cb3d3b0cd358a322635fac2" ns2:_="" ns3:_="">
    <xsd:import namespace="96de6dcd-c286-43ad-8b82-df2f9fc1e1cf"/>
    <xsd:import namespace="4c588324-0e9e-4799-a74b-b7d1d319ca9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de6dcd-c286-43ad-8b82-df2f9fc1e1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e63458cd-ce2d-47d3-a8fb-aba961f6e9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588324-0e9e-4799-a74b-b7d1d319ca98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80d7ef3f-682f-4786-aa98-60d5c353586a}" ma:internalName="TaxCatchAll" ma:showField="CatchAllData" ma:web="4c588324-0e9e-4799-a74b-b7d1d319ca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c588324-0e9e-4799-a74b-b7d1d319ca98" xsi:nil="true"/>
    <lcf76f155ced4ddcb4097134ff3c332f xmlns="96de6dcd-c286-43ad-8b82-df2f9fc1e1c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D8D7E1F-D015-4267-A5C7-CB3D9945CA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de6dcd-c286-43ad-8b82-df2f9fc1e1cf"/>
    <ds:schemaRef ds:uri="4c588324-0e9e-4799-a74b-b7d1d319ca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09C954F-0472-4969-9918-656387BC7A5F}">
  <ds:schemaRefs>
    <ds:schemaRef ds:uri="http://schemas.microsoft.com/office/2006/metadata/properties"/>
    <ds:schemaRef ds:uri="http://schemas.microsoft.com/office/infopath/2007/PartnerControls"/>
    <ds:schemaRef ds:uri="4c588324-0e9e-4799-a74b-b7d1d319ca98"/>
    <ds:schemaRef ds:uri="96de6dcd-c286-43ad-8b82-df2f9fc1e1cf"/>
  </ds:schemaRefs>
</ds:datastoreItem>
</file>

<file path=customXml/itemProps3.xml><?xml version="1.0" encoding="utf-8"?>
<ds:datastoreItem xmlns:ds="http://schemas.openxmlformats.org/officeDocument/2006/customXml" ds:itemID="{2C15BBD0-B911-4425-8388-FABA898C135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Voorbeeld Perceel 1</vt:lpstr>
      <vt:lpstr>Voorbeeld Perceel 2</vt:lpstr>
      <vt:lpstr>Voorbeeld Perceel 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L. van Rijn</cp:lastModifiedBy>
  <cp:revision/>
  <dcterms:created xsi:type="dcterms:W3CDTF">2025-06-03T07:24:47Z</dcterms:created>
  <dcterms:modified xsi:type="dcterms:W3CDTF">2025-07-16T13:48:32Z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0x010100541C64117068DD4D97BB1F9E7FBD483B</vt:lpwstr>
  </property>
  <property fmtid="{D5CDD505-2E9C-101B-9397-08002B2CF9AE}" pid="3" name="MediaServiceImageTags">
    <vt:lpwstr/>
  </property>
</Properties>
</file>