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1591E086-55FF-49B9-834E-605A383BAC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 sub A" sheetId="1" r:id="rId1"/>
    <sheet name="specificatie sub C" sheetId="3" r:id="rId2"/>
  </sheets>
  <definedNames>
    <definedName name="_xlnm._FilterDatabase" localSheetId="0" hidden="1">'specificatie sub A'!$A$1:$N$35</definedName>
    <definedName name="_xlnm.Print_Area" localSheetId="0">'specificatie sub A'!$A$1:$N$39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H5" i="1"/>
  <c r="P31" i="1"/>
  <c r="M31" i="1" s="1"/>
  <c r="P33" i="1"/>
  <c r="M33" i="1" s="1"/>
  <c r="P18" i="1"/>
  <c r="M18" i="1" s="1"/>
  <c r="P29" i="1"/>
  <c r="M29" i="1" s="1"/>
  <c r="P26" i="1"/>
  <c r="M25" i="1"/>
  <c r="M26" i="1" s="1"/>
  <c r="M23" i="1"/>
  <c r="P24" i="1"/>
  <c r="M24" i="1" s="1"/>
  <c r="M21" i="1"/>
  <c r="P22" i="1"/>
  <c r="M19" i="1"/>
  <c r="P20" i="1"/>
  <c r="P14" i="1"/>
  <c r="M14" i="1" s="1"/>
  <c r="P16" i="1"/>
  <c r="M16" i="1" s="1"/>
  <c r="P5" i="1"/>
  <c r="M5" i="1" s="1"/>
  <c r="P35" i="1"/>
  <c r="M35" i="1" s="1"/>
  <c r="M12" i="1"/>
  <c r="P10" i="1"/>
  <c r="M10" i="1" s="1"/>
  <c r="M20" i="1" l="1"/>
  <c r="M22" i="1"/>
  <c r="G8" i="1"/>
  <c r="K8" i="1"/>
  <c r="M8" i="1"/>
  <c r="K10" i="1"/>
  <c r="G10" i="1"/>
  <c r="H13" i="1"/>
  <c r="J13" i="1" s="1"/>
  <c r="L13" i="1" s="1"/>
  <c r="M6" i="1"/>
  <c r="H6" i="1"/>
  <c r="L6" i="1" s="1"/>
  <c r="K13" i="1"/>
  <c r="M13" i="1" s="1"/>
  <c r="L5" i="1"/>
  <c r="K5" i="1"/>
  <c r="H28" i="1"/>
  <c r="J28" i="1" s="1"/>
  <c r="L28" i="1" s="1"/>
  <c r="K28" i="1"/>
  <c r="M28" i="1" s="1"/>
  <c r="G28" i="1"/>
  <c r="K11" i="1"/>
  <c r="K12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M27" i="1" s="1"/>
  <c r="K29" i="1"/>
  <c r="K30" i="1"/>
  <c r="K31" i="1"/>
  <c r="K32" i="1"/>
  <c r="K33" i="1"/>
  <c r="K34" i="1"/>
  <c r="K35" i="1"/>
  <c r="G34" i="1"/>
  <c r="G30" i="1"/>
  <c r="G31" i="1" s="1"/>
  <c r="G25" i="1"/>
  <c r="G21" i="1"/>
  <c r="G32" i="1"/>
  <c r="G33" i="1" s="1"/>
  <c r="G29" i="1"/>
  <c r="G23" i="1"/>
  <c r="G19" i="1"/>
  <c r="G14" i="1"/>
  <c r="G15" i="1"/>
  <c r="G16" i="1" s="1"/>
  <c r="G17" i="1"/>
  <c r="M37" i="1" l="1"/>
  <c r="G5" i="1"/>
  <c r="L37" i="1"/>
  <c r="G18" i="1"/>
  <c r="H37" i="1"/>
  <c r="J37" i="1"/>
  <c r="K37" i="1"/>
  <c r="G26" i="1"/>
  <c r="G20" i="1"/>
  <c r="G35" i="1"/>
  <c r="G22" i="1"/>
  <c r="G24" i="1"/>
  <c r="P37" i="1"/>
  <c r="G11" i="1"/>
  <c r="G27" i="1"/>
  <c r="M43" i="1" l="1"/>
  <c r="M45" i="1" s="1"/>
  <c r="K43" i="1"/>
  <c r="K45" i="1" s="1"/>
  <c r="G12" i="1"/>
  <c r="I37" i="1" l="1"/>
  <c r="G37" i="1"/>
  <c r="F37" i="1" l="1"/>
  <c r="I43" i="1"/>
  <c r="I45" i="1" s="1"/>
  <c r="G43" i="1" l="1"/>
  <c r="F52" i="1"/>
  <c r="G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A5" authorId="0" shapeId="0" xr:uid="{6C233731-2A0E-431E-A707-4422E6F72D70}">
      <text>
        <r>
          <rPr>
            <sz val="9"/>
            <color indexed="81"/>
            <rFont val="Tahoma"/>
            <family val="2"/>
          </rPr>
          <t>aanpassing huisnummer zie mail 211024</t>
        </r>
      </text>
    </comment>
    <comment ref="A6" authorId="0" shapeId="0" xr:uid="{3E433D68-F182-4374-BE5E-604D691305A4}">
      <text>
        <r>
          <rPr>
            <sz val="9"/>
            <color indexed="81"/>
            <rFont val="Tahoma"/>
            <family val="2"/>
          </rPr>
          <t>aanpassing huisnummer zie mail 211024</t>
        </r>
      </text>
    </comment>
    <comment ref="A9" authorId="0" shapeId="0" xr:uid="{5425C0C2-6C16-4E4F-BA60-A4472BF865B2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  <comment ref="A10" authorId="0" shapeId="0" xr:uid="{C2C6F7C7-F8FD-4BC1-A9FD-5D4D34495F5B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  <comment ref="A11" authorId="0" shapeId="0" xr:uid="{B8FDB172-9B7E-4493-84FB-3B1437EDAE8F}">
      <text>
        <r>
          <rPr>
            <sz val="9"/>
            <color indexed="81"/>
            <rFont val="Tahoma"/>
            <family val="2"/>
          </rPr>
          <t>Leerbedrijf OIB AdminCompany</t>
        </r>
      </text>
    </comment>
    <comment ref="A12" authorId="0" shapeId="0" xr:uid="{5A48A016-94F0-4219-9640-9E9C941F962A}">
      <text>
        <r>
          <rPr>
            <sz val="9"/>
            <color indexed="81"/>
            <rFont val="Tahoma"/>
            <family val="2"/>
          </rPr>
          <t>Leerbedrijf OIB AdminCompany</t>
        </r>
      </text>
    </comment>
    <comment ref="A23" authorId="0" shapeId="0" xr:uid="{4006C844-B8FD-4072-933D-3E0F8DE354D3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  <comment ref="A24" authorId="0" shapeId="0" xr:uid="{3F7D0642-CFBC-41FA-B0AB-ABD7876D23D3}">
      <text>
        <r>
          <rPr>
            <sz val="9"/>
            <color indexed="81"/>
            <rFont val="Tahoma"/>
            <family val="2"/>
          </rPr>
          <t>School voor Schoonheidsverzorging</t>
        </r>
      </text>
    </comment>
  </commentList>
</comments>
</file>

<file path=xl/sharedStrings.xml><?xml version="1.0" encoding="utf-8"?>
<sst xmlns="http://schemas.openxmlformats.org/spreadsheetml/2006/main" count="206" uniqueCount="82">
  <si>
    <t>Dekking</t>
  </si>
  <si>
    <t>Totaal</t>
  </si>
  <si>
    <t>Amersfoort</t>
  </si>
  <si>
    <t>Leusderweg 30-34</t>
  </si>
  <si>
    <t>Modemweg 3</t>
  </si>
  <si>
    <t>3818 LH</t>
  </si>
  <si>
    <t>3819 BD</t>
  </si>
  <si>
    <t>3817 KB</t>
  </si>
  <si>
    <t>3818 KG</t>
  </si>
  <si>
    <t>Gebouwen</t>
  </si>
  <si>
    <t>Utrecht</t>
  </si>
  <si>
    <t>St. Laurensdreef 22</t>
  </si>
  <si>
    <t>3565 AK</t>
  </si>
  <si>
    <t>Gebouw Brabantsestraat 23</t>
  </si>
  <si>
    <t>3812 PJ</t>
  </si>
  <si>
    <t>Gebouw Brabantsestraat 19</t>
  </si>
  <si>
    <t>excl. Computerapparatuur</t>
  </si>
  <si>
    <t>Oude Fabrieksstraat 1</t>
  </si>
  <si>
    <t>3812 NR</t>
  </si>
  <si>
    <t>huurdersbelang</t>
  </si>
  <si>
    <t>inventaris</t>
  </si>
  <si>
    <t>Gebouw Hardwareweg 15</t>
  </si>
  <si>
    <t>3821 BL</t>
  </si>
  <si>
    <t>Gebouw Nieuwe Poort 21</t>
  </si>
  <si>
    <t>3812 PA</t>
  </si>
  <si>
    <t>3811 HN</t>
  </si>
  <si>
    <t>Gebouw Stadsring 65-69 (1e verdieping en kelder)</t>
  </si>
  <si>
    <t>Plaats</t>
  </si>
  <si>
    <t>Postcode</t>
  </si>
  <si>
    <t>getaxeerd</t>
  </si>
  <si>
    <t>Omschrijving/risico adres</t>
  </si>
  <si>
    <t>Sportpark Bokkeduinen 11</t>
  </si>
  <si>
    <t>Valutaboulevard 20</t>
  </si>
  <si>
    <t>3825 BT</t>
  </si>
  <si>
    <t>Inventaris</t>
  </si>
  <si>
    <t>Huurdersbelang</t>
  </si>
  <si>
    <t>inventaris/overige</t>
  </si>
  <si>
    <t>3812 GZ</t>
  </si>
  <si>
    <t>Piet Mondriaanplein 7 (t.b.v. OIB Leerbedrijf First Class)</t>
  </si>
  <si>
    <t>Sportpark Bokkeduinen/Barchman Wuytierslaan 38 
(incl. fundering)</t>
  </si>
  <si>
    <t>#4 getaxeerd door Troostwijk, d.d. 16-04-2020 - rapportnummer 178810-02-O</t>
  </si>
  <si>
    <t>Chromiumweg 81</t>
  </si>
  <si>
    <t>3812 NL</t>
  </si>
  <si>
    <t>per 31-12-2020</t>
  </si>
  <si>
    <t>indexcijfer 150,8</t>
  </si>
  <si>
    <t>Grote Haag 125 (t.b.v. OIB Retail i.o.)</t>
  </si>
  <si>
    <t>3811 HH</t>
  </si>
  <si>
    <t>#5</t>
  </si>
  <si>
    <t>computer</t>
  </si>
  <si>
    <t>per 31-12-2021</t>
  </si>
  <si>
    <t>indexcijfer 158,3</t>
  </si>
  <si>
    <t>exclusief computer/</t>
  </si>
  <si>
    <t>per 31-12-2022</t>
  </si>
  <si>
    <t>indexcijfer 119,7</t>
  </si>
  <si>
    <t>indexcijfer 115,1</t>
  </si>
  <si>
    <t>sub A</t>
  </si>
  <si>
    <t>sub B</t>
  </si>
  <si>
    <t>per 31-12-2023</t>
  </si>
  <si>
    <t>indexcijfer 125,2</t>
  </si>
  <si>
    <t>indexcijfer 123,3</t>
  </si>
  <si>
    <t>OIB Leerhotel B.V.</t>
  </si>
  <si>
    <t xml:space="preserve">Salon de Nieuwe Stad B.V. </t>
  </si>
  <si>
    <t>OIB Leerhotel B.V. inzake First Class</t>
  </si>
  <si>
    <t>OIB Holding B.V. inzake OIB Retail Green Outlet</t>
  </si>
  <si>
    <t>Oude Fabriekstraat 1</t>
  </si>
  <si>
    <t>Piet Mondriaanplein 7</t>
  </si>
  <si>
    <t>Grote Haag 125</t>
  </si>
  <si>
    <t>Risico adressen t.b.v. sub C</t>
  </si>
  <si>
    <t>Daam Fockemalaan 8-10 (incl. fundering)</t>
  </si>
  <si>
    <t>per 31-12-2024</t>
  </si>
  <si>
    <t>indexcijfer 131,8</t>
  </si>
  <si>
    <t>indexcijfer 128,3</t>
  </si>
  <si>
    <t>Daam Fockemalaan 8-10</t>
  </si>
  <si>
    <t>#6</t>
  </si>
  <si>
    <t>#6 gebouwen getaxeerd door Troostwijk, d.d. 06-10-2021 - rapportnummer 215735-02-O</t>
  </si>
  <si>
    <t>#7 gebouwen getaxeerd door Troostwijk, d.d. 06-10-2021 - rapportnummer 205354-02-O</t>
  </si>
  <si>
    <t>Daam Fockemalaan 8-10 (toren - rijksmonument 530855)</t>
  </si>
  <si>
    <t>#7</t>
  </si>
  <si>
    <t>Daam Fockemalaan 8-10 (accupakket)</t>
  </si>
  <si>
    <t>#8 inventaris getaxeerd door Troostwijk, d.d. 27-01-2025 - rapportnummer 239333-03-0</t>
  </si>
  <si>
    <t>#8</t>
  </si>
  <si>
    <t>#7, #8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</si>
</sst>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0" xfId="0" applyFont="1" applyBorder="1"/>
    <xf numFmtId="0" fontId="5" fillId="0" borderId="0" xfId="0" applyFont="1" applyFill="1" applyBorder="1"/>
    <xf numFmtId="164" fontId="4" fillId="0" borderId="0" xfId="1" applyFont="1"/>
    <xf numFmtId="164" fontId="4" fillId="0" borderId="0" xfId="0" applyNumberFormat="1" applyFont="1"/>
    <xf numFmtId="164" fontId="5" fillId="0" borderId="0" xfId="1" applyFont="1" applyBorder="1"/>
    <xf numFmtId="164" fontId="2" fillId="0" borderId="1" xfId="1" applyFont="1" applyBorder="1"/>
    <xf numFmtId="0" fontId="2" fillId="0" borderId="0" xfId="0" applyFont="1"/>
    <xf numFmtId="0" fontId="7" fillId="0" borderId="0" xfId="0" applyFont="1"/>
    <xf numFmtId="0" fontId="7" fillId="0" borderId="0" xfId="0" applyFont="1" applyBorder="1"/>
    <xf numFmtId="0" fontId="4" fillId="0" borderId="2" xfId="0" applyFont="1" applyBorder="1"/>
    <xf numFmtId="0" fontId="4" fillId="0" borderId="0" xfId="0" applyFont="1" applyBorder="1"/>
    <xf numFmtId="44" fontId="4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3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5" fillId="0" borderId="0" xfId="0" applyFont="1" applyBorder="1" applyAlignment="1">
      <alignment vertical="top"/>
    </xf>
    <xf numFmtId="164" fontId="1" fillId="0" borderId="2" xfId="1" applyFont="1" applyBorder="1"/>
    <xf numFmtId="0" fontId="1" fillId="0" borderId="0" xfId="0" applyFont="1"/>
    <xf numFmtId="0" fontId="1" fillId="0" borderId="0" xfId="0" applyFont="1" applyBorder="1"/>
    <xf numFmtId="0" fontId="7" fillId="0" borderId="2" xfId="0" applyFont="1" applyBorder="1"/>
    <xf numFmtId="0" fontId="5" fillId="0" borderId="2" xfId="0" applyFont="1" applyBorder="1"/>
    <xf numFmtId="164" fontId="7" fillId="0" borderId="0" xfId="2" applyFont="1" applyBorder="1"/>
    <xf numFmtId="164" fontId="7" fillId="0" borderId="0" xfId="2" applyFont="1"/>
    <xf numFmtId="164" fontId="1" fillId="0" borderId="3" xfId="1" applyFont="1" applyBorder="1"/>
    <xf numFmtId="164" fontId="1" fillId="0" borderId="3" xfId="0" applyNumberFormat="1" applyFont="1" applyBorder="1"/>
    <xf numFmtId="164" fontId="1" fillId="0" borderId="2" xfId="2" applyFont="1" applyBorder="1"/>
    <xf numFmtId="44" fontId="1" fillId="0" borderId="0" xfId="0" applyNumberFormat="1" applyFont="1"/>
    <xf numFmtId="164" fontId="4" fillId="0" borderId="1" xfId="1" applyFont="1" applyBorder="1"/>
    <xf numFmtId="0" fontId="0" fillId="0" borderId="2" xfId="0" applyBorder="1"/>
    <xf numFmtId="164" fontId="4" fillId="0" borderId="0" xfId="1" applyFont="1" applyBorder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164" fontId="1" fillId="0" borderId="2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164" fontId="7" fillId="0" borderId="2" xfId="1" applyFont="1" applyBorder="1"/>
    <xf numFmtId="164" fontId="7" fillId="0" borderId="3" xfId="1" applyFont="1" applyBorder="1"/>
    <xf numFmtId="164" fontId="7" fillId="0" borderId="2" xfId="0" applyNumberFormat="1" applyFont="1" applyBorder="1"/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zoomScaleNormal="100" workbookViewId="0">
      <selection activeCell="M45" sqref="M45"/>
    </sheetView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4.5703125" style="1" bestFit="1" customWidth="1"/>
    <col min="4" max="4" width="10.28515625" style="1" bestFit="1" customWidth="1"/>
    <col min="5" max="6" width="22" style="1" hidden="1" customWidth="1"/>
    <col min="7" max="11" width="21.140625" style="1" hidden="1" customWidth="1"/>
    <col min="12" max="13" width="21.140625" style="1" customWidth="1"/>
    <col min="14" max="14" width="26.42578125" style="1" bestFit="1" customWidth="1"/>
    <col min="15" max="15" width="9.140625" style="1"/>
    <col min="16" max="16" width="14.5703125" style="1" bestFit="1" customWidth="1"/>
    <col min="17" max="16384" width="9.140625" style="1"/>
  </cols>
  <sheetData>
    <row r="1" spans="1:16" x14ac:dyDescent="0.2">
      <c r="A1" s="14" t="s">
        <v>30</v>
      </c>
      <c r="B1" s="15" t="s">
        <v>28</v>
      </c>
      <c r="C1" s="15" t="s">
        <v>27</v>
      </c>
      <c r="D1" s="15" t="s">
        <v>29</v>
      </c>
      <c r="E1" s="15" t="s">
        <v>9</v>
      </c>
      <c r="F1" s="15" t="s">
        <v>9</v>
      </c>
      <c r="G1" s="15" t="s">
        <v>34</v>
      </c>
      <c r="H1" s="15" t="s">
        <v>9</v>
      </c>
      <c r="I1" s="15" t="s">
        <v>34</v>
      </c>
      <c r="J1" s="15" t="s">
        <v>9</v>
      </c>
      <c r="K1" s="15" t="s">
        <v>34</v>
      </c>
      <c r="L1" s="15" t="s">
        <v>9</v>
      </c>
      <c r="M1" s="15" t="s">
        <v>34</v>
      </c>
      <c r="N1" s="16" t="s">
        <v>0</v>
      </c>
    </row>
    <row r="2" spans="1:16" x14ac:dyDescent="0.2">
      <c r="A2" s="17"/>
      <c r="B2" s="18"/>
      <c r="C2" s="18"/>
      <c r="D2" s="18"/>
      <c r="E2" s="18" t="s">
        <v>43</v>
      </c>
      <c r="F2" s="18" t="s">
        <v>49</v>
      </c>
      <c r="G2" s="18" t="s">
        <v>51</v>
      </c>
      <c r="H2" s="18" t="s">
        <v>52</v>
      </c>
      <c r="I2" s="18" t="s">
        <v>51</v>
      </c>
      <c r="J2" s="18" t="s">
        <v>57</v>
      </c>
      <c r="K2" s="18" t="s">
        <v>51</v>
      </c>
      <c r="L2" s="18" t="s">
        <v>69</v>
      </c>
      <c r="M2" s="18" t="s">
        <v>51</v>
      </c>
      <c r="N2" s="19"/>
    </row>
    <row r="3" spans="1:16" x14ac:dyDescent="0.2">
      <c r="A3" s="17"/>
      <c r="B3" s="18"/>
      <c r="C3" s="18"/>
      <c r="D3" s="18"/>
      <c r="E3" s="18"/>
      <c r="F3" s="18"/>
      <c r="G3" s="18"/>
      <c r="H3" s="18"/>
      <c r="I3" s="18" t="s">
        <v>35</v>
      </c>
      <c r="J3" s="18"/>
      <c r="K3" s="18" t="s">
        <v>35</v>
      </c>
      <c r="L3" s="18"/>
      <c r="M3" s="18" t="s">
        <v>35</v>
      </c>
      <c r="N3" s="19"/>
    </row>
    <row r="4" spans="1:16" ht="13.5" thickBot="1" x14ac:dyDescent="0.25">
      <c r="A4" s="20"/>
      <c r="B4" s="21"/>
      <c r="C4" s="21"/>
      <c r="D4" s="21"/>
      <c r="E4" s="21" t="s">
        <v>44</v>
      </c>
      <c r="F4" s="21" t="s">
        <v>50</v>
      </c>
      <c r="G4" s="21" t="s">
        <v>35</v>
      </c>
      <c r="H4" s="21" t="s">
        <v>53</v>
      </c>
      <c r="I4" s="21" t="s">
        <v>54</v>
      </c>
      <c r="J4" s="21" t="s">
        <v>58</v>
      </c>
      <c r="K4" s="21" t="s">
        <v>59</v>
      </c>
      <c r="L4" s="21" t="s">
        <v>70</v>
      </c>
      <c r="M4" s="21" t="s">
        <v>71</v>
      </c>
      <c r="N4" s="22"/>
      <c r="P4" s="28" t="s">
        <v>48</v>
      </c>
    </row>
    <row r="5" spans="1:16" s="2" customFormat="1" ht="15" customHeight="1" x14ac:dyDescent="0.2">
      <c r="A5" s="24" t="s">
        <v>68</v>
      </c>
      <c r="B5" s="24" t="s">
        <v>8</v>
      </c>
      <c r="C5" s="24" t="s">
        <v>2</v>
      </c>
      <c r="D5" s="24" t="s">
        <v>81</v>
      </c>
      <c r="E5" s="27">
        <v>26797700</v>
      </c>
      <c r="F5" s="27">
        <v>28850000</v>
      </c>
      <c r="G5" s="27">
        <f>5040000-P5</f>
        <v>4501550</v>
      </c>
      <c r="H5" s="43">
        <f>ROUND(F5/108*119.7,-2)</f>
        <v>31975400</v>
      </c>
      <c r="I5" s="27">
        <v>5268900</v>
      </c>
      <c r="J5" s="27">
        <f>ROUND(H5/119.7*125.2,-2)</f>
        <v>33444600</v>
      </c>
      <c r="K5" s="27">
        <f>ROUND(I5/115.1*123.3,-2)</f>
        <v>5644300</v>
      </c>
      <c r="L5" s="27">
        <f>ROUND(J5/125.2*131.8,-2)</f>
        <v>35207700</v>
      </c>
      <c r="M5" s="27">
        <f>5000000-P5</f>
        <v>4461550</v>
      </c>
      <c r="N5" s="31"/>
      <c r="P5" s="32">
        <f>445000*1.21</f>
        <v>538450</v>
      </c>
    </row>
    <row r="6" spans="1:16" s="2" customFormat="1" ht="15" customHeight="1" x14ac:dyDescent="0.2">
      <c r="A6" s="24" t="s">
        <v>76</v>
      </c>
      <c r="B6" s="24" t="s">
        <v>8</v>
      </c>
      <c r="C6" s="24" t="s">
        <v>2</v>
      </c>
      <c r="D6" s="24" t="s">
        <v>77</v>
      </c>
      <c r="E6" s="27"/>
      <c r="F6" s="27"/>
      <c r="G6" s="27"/>
      <c r="H6" s="43">
        <f>ROUND(F6/108*119.7,-2)</f>
        <v>0</v>
      </c>
      <c r="I6" s="27"/>
      <c r="J6" s="27">
        <v>2650000</v>
      </c>
      <c r="K6" s="27"/>
      <c r="L6" s="27">
        <f>ROUND(J6/125.2*131.8,-2)</f>
        <v>2789700</v>
      </c>
      <c r="M6" s="27">
        <f>ROUND(K6/123.3*128.3,-2)</f>
        <v>0</v>
      </c>
      <c r="N6" s="31"/>
      <c r="P6" s="32"/>
    </row>
    <row r="7" spans="1:16" s="10" customFormat="1" ht="15" customHeight="1" x14ac:dyDescent="0.2">
      <c r="A7" s="24" t="s">
        <v>78</v>
      </c>
      <c r="B7" s="24" t="s">
        <v>8</v>
      </c>
      <c r="C7" s="24" t="s">
        <v>2</v>
      </c>
      <c r="D7" s="24"/>
      <c r="E7" s="27"/>
      <c r="F7" s="27"/>
      <c r="G7" s="27"/>
      <c r="H7" s="43"/>
      <c r="I7" s="27"/>
      <c r="J7" s="27"/>
      <c r="K7" s="27"/>
      <c r="L7" s="27">
        <v>360000</v>
      </c>
      <c r="M7" s="45"/>
      <c r="N7" s="30"/>
      <c r="P7" s="32"/>
    </row>
    <row r="8" spans="1:16" s="2" customFormat="1" ht="15" customHeight="1" x14ac:dyDescent="0.2">
      <c r="A8" s="29"/>
      <c r="B8" s="24" t="s">
        <v>14</v>
      </c>
      <c r="C8" s="24" t="s">
        <v>2</v>
      </c>
      <c r="D8" s="23" t="s">
        <v>47</v>
      </c>
      <c r="E8" s="34"/>
      <c r="F8" s="34"/>
      <c r="G8" s="25">
        <f>1700000*1.21</f>
        <v>2057000</v>
      </c>
      <c r="H8" s="25"/>
      <c r="I8" s="34">
        <v>2287700</v>
      </c>
      <c r="J8" s="34"/>
      <c r="K8" s="34">
        <f t="shared" ref="K8:K35" si="0">ROUND(I8/115.1*123.3,-2)</f>
        <v>2450700</v>
      </c>
      <c r="L8" s="34"/>
      <c r="M8" s="34">
        <f t="shared" ref="M8:M27" si="1">ROUND(K8/123.3*128.3,-2)</f>
        <v>2550100</v>
      </c>
      <c r="N8" s="11" t="s">
        <v>19</v>
      </c>
    </row>
    <row r="9" spans="1:16" s="10" customFormat="1" ht="15" customHeight="1" x14ac:dyDescent="0.2">
      <c r="A9" s="30" t="s">
        <v>15</v>
      </c>
      <c r="B9" s="30" t="s">
        <v>14</v>
      </c>
      <c r="C9" s="30" t="s">
        <v>2</v>
      </c>
      <c r="D9" s="23" t="s">
        <v>80</v>
      </c>
      <c r="E9" s="46"/>
      <c r="F9" s="46"/>
      <c r="G9" s="47"/>
      <c r="H9" s="47"/>
      <c r="I9" s="46"/>
      <c r="J9" s="46"/>
      <c r="K9" s="46"/>
      <c r="L9" s="46"/>
      <c r="M9" s="46">
        <v>2060000</v>
      </c>
      <c r="N9" s="30" t="s">
        <v>19</v>
      </c>
      <c r="P9" s="32"/>
    </row>
    <row r="10" spans="1:16" s="2" customFormat="1" ht="15" customHeight="1" x14ac:dyDescent="0.2">
      <c r="A10" s="24" t="s">
        <v>15</v>
      </c>
      <c r="B10" s="24" t="s">
        <v>14</v>
      </c>
      <c r="C10" s="24" t="s">
        <v>2</v>
      </c>
      <c r="D10" s="23" t="s">
        <v>80</v>
      </c>
      <c r="E10" s="34"/>
      <c r="F10" s="34"/>
      <c r="G10" s="25">
        <f>3155000-G8-P10</f>
        <v>898350</v>
      </c>
      <c r="H10" s="25"/>
      <c r="I10" s="34">
        <v>1059700</v>
      </c>
      <c r="J10" s="34"/>
      <c r="K10" s="34">
        <f t="shared" si="0"/>
        <v>1135200</v>
      </c>
      <c r="L10" s="34"/>
      <c r="M10" s="34">
        <f>3180000-M9-P10</f>
        <v>920350</v>
      </c>
      <c r="N10" s="11" t="s">
        <v>20</v>
      </c>
      <c r="P10" s="32">
        <f>165000*1.21</f>
        <v>199650</v>
      </c>
    </row>
    <row r="11" spans="1:16" s="2" customFormat="1" ht="15" customHeight="1" x14ac:dyDescent="0.2">
      <c r="A11" s="24" t="s">
        <v>13</v>
      </c>
      <c r="B11" s="24" t="s">
        <v>14</v>
      </c>
      <c r="C11" s="24" t="s">
        <v>2</v>
      </c>
      <c r="D11" s="23" t="s">
        <v>80</v>
      </c>
      <c r="E11" s="34"/>
      <c r="F11" s="34"/>
      <c r="G11" s="25">
        <f>520000*1.21</f>
        <v>629200</v>
      </c>
      <c r="H11" s="25"/>
      <c r="I11" s="34">
        <v>699800</v>
      </c>
      <c r="J11" s="34"/>
      <c r="K11" s="34">
        <f t="shared" si="0"/>
        <v>749700</v>
      </c>
      <c r="L11" s="34"/>
      <c r="M11" s="34">
        <v>235000</v>
      </c>
      <c r="N11" s="11" t="s">
        <v>19</v>
      </c>
    </row>
    <row r="12" spans="1:16" s="2" customFormat="1" ht="15" customHeight="1" x14ac:dyDescent="0.2">
      <c r="A12" s="24" t="s">
        <v>13</v>
      </c>
      <c r="B12" s="24" t="s">
        <v>14</v>
      </c>
      <c r="C12" s="24" t="s">
        <v>2</v>
      </c>
      <c r="D12" s="23" t="s">
        <v>80</v>
      </c>
      <c r="E12" s="34"/>
      <c r="F12" s="34"/>
      <c r="G12" s="25">
        <f>1070000-G11-P12</f>
        <v>440800</v>
      </c>
      <c r="H12" s="25"/>
      <c r="I12" s="34">
        <v>402800</v>
      </c>
      <c r="J12" s="34"/>
      <c r="K12" s="34">
        <f t="shared" si="0"/>
        <v>431500</v>
      </c>
      <c r="L12" s="34"/>
      <c r="M12" s="34">
        <f>675000-M11</f>
        <v>440000</v>
      </c>
      <c r="N12" s="11" t="s">
        <v>20</v>
      </c>
      <c r="P12" s="32">
        <v>0</v>
      </c>
    </row>
    <row r="13" spans="1:16" s="2" customFormat="1" ht="15" customHeight="1" x14ac:dyDescent="0.2">
      <c r="A13" s="24" t="s">
        <v>21</v>
      </c>
      <c r="B13" s="24" t="s">
        <v>22</v>
      </c>
      <c r="C13" s="24" t="s">
        <v>2</v>
      </c>
      <c r="D13" s="23" t="s">
        <v>80</v>
      </c>
      <c r="E13" s="27">
        <v>10187791</v>
      </c>
      <c r="F13" s="27">
        <v>9850000</v>
      </c>
      <c r="G13" s="25"/>
      <c r="H13" s="43">
        <f>ROUND(F13/102.5*119.7,-2)</f>
        <v>11502900</v>
      </c>
      <c r="I13" s="27">
        <v>0</v>
      </c>
      <c r="J13" s="27">
        <f t="shared" ref="J13" si="2">ROUND(H13/119.7*125.2,-2)</f>
        <v>12031400</v>
      </c>
      <c r="K13" s="27">
        <f t="shared" ref="K13" si="3">ROUND(I13/115.1*123.3,-2)</f>
        <v>0</v>
      </c>
      <c r="L13" s="27">
        <f t="shared" ref="L13" si="4">ROUND(J13/125.2*131.8,-2)</f>
        <v>12665600</v>
      </c>
      <c r="M13" s="27">
        <f t="shared" ref="M13" si="5">ROUND(K13/123.3*128.3,-2)</f>
        <v>0</v>
      </c>
      <c r="N13" s="11"/>
    </row>
    <row r="14" spans="1:16" s="2" customFormat="1" ht="15" customHeight="1" x14ac:dyDescent="0.2">
      <c r="A14" s="24" t="s">
        <v>21</v>
      </c>
      <c r="B14" s="24" t="s">
        <v>22</v>
      </c>
      <c r="C14" s="24" t="s">
        <v>2</v>
      </c>
      <c r="D14" s="23" t="s">
        <v>80</v>
      </c>
      <c r="E14" s="34"/>
      <c r="F14" s="34"/>
      <c r="G14" s="25">
        <f>1850000-P14</f>
        <v>1220800</v>
      </c>
      <c r="H14" s="25"/>
      <c r="I14" s="34">
        <v>1519200</v>
      </c>
      <c r="J14" s="34"/>
      <c r="K14" s="34">
        <f t="shared" si="0"/>
        <v>1627400</v>
      </c>
      <c r="L14" s="34"/>
      <c r="M14" s="34">
        <f>1730000-P14</f>
        <v>1100800</v>
      </c>
      <c r="N14" s="11" t="s">
        <v>20</v>
      </c>
      <c r="P14" s="32">
        <f>520000*1.21</f>
        <v>629200</v>
      </c>
    </row>
    <row r="15" spans="1:16" s="2" customFormat="1" ht="15" customHeight="1" x14ac:dyDescent="0.2">
      <c r="A15" s="24" t="s">
        <v>23</v>
      </c>
      <c r="B15" s="24" t="s">
        <v>24</v>
      </c>
      <c r="C15" s="24" t="s">
        <v>2</v>
      </c>
      <c r="D15" s="23" t="s">
        <v>80</v>
      </c>
      <c r="E15" s="34"/>
      <c r="F15" s="34"/>
      <c r="G15" s="25">
        <f>720000*1.21</f>
        <v>871200</v>
      </c>
      <c r="H15" s="25"/>
      <c r="I15" s="34">
        <v>968900</v>
      </c>
      <c r="J15" s="34"/>
      <c r="K15" s="34">
        <f t="shared" si="0"/>
        <v>1037900</v>
      </c>
      <c r="L15" s="34"/>
      <c r="M15" s="34">
        <v>0</v>
      </c>
      <c r="N15" s="11" t="s">
        <v>19</v>
      </c>
    </row>
    <row r="16" spans="1:16" s="12" customFormat="1" ht="15" customHeight="1" x14ac:dyDescent="0.2">
      <c r="A16" s="24" t="s">
        <v>23</v>
      </c>
      <c r="B16" s="24" t="s">
        <v>24</v>
      </c>
      <c r="C16" s="24" t="s">
        <v>2</v>
      </c>
      <c r="D16" s="23" t="s">
        <v>80</v>
      </c>
      <c r="E16" s="34"/>
      <c r="F16" s="34"/>
      <c r="G16" s="25">
        <f>1350000-G15-P16</f>
        <v>388050</v>
      </c>
      <c r="H16" s="25"/>
      <c r="I16" s="34">
        <v>350800</v>
      </c>
      <c r="J16" s="34"/>
      <c r="K16" s="34">
        <f t="shared" si="0"/>
        <v>375800</v>
      </c>
      <c r="L16" s="34"/>
      <c r="M16" s="34">
        <f>295000-P16</f>
        <v>204250</v>
      </c>
      <c r="N16" s="11" t="s">
        <v>20</v>
      </c>
      <c r="P16" s="32">
        <f>75000*1.21</f>
        <v>90750</v>
      </c>
    </row>
    <row r="17" spans="1:16" ht="15" customHeight="1" x14ac:dyDescent="0.2">
      <c r="A17" s="24" t="s">
        <v>26</v>
      </c>
      <c r="B17" s="24" t="s">
        <v>25</v>
      </c>
      <c r="C17" s="24" t="s">
        <v>2</v>
      </c>
      <c r="D17" s="23" t="s">
        <v>80</v>
      </c>
      <c r="E17" s="34"/>
      <c r="F17" s="34"/>
      <c r="G17" s="25">
        <f>1000000*1.21</f>
        <v>1210000</v>
      </c>
      <c r="H17" s="25"/>
      <c r="I17" s="34">
        <v>1345700</v>
      </c>
      <c r="J17" s="34"/>
      <c r="K17" s="34">
        <f t="shared" si="0"/>
        <v>1441600</v>
      </c>
      <c r="L17" s="34"/>
      <c r="M17" s="34">
        <v>460000</v>
      </c>
      <c r="N17" s="11" t="s">
        <v>19</v>
      </c>
    </row>
    <row r="18" spans="1:16" s="10" customFormat="1" ht="15" customHeight="1" x14ac:dyDescent="0.2">
      <c r="A18" s="24" t="s">
        <v>26</v>
      </c>
      <c r="B18" s="24" t="s">
        <v>25</v>
      </c>
      <c r="C18" s="24" t="s">
        <v>2</v>
      </c>
      <c r="D18" s="23" t="s">
        <v>80</v>
      </c>
      <c r="E18" s="34"/>
      <c r="F18" s="34"/>
      <c r="G18" s="25">
        <f>2090000-G17-P18</f>
        <v>759000</v>
      </c>
      <c r="H18" s="25"/>
      <c r="I18" s="34">
        <v>871000</v>
      </c>
      <c r="J18" s="34"/>
      <c r="K18" s="34">
        <f t="shared" si="0"/>
        <v>933100</v>
      </c>
      <c r="L18" s="34"/>
      <c r="M18" s="34">
        <f>935000-P18-M17</f>
        <v>354000</v>
      </c>
      <c r="N18" s="11" t="s">
        <v>20</v>
      </c>
      <c r="P18" s="32">
        <f>100000*1.21</f>
        <v>121000</v>
      </c>
    </row>
    <row r="19" spans="1:16" s="9" customFormat="1" ht="15" customHeight="1" x14ac:dyDescent="0.2">
      <c r="A19" s="24" t="s">
        <v>3</v>
      </c>
      <c r="B19" s="24" t="s">
        <v>7</v>
      </c>
      <c r="C19" s="24" t="s">
        <v>2</v>
      </c>
      <c r="D19" s="23" t="s">
        <v>80</v>
      </c>
      <c r="E19" s="34"/>
      <c r="F19" s="34"/>
      <c r="G19" s="27">
        <f>6000000*1.21</f>
        <v>7260000</v>
      </c>
      <c r="H19" s="27"/>
      <c r="I19" s="34">
        <v>8074300</v>
      </c>
      <c r="J19" s="34"/>
      <c r="K19" s="34">
        <f t="shared" si="0"/>
        <v>8649500</v>
      </c>
      <c r="L19" s="34"/>
      <c r="M19" s="34">
        <f>7260000</f>
        <v>7260000</v>
      </c>
      <c r="N19" s="11" t="s">
        <v>19</v>
      </c>
    </row>
    <row r="20" spans="1:16" s="9" customFormat="1" ht="15" customHeight="1" x14ac:dyDescent="0.2">
      <c r="A20" s="24" t="s">
        <v>3</v>
      </c>
      <c r="B20" s="24" t="s">
        <v>7</v>
      </c>
      <c r="C20" s="24" t="s">
        <v>2</v>
      </c>
      <c r="D20" s="23" t="s">
        <v>80</v>
      </c>
      <c r="E20" s="34"/>
      <c r="F20" s="34"/>
      <c r="G20" s="27">
        <f>11655000-G19-P20</f>
        <v>3584300</v>
      </c>
      <c r="H20" s="27"/>
      <c r="I20" s="34">
        <v>4120900</v>
      </c>
      <c r="J20" s="34"/>
      <c r="K20" s="34">
        <f t="shared" si="0"/>
        <v>4414500</v>
      </c>
      <c r="L20" s="34"/>
      <c r="M20" s="34">
        <f>12180000-M19-P20</f>
        <v>4109300</v>
      </c>
      <c r="N20" s="11" t="s">
        <v>20</v>
      </c>
      <c r="P20" s="33">
        <f>670000*1.21</f>
        <v>810700</v>
      </c>
    </row>
    <row r="21" spans="1:16" s="9" customFormat="1" ht="15" customHeight="1" x14ac:dyDescent="0.2">
      <c r="A21" s="24" t="s">
        <v>4</v>
      </c>
      <c r="B21" s="24" t="s">
        <v>6</v>
      </c>
      <c r="C21" s="24" t="s">
        <v>2</v>
      </c>
      <c r="D21" s="23" t="s">
        <v>80</v>
      </c>
      <c r="E21" s="34"/>
      <c r="F21" s="34"/>
      <c r="G21" s="27">
        <f>270000*1.21</f>
        <v>326700</v>
      </c>
      <c r="H21" s="27"/>
      <c r="I21" s="34">
        <v>363300</v>
      </c>
      <c r="J21" s="34"/>
      <c r="K21" s="34">
        <f t="shared" si="0"/>
        <v>389200</v>
      </c>
      <c r="L21" s="34"/>
      <c r="M21" s="34">
        <f>1125000</f>
        <v>1125000</v>
      </c>
      <c r="N21" s="11" t="s">
        <v>19</v>
      </c>
    </row>
    <row r="22" spans="1:16" s="9" customFormat="1" ht="15" customHeight="1" x14ac:dyDescent="0.2">
      <c r="A22" s="24" t="s">
        <v>4</v>
      </c>
      <c r="B22" s="24" t="s">
        <v>6</v>
      </c>
      <c r="C22" s="24" t="s">
        <v>2</v>
      </c>
      <c r="D22" s="23" t="s">
        <v>80</v>
      </c>
      <c r="E22" s="34"/>
      <c r="F22" s="34"/>
      <c r="G22" s="27">
        <f>1970000-G21-P22</f>
        <v>1080650</v>
      </c>
      <c r="H22" s="27"/>
      <c r="I22" s="34">
        <v>1511400</v>
      </c>
      <c r="J22" s="34"/>
      <c r="K22" s="34">
        <f t="shared" si="0"/>
        <v>1619100</v>
      </c>
      <c r="L22" s="34"/>
      <c r="M22" s="34">
        <f>2785000-M21-P22</f>
        <v>1097350</v>
      </c>
      <c r="N22" s="11" t="s">
        <v>20</v>
      </c>
      <c r="P22" s="33">
        <f>465000*1.21</f>
        <v>562650</v>
      </c>
    </row>
    <row r="23" spans="1:16" s="9" customFormat="1" ht="15" customHeight="1" x14ac:dyDescent="0.2">
      <c r="A23" s="24" t="s">
        <v>17</v>
      </c>
      <c r="B23" s="24" t="s">
        <v>18</v>
      </c>
      <c r="C23" s="24" t="s">
        <v>2</v>
      </c>
      <c r="D23" s="23" t="s">
        <v>80</v>
      </c>
      <c r="E23" s="34"/>
      <c r="F23" s="34"/>
      <c r="G23" s="25">
        <f>200000*1.21</f>
        <v>242000</v>
      </c>
      <c r="H23" s="25"/>
      <c r="I23" s="34">
        <v>269100</v>
      </c>
      <c r="J23" s="34"/>
      <c r="K23" s="34">
        <f t="shared" si="0"/>
        <v>288300</v>
      </c>
      <c r="L23" s="34"/>
      <c r="M23" s="34">
        <f>330000</f>
        <v>330000</v>
      </c>
      <c r="N23" s="11" t="s">
        <v>19</v>
      </c>
    </row>
    <row r="24" spans="1:16" s="9" customFormat="1" ht="15" customHeight="1" x14ac:dyDescent="0.2">
      <c r="A24" s="24" t="s">
        <v>17</v>
      </c>
      <c r="B24" s="24" t="s">
        <v>18</v>
      </c>
      <c r="C24" s="24" t="s">
        <v>2</v>
      </c>
      <c r="D24" s="23" t="s">
        <v>80</v>
      </c>
      <c r="E24" s="34"/>
      <c r="F24" s="34"/>
      <c r="G24" s="25">
        <f>510000-G23-P24</f>
        <v>237750</v>
      </c>
      <c r="H24" s="25"/>
      <c r="I24" s="34">
        <v>284600</v>
      </c>
      <c r="J24" s="34"/>
      <c r="K24" s="34">
        <f t="shared" si="0"/>
        <v>304900</v>
      </c>
      <c r="L24" s="34"/>
      <c r="M24" s="34">
        <f>575000-P24-M23</f>
        <v>214750</v>
      </c>
      <c r="N24" s="11" t="s">
        <v>20</v>
      </c>
      <c r="P24" s="33">
        <f>25000*1.21</f>
        <v>30250</v>
      </c>
    </row>
    <row r="25" spans="1:16" s="9" customFormat="1" ht="15" customHeight="1" x14ac:dyDescent="0.2">
      <c r="A25" s="23" t="s">
        <v>38</v>
      </c>
      <c r="B25" s="23" t="s">
        <v>37</v>
      </c>
      <c r="C25" s="23" t="s">
        <v>2</v>
      </c>
      <c r="D25" s="23" t="s">
        <v>80</v>
      </c>
      <c r="E25" s="34"/>
      <c r="F25" s="34"/>
      <c r="G25" s="35">
        <f>305000*1.21</f>
        <v>369050</v>
      </c>
      <c r="H25" s="35"/>
      <c r="I25" s="34">
        <v>410400</v>
      </c>
      <c r="J25" s="34"/>
      <c r="K25" s="34">
        <f t="shared" si="0"/>
        <v>439600</v>
      </c>
      <c r="L25" s="34"/>
      <c r="M25" s="34">
        <f>360000</f>
        <v>360000</v>
      </c>
      <c r="N25" s="11" t="s">
        <v>19</v>
      </c>
    </row>
    <row r="26" spans="1:16" s="9" customFormat="1" ht="15" customHeight="1" x14ac:dyDescent="0.2">
      <c r="A26" s="23" t="s">
        <v>38</v>
      </c>
      <c r="B26" s="23" t="s">
        <v>37</v>
      </c>
      <c r="C26" s="23" t="s">
        <v>2</v>
      </c>
      <c r="D26" s="23" t="s">
        <v>80</v>
      </c>
      <c r="E26" s="34"/>
      <c r="F26" s="34"/>
      <c r="G26" s="35">
        <f>710000-G25-P26</f>
        <v>298600</v>
      </c>
      <c r="H26" s="35"/>
      <c r="I26" s="34">
        <v>359000</v>
      </c>
      <c r="J26" s="34"/>
      <c r="K26" s="34">
        <f t="shared" si="0"/>
        <v>384600</v>
      </c>
      <c r="L26" s="34"/>
      <c r="M26" s="34">
        <f>695000-M25-P26</f>
        <v>292650</v>
      </c>
      <c r="N26" s="24" t="s">
        <v>36</v>
      </c>
      <c r="P26" s="33">
        <f>35000*1.21</f>
        <v>42350</v>
      </c>
    </row>
    <row r="27" spans="1:16" s="9" customFormat="1" ht="15" customHeight="1" x14ac:dyDescent="0.2">
      <c r="A27" s="24" t="s">
        <v>45</v>
      </c>
      <c r="B27" s="24" t="s">
        <v>46</v>
      </c>
      <c r="C27" s="24" t="s">
        <v>2</v>
      </c>
      <c r="D27" s="24"/>
      <c r="E27" s="24"/>
      <c r="F27" s="24"/>
      <c r="G27" s="36">
        <f>7500+17500</f>
        <v>25000</v>
      </c>
      <c r="H27" s="36"/>
      <c r="I27" s="34">
        <v>27800</v>
      </c>
      <c r="J27" s="34"/>
      <c r="K27" s="34">
        <f t="shared" si="0"/>
        <v>29800</v>
      </c>
      <c r="L27" s="34"/>
      <c r="M27" s="34">
        <f t="shared" si="1"/>
        <v>31000</v>
      </c>
      <c r="N27" s="30"/>
    </row>
    <row r="28" spans="1:16" s="26" customFormat="1" ht="25.5" x14ac:dyDescent="0.2">
      <c r="A28" s="41" t="s">
        <v>39</v>
      </c>
      <c r="B28" s="42" t="s">
        <v>5</v>
      </c>
      <c r="C28" s="42" t="s">
        <v>2</v>
      </c>
      <c r="D28" s="42" t="s">
        <v>73</v>
      </c>
      <c r="E28" s="43">
        <v>14201797</v>
      </c>
      <c r="F28" s="43">
        <v>14450000</v>
      </c>
      <c r="G28" s="43">
        <f>420000-32000</f>
        <v>388000</v>
      </c>
      <c r="H28" s="43">
        <f>ROUND(F28/108*119.7,-2)</f>
        <v>16015400</v>
      </c>
      <c r="I28" s="43">
        <v>431500</v>
      </c>
      <c r="J28" s="43">
        <f t="shared" ref="J28" si="6">ROUND(H28/119.7*125.2,-2)</f>
        <v>16751300</v>
      </c>
      <c r="K28" s="43">
        <f t="shared" ref="K28" si="7">ROUND(I28/115.1*123.3,-2)</f>
        <v>462200</v>
      </c>
      <c r="L28" s="43">
        <f t="shared" ref="L28" si="8">ROUND(J28/125.2*131.8,-2)</f>
        <v>17634400</v>
      </c>
      <c r="M28" s="43">
        <f t="shared" ref="M28" si="9">ROUND(K28/123.3*128.3,-2)</f>
        <v>480900</v>
      </c>
      <c r="N28" s="44"/>
    </row>
    <row r="29" spans="1:16" s="9" customFormat="1" ht="15" customHeight="1" x14ac:dyDescent="0.2">
      <c r="A29" s="24" t="s">
        <v>31</v>
      </c>
      <c r="B29" s="24" t="s">
        <v>6</v>
      </c>
      <c r="C29" s="24" t="s">
        <v>2</v>
      </c>
      <c r="D29" s="23" t="s">
        <v>80</v>
      </c>
      <c r="E29" s="34"/>
      <c r="F29" s="34"/>
      <c r="G29" s="27">
        <f>2930000-P29</f>
        <v>2542800</v>
      </c>
      <c r="H29" s="27"/>
      <c r="I29" s="34">
        <v>2962600</v>
      </c>
      <c r="J29" s="34"/>
      <c r="K29" s="34">
        <f t="shared" si="0"/>
        <v>3173700</v>
      </c>
      <c r="L29" s="34"/>
      <c r="M29" s="34">
        <f>2490000-P29</f>
        <v>2102800</v>
      </c>
      <c r="N29" s="11" t="s">
        <v>20</v>
      </c>
      <c r="P29" s="33">
        <f>320000*1.21</f>
        <v>387200</v>
      </c>
    </row>
    <row r="30" spans="1:16" s="9" customFormat="1" ht="15" customHeight="1" x14ac:dyDescent="0.2">
      <c r="A30" s="24" t="s">
        <v>32</v>
      </c>
      <c r="B30" s="24" t="s">
        <v>33</v>
      </c>
      <c r="C30" s="24" t="s">
        <v>2</v>
      </c>
      <c r="D30" s="23" t="s">
        <v>80</v>
      </c>
      <c r="E30" s="34"/>
      <c r="F30" s="34"/>
      <c r="G30" s="25">
        <f>3400000*1.21</f>
        <v>4114000</v>
      </c>
      <c r="H30" s="25"/>
      <c r="I30" s="34">
        <v>4575400</v>
      </c>
      <c r="J30" s="34"/>
      <c r="K30" s="34">
        <f t="shared" si="0"/>
        <v>4901400</v>
      </c>
      <c r="L30" s="34"/>
      <c r="M30" s="34">
        <v>8280000</v>
      </c>
      <c r="N30" s="11" t="s">
        <v>19</v>
      </c>
    </row>
    <row r="31" spans="1:16" s="9" customFormat="1" ht="15" customHeight="1" x14ac:dyDescent="0.2">
      <c r="A31" s="24" t="s">
        <v>32</v>
      </c>
      <c r="B31" s="24" t="s">
        <v>33</v>
      </c>
      <c r="C31" s="24" t="s">
        <v>2</v>
      </c>
      <c r="D31" s="23" t="s">
        <v>80</v>
      </c>
      <c r="E31" s="34"/>
      <c r="F31" s="34"/>
      <c r="G31" s="25">
        <f>6420000-G30-P31</f>
        <v>1380350</v>
      </c>
      <c r="H31" s="25"/>
      <c r="I31" s="34">
        <v>2073500</v>
      </c>
      <c r="J31" s="34"/>
      <c r="K31" s="34">
        <f t="shared" si="0"/>
        <v>2221200</v>
      </c>
      <c r="L31" s="34"/>
      <c r="M31" s="34">
        <f>13240000-M30-P31</f>
        <v>4034350</v>
      </c>
      <c r="N31" s="11" t="s">
        <v>34</v>
      </c>
      <c r="P31" s="33">
        <f>765000*1.21</f>
        <v>925650</v>
      </c>
    </row>
    <row r="32" spans="1:16" s="12" customFormat="1" ht="15" customHeight="1" x14ac:dyDescent="0.2">
      <c r="A32" s="24" t="s">
        <v>11</v>
      </c>
      <c r="B32" s="24" t="s">
        <v>12</v>
      </c>
      <c r="C32" s="24" t="s">
        <v>10</v>
      </c>
      <c r="D32" s="23" t="s">
        <v>80</v>
      </c>
      <c r="E32" s="34"/>
      <c r="F32" s="34"/>
      <c r="G32" s="25">
        <f>4820000*1.21</f>
        <v>5832200</v>
      </c>
      <c r="H32" s="25"/>
      <c r="I32" s="34">
        <v>6486400</v>
      </c>
      <c r="J32" s="34"/>
      <c r="K32" s="34">
        <f t="shared" si="0"/>
        <v>6948500</v>
      </c>
      <c r="L32" s="34"/>
      <c r="M32" s="34">
        <v>6715000</v>
      </c>
      <c r="N32" s="11" t="s">
        <v>19</v>
      </c>
      <c r="P32" s="32"/>
    </row>
    <row r="33" spans="1:16" s="9" customFormat="1" ht="15" customHeight="1" x14ac:dyDescent="0.2">
      <c r="A33" s="24" t="s">
        <v>11</v>
      </c>
      <c r="B33" s="24" t="s">
        <v>12</v>
      </c>
      <c r="C33" s="24" t="s">
        <v>10</v>
      </c>
      <c r="D33" s="23" t="s">
        <v>80</v>
      </c>
      <c r="E33" s="27"/>
      <c r="F33" s="27"/>
      <c r="G33" s="27">
        <f>14235000-G32-P33</f>
        <v>7973250</v>
      </c>
      <c r="H33" s="27"/>
      <c r="I33" s="34">
        <v>8887700</v>
      </c>
      <c r="J33" s="34"/>
      <c r="K33" s="34">
        <f t="shared" si="0"/>
        <v>9520900</v>
      </c>
      <c r="L33" s="34"/>
      <c r="M33" s="34">
        <f>15290000-M32-P33</f>
        <v>8145450</v>
      </c>
      <c r="N33" s="11" t="s">
        <v>16</v>
      </c>
      <c r="P33" s="33">
        <f>355000*1.21</f>
        <v>429550</v>
      </c>
    </row>
    <row r="34" spans="1:16" s="9" customFormat="1" ht="15" customHeight="1" x14ac:dyDescent="0.2">
      <c r="A34" s="24" t="s">
        <v>41</v>
      </c>
      <c r="B34" s="24" t="s">
        <v>42</v>
      </c>
      <c r="C34" s="24" t="s">
        <v>2</v>
      </c>
      <c r="D34" s="23" t="s">
        <v>80</v>
      </c>
      <c r="E34" s="34"/>
      <c r="F34" s="34"/>
      <c r="G34" s="25">
        <f>50000*1.21</f>
        <v>60500</v>
      </c>
      <c r="H34" s="25"/>
      <c r="I34" s="34">
        <v>67300</v>
      </c>
      <c r="J34" s="34"/>
      <c r="K34" s="34">
        <f t="shared" si="0"/>
        <v>72100</v>
      </c>
      <c r="L34" s="34"/>
      <c r="M34" s="34">
        <v>190000</v>
      </c>
      <c r="N34" s="11" t="s">
        <v>19</v>
      </c>
      <c r="P34" s="33"/>
    </row>
    <row r="35" spans="1:16" s="29" customFormat="1" ht="15" customHeight="1" x14ac:dyDescent="0.2">
      <c r="A35" s="24" t="s">
        <v>41</v>
      </c>
      <c r="B35" s="24" t="s">
        <v>42</v>
      </c>
      <c r="C35" s="24" t="s">
        <v>2</v>
      </c>
      <c r="D35" s="23" t="s">
        <v>80</v>
      </c>
      <c r="E35" s="27"/>
      <c r="F35" s="27"/>
      <c r="G35" s="25">
        <f>145000-G34-P35</f>
        <v>60300</v>
      </c>
      <c r="H35" s="25"/>
      <c r="I35" s="34">
        <v>84600</v>
      </c>
      <c r="J35" s="34"/>
      <c r="K35" s="34">
        <f t="shared" si="0"/>
        <v>90600</v>
      </c>
      <c r="L35" s="34"/>
      <c r="M35" s="34">
        <f>320000-M34-P35</f>
        <v>105800</v>
      </c>
      <c r="N35" s="24" t="s">
        <v>20</v>
      </c>
      <c r="P35" s="32">
        <f>20000*1.21</f>
        <v>24200</v>
      </c>
    </row>
    <row r="36" spans="1:16" s="2" customFormat="1" x14ac:dyDescent="0.2">
      <c r="E36" s="6"/>
      <c r="F36" s="6"/>
      <c r="G36" s="6"/>
      <c r="H36" s="6"/>
      <c r="I36" s="6"/>
      <c r="J36" s="6"/>
      <c r="K36" s="6"/>
      <c r="L36" s="6"/>
      <c r="M36" s="6"/>
    </row>
    <row r="37" spans="1:16" ht="13.5" thickBot="1" x14ac:dyDescent="0.25">
      <c r="C37" s="3" t="s">
        <v>1</v>
      </c>
      <c r="E37" s="7">
        <v>51187288</v>
      </c>
      <c r="F37" s="7">
        <f t="shared" ref="F37:K37" si="10">SUM(F8:F36)</f>
        <v>24300000</v>
      </c>
      <c r="G37" s="7">
        <f t="shared" si="10"/>
        <v>44249850</v>
      </c>
      <c r="H37" s="7">
        <f t="shared" si="10"/>
        <v>27518300</v>
      </c>
      <c r="I37" s="7">
        <f t="shared" si="10"/>
        <v>50495400</v>
      </c>
      <c r="J37" s="7">
        <f t="shared" si="10"/>
        <v>28782700</v>
      </c>
      <c r="K37" s="7">
        <f t="shared" si="10"/>
        <v>54093000</v>
      </c>
      <c r="L37" s="7">
        <f>SUM(L5:L36)</f>
        <v>68657400</v>
      </c>
      <c r="M37" s="7">
        <f>SUM(M5:M36)</f>
        <v>57660400</v>
      </c>
      <c r="P37" s="5">
        <f>SUM(P5:P36)</f>
        <v>4791600</v>
      </c>
    </row>
    <row r="38" spans="1:16" ht="13.5" thickTop="1" x14ac:dyDescent="0.2"/>
    <row r="39" spans="1:16" s="28" customFormat="1" x14ac:dyDescent="0.2">
      <c r="A39" s="28" t="s">
        <v>40</v>
      </c>
      <c r="G39" s="37"/>
      <c r="H39" s="37"/>
      <c r="I39" s="37"/>
      <c r="J39" s="37"/>
      <c r="K39" s="37"/>
      <c r="L39" s="37"/>
      <c r="M39" s="37"/>
    </row>
    <row r="40" spans="1:16" x14ac:dyDescent="0.2">
      <c r="A40" s="28" t="s">
        <v>74</v>
      </c>
    </row>
    <row r="41" spans="1:16" x14ac:dyDescent="0.2">
      <c r="A41" s="28" t="s">
        <v>75</v>
      </c>
    </row>
    <row r="42" spans="1:16" x14ac:dyDescent="0.2">
      <c r="A42" s="28" t="s">
        <v>79</v>
      </c>
    </row>
    <row r="43" spans="1:16" x14ac:dyDescent="0.2">
      <c r="E43" s="13"/>
      <c r="F43" s="13"/>
      <c r="G43" s="5">
        <f>F37+G37</f>
        <v>68549850</v>
      </c>
      <c r="H43" s="5"/>
      <c r="I43" s="5">
        <f>H37+I37</f>
        <v>78013700</v>
      </c>
      <c r="J43" s="5"/>
      <c r="K43" s="5">
        <f>J37+K37</f>
        <v>82875700</v>
      </c>
      <c r="L43" s="5"/>
      <c r="M43" s="5">
        <f>L37+M37</f>
        <v>126317800</v>
      </c>
      <c r="N43" s="28" t="s">
        <v>55</v>
      </c>
    </row>
    <row r="44" spans="1:16" x14ac:dyDescent="0.2">
      <c r="E44" s="4"/>
      <c r="F44" s="4"/>
      <c r="G44" s="4"/>
      <c r="H44" s="4"/>
      <c r="I44" s="4">
        <v>50000</v>
      </c>
      <c r="J44" s="4"/>
      <c r="K44" s="4">
        <v>50000</v>
      </c>
      <c r="L44" s="4"/>
      <c r="M44" s="4">
        <v>50000</v>
      </c>
      <c r="N44" s="28" t="s">
        <v>56</v>
      </c>
    </row>
    <row r="45" spans="1:16" ht="13.5" thickBot="1" x14ac:dyDescent="0.25">
      <c r="E45" s="4"/>
      <c r="F45" s="4"/>
      <c r="G45" s="4">
        <f>SUM(G43:G43)</f>
        <v>68549850</v>
      </c>
      <c r="H45" s="4"/>
      <c r="I45" s="38">
        <f>SUM(I43:I44)</f>
        <v>78063700</v>
      </c>
      <c r="J45" s="4"/>
      <c r="K45" s="38">
        <f>SUM(K43:K44)</f>
        <v>82925700</v>
      </c>
      <c r="L45" s="40"/>
      <c r="M45" s="38">
        <f>SUM(M43:M44)</f>
        <v>126367800</v>
      </c>
    </row>
    <row r="46" spans="1:16" ht="13.5" thickTop="1" x14ac:dyDescent="0.2"/>
    <row r="52" spans="6:10" x14ac:dyDescent="0.2">
      <c r="F52" s="5">
        <f>SUM(F5:F51)</f>
        <v>77450000</v>
      </c>
      <c r="J52" s="5"/>
    </row>
  </sheetData>
  <autoFilter ref="A1:N35" xr:uid="{00000000-0001-0000-0000-000000000000}"/>
  <sortState xmlns:xlrd2="http://schemas.microsoft.com/office/spreadsheetml/2017/richdata2" ref="A8:Q34">
    <sortCondition ref="A8:A34"/>
  </sortState>
  <phoneticPr fontId="3" type="noConversion"/>
  <pageMargins left="0.55118110236220474" right="0.55118110236220474" top="1.5748031496062993" bottom="0.98425196850393704" header="0.51181102362204722" footer="0.70866141732283472"/>
  <pageSetup paperSize="9" scale="77" orientation="landscape" r:id="rId1"/>
  <headerFooter alignWithMargins="0">
    <oddFooter>&amp;L&amp;F &amp;A&amp;C&amp;P&amp;R&amp;D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A846-4C99-4841-B5F7-C2AE18C1F2AC}">
  <dimension ref="A1:E5"/>
  <sheetViews>
    <sheetView workbookViewId="0">
      <selection activeCell="C3" sqref="C3"/>
    </sheetView>
  </sheetViews>
  <sheetFormatPr defaultRowHeight="12.75" x14ac:dyDescent="0.2"/>
  <cols>
    <col min="1" max="1" width="2" bestFit="1" customWidth="1"/>
    <col min="2" max="2" width="42.42578125" bestFit="1" customWidth="1"/>
    <col min="3" max="3" width="22.140625" bestFit="1" customWidth="1"/>
    <col min="5" max="5" width="10" bestFit="1" customWidth="1"/>
  </cols>
  <sheetData>
    <row r="1" spans="1:5" x14ac:dyDescent="0.2">
      <c r="B1" s="8" t="s">
        <v>67</v>
      </c>
    </row>
    <row r="2" spans="1:5" x14ac:dyDescent="0.2">
      <c r="A2" s="39">
        <v>1</v>
      </c>
      <c r="B2" s="39" t="s">
        <v>60</v>
      </c>
      <c r="C2" s="24" t="s">
        <v>72</v>
      </c>
      <c r="D2" s="24" t="s">
        <v>8</v>
      </c>
      <c r="E2" s="24" t="s">
        <v>2</v>
      </c>
    </row>
    <row r="3" spans="1:5" x14ac:dyDescent="0.2">
      <c r="A3" s="39">
        <v>2</v>
      </c>
      <c r="B3" s="39" t="s">
        <v>61</v>
      </c>
      <c r="C3" s="24" t="s">
        <v>64</v>
      </c>
      <c r="D3" s="24" t="s">
        <v>18</v>
      </c>
      <c r="E3" s="24" t="s">
        <v>2</v>
      </c>
    </row>
    <row r="4" spans="1:5" x14ac:dyDescent="0.2">
      <c r="A4" s="39">
        <v>3</v>
      </c>
      <c r="B4" s="39" t="s">
        <v>62</v>
      </c>
      <c r="C4" s="24" t="s">
        <v>65</v>
      </c>
      <c r="D4" s="24" t="s">
        <v>37</v>
      </c>
      <c r="E4" s="24" t="s">
        <v>2</v>
      </c>
    </row>
    <row r="5" spans="1:5" x14ac:dyDescent="0.2">
      <c r="A5" s="39">
        <v>4</v>
      </c>
      <c r="B5" s="39" t="s">
        <v>63</v>
      </c>
      <c r="C5" s="24" t="s">
        <v>66</v>
      </c>
      <c r="D5" s="24" t="s">
        <v>46</v>
      </c>
      <c r="E5" s="24" t="s">
        <v>2</v>
      </c>
    </row>
  </sheetData>
  <pageMargins left="0.70866141732283472" right="0.70866141732283472" top="1.5354330708661419" bottom="0.94488188976377963" header="0.31496062992125984" footer="0.70866141732283472"/>
  <pageSetup paperSize="9" orientation="portrait" r:id="rId1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 sub A</vt:lpstr>
      <vt:lpstr>specificatie sub C</vt:lpstr>
      <vt:lpstr>'specificatie sub A'!Afdrukbereik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pcornelisse</dc:creator>
  <cp:lastModifiedBy>Iris Vink</cp:lastModifiedBy>
  <cp:lastPrinted>2024-01-12T08:43:30Z</cp:lastPrinted>
  <dcterms:created xsi:type="dcterms:W3CDTF">2013-01-03T13:37:16Z</dcterms:created>
  <dcterms:modified xsi:type="dcterms:W3CDTF">2025-10-16T13:46:28Z</dcterms:modified>
</cp:coreProperties>
</file>