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5 Inkooptrajecten\5.3 EA-openbaar\2025\BD-EURAAN-RD-IUCN2502 -ROK BGGO 2026 (TN509789)\"/>
    </mc:Choice>
  </mc:AlternateContent>
  <xr:revisionPtr revIDLastSave="0" documentId="13_ncr:1_{8F0FD501-CE87-4B72-A609-F3D39067BC2C}" xr6:coauthVersionLast="47" xr6:coauthVersionMax="47" xr10:uidLastSave="{00000000-0000-0000-0000-000000000000}"/>
  <bookViews>
    <workbookView xWindow="-120" yWindow="-120" windowWidth="29040" windowHeight="15840" xr2:uid="{B9F942FF-A306-49EB-A7A5-977592118184}"/>
  </bookViews>
  <sheets>
    <sheet name="Prognose ROK BGOO 2026" sheetId="5" r:id="rId1"/>
    <sheet name="Historisch overzich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3" l="1"/>
  <c r="E30" i="3"/>
  <c r="D30" i="3"/>
  <c r="D29" i="3"/>
  <c r="T4" i="5"/>
  <c r="T3" i="5"/>
  <c r="V7" i="5"/>
  <c r="R6" i="5"/>
  <c r="R5" i="5"/>
  <c r="R4" i="5"/>
  <c r="R3" i="5"/>
  <c r="P3" i="5" l="1"/>
  <c r="U4" i="5" l="1"/>
  <c r="U3" i="5"/>
  <c r="K4" i="5"/>
  <c r="K3" i="5"/>
  <c r="E31" i="3" l="1"/>
  <c r="R7" i="5"/>
  <c r="J3" i="5"/>
  <c r="D18" i="5"/>
  <c r="O7" i="5"/>
  <c r="D23" i="5" s="1"/>
  <c r="I6" i="5"/>
  <c r="S6" i="5" s="1"/>
  <c r="J6" i="5"/>
  <c r="I5" i="5"/>
  <c r="S5" i="5" s="1"/>
  <c r="J5" i="5"/>
  <c r="L5" i="5" s="1"/>
  <c r="I4" i="5"/>
  <c r="S4" i="5" s="1"/>
  <c r="J4" i="5"/>
  <c r="L4" i="5" s="1"/>
  <c r="I3" i="5"/>
  <c r="I7" i="5" l="1"/>
  <c r="K6" i="5"/>
  <c r="L6" i="5" s="1"/>
  <c r="N5" i="5"/>
  <c r="P5" i="5"/>
  <c r="N4" i="5"/>
  <c r="P4" i="5"/>
  <c r="J7" i="5"/>
  <c r="S3" i="5"/>
  <c r="S7" i="5" s="1"/>
  <c r="K7" i="5" l="1"/>
  <c r="L7" i="5" s="1"/>
  <c r="L3" i="5"/>
  <c r="D19" i="5"/>
  <c r="N3" i="5" l="1"/>
  <c r="N7" i="5" s="1"/>
  <c r="D22" i="5" s="1"/>
  <c r="P7" i="5"/>
  <c r="D24" i="5" s="1"/>
</calcChain>
</file>

<file path=xl/sharedStrings.xml><?xml version="1.0" encoding="utf-8"?>
<sst xmlns="http://schemas.openxmlformats.org/spreadsheetml/2006/main" count="86" uniqueCount="72">
  <si>
    <t>Perceel 1</t>
  </si>
  <si>
    <t>Perceel 2</t>
  </si>
  <si>
    <t>Perceel 3</t>
  </si>
  <si>
    <t>Perceel 4</t>
  </si>
  <si>
    <t>Eindtotaal</t>
  </si>
  <si>
    <t>#contracten</t>
  </si>
  <si>
    <t>Totale contractwaarde</t>
  </si>
  <si>
    <t>jaar</t>
  </si>
  <si>
    <t>#opdr.</t>
  </si>
  <si>
    <t>waarde</t>
  </si>
  <si>
    <t>gem.waarde</t>
  </si>
  <si>
    <t>Opdracht- waarde in €</t>
  </si>
  <si>
    <t>oude ROK</t>
  </si>
  <si>
    <t>ROK</t>
  </si>
  <si>
    <t>Lopende ROK</t>
  </si>
  <si>
    <t>Lopend: ROK BGOO 2023</t>
  </si>
  <si>
    <t>Vervallen: ROK BGOO 2019-2022</t>
  </si>
  <si>
    <t>Jaar start Nadere overeenkomst</t>
  </si>
  <si>
    <t>gemiddelde 2023-2024</t>
  </si>
  <si>
    <t>%</t>
  </si>
  <si>
    <t>Samengevoegd</t>
  </si>
  <si>
    <t>Raming totale looptijd ROK BGOO 2023</t>
  </si>
  <si>
    <t>Werkelijke realisatie huidige ROK BGOO 2023</t>
  </si>
  <si>
    <t>Extrapolatie naar 48 maanden tbv ROK BGOO 2025</t>
  </si>
  <si>
    <t>Berekening</t>
  </si>
  <si>
    <t>#</t>
  </si>
  <si>
    <t>Perceelnaam</t>
  </si>
  <si>
    <t>Verwacht aantal NOK's</t>
  </si>
  <si>
    <t>maximale waarde (excl. indexering)</t>
  </si>
  <si>
    <t>*</t>
  </si>
  <si>
    <t>#NOK's t/m 31 dec 2024</t>
  </si>
  <si>
    <t>Opdracht- waarde in euro's t/m 31 dec 2024</t>
  </si>
  <si>
    <t>#NOK's</t>
  </si>
  <si>
    <t>Rekenkundige extrapolatie</t>
  </si>
  <si>
    <t>Vervallen perceel 4: verdelen over de overige percelen</t>
  </si>
  <si>
    <t>Rekenkundige extrapolatie, perceel 4 herverdeeld</t>
  </si>
  <si>
    <t>Scenario 1: krimp (90% tov huidig)</t>
  </si>
  <si>
    <t>Scenario 2: gemiddeld, realistisch scenario</t>
  </si>
  <si>
    <t>Scenario 3: groei (groeiscenario +40%)</t>
  </si>
  <si>
    <t>Opmerking</t>
  </si>
  <si>
    <t>Funderend onderwijs</t>
  </si>
  <si>
    <t>Middelbaar beroepsonderwijs en HO</t>
  </si>
  <si>
    <t>Onderwijspersoneel</t>
  </si>
  <si>
    <t>Overgangen in het onderwijs</t>
  </si>
  <si>
    <t>-</t>
  </si>
  <si>
    <t>Perceel 4 vervalt, waarde herverdeeld</t>
  </si>
  <si>
    <t>Scenario 2: realistische inschatting door materiedeskundigen OCW</t>
  </si>
  <si>
    <t>op basis van "educated guess". Hierbij is rekening gehouden met alle</t>
  </si>
  <si>
    <t>op moment van raming bekende voorgenomen onderzoeken in de nieuwe</t>
  </si>
  <si>
    <t>contractperiode</t>
  </si>
  <si>
    <t>Samenvattend</t>
  </si>
  <si>
    <t>Oude raming (uit 2022)</t>
  </si>
  <si>
    <t>Extrapolatie werkelijke uitputting naar vier jaar</t>
  </si>
  <si>
    <t>Krimpscenario</t>
  </si>
  <si>
    <t>Realistisch scenario</t>
  </si>
  <si>
    <t xml:space="preserve">     *</t>
  </si>
  <si>
    <t>Groeiscenario</t>
  </si>
  <si>
    <t>*) prognose 3 scenario's</t>
  </si>
  <si>
    <t>van k€7.476 tot max. k€11.630</t>
  </si>
  <si>
    <t>Scenario's tbv Beschrijvend document ROK BGOO 2026</t>
  </si>
  <si>
    <t>#opdr. Laag</t>
  </si>
  <si>
    <t>#opdr. Hoog</t>
  </si>
  <si>
    <t>gemiddelde 2019-2021 (basis prognose ROK BGOO 2023)</t>
  </si>
  <si>
    <t>gemiddelde 2019-2022 (voortschrijdend inzicht, na publicatie)</t>
  </si>
  <si>
    <t>van k€6.977 tot max. k€10.854</t>
  </si>
  <si>
    <t>van k€10.081 tot max. k€16.133</t>
  </si>
  <si>
    <t>We zien dat er momenteel voor perceel 1 onder de huidige Raamovereenkomst</t>
  </si>
  <si>
    <t>relatief veel minicompetities lopen op perceel 1. Het maximale scenario</t>
  </si>
  <si>
    <t xml:space="preserve">voor perceel 1 is hierop aangepast. Zodoende is rekening gehouden met </t>
  </si>
  <si>
    <t>de verwachte toename van werkelijk gerealiseerde opdrachten gedurende</t>
  </si>
  <si>
    <t>2025.</t>
  </si>
  <si>
    <t>gemiddelde in euro's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</si>
</sst>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€&quot;\ #,##0;[Red]&quot;€&quot;\ \-#,##0"/>
    <numFmt numFmtId="42" formatCode="_ &quot;€&quot;\ * #,##0_ ;_ &quot;€&quot;\ * \-#,##0_ ;_ &quot;€&quot;\ * &quot;-&quot;_ ;_ @_ "/>
    <numFmt numFmtId="164" formatCode="_ &quot;€&quot;\ * #,##0_ ;_ &quot;€&quot;\ * \-#,##0_ ;_ &quot;€&quot;\ * &quot;-&quot;??_ ;_ @_ "/>
    <numFmt numFmtId="165" formatCode="#,##0_ ;\-#,##0\ "/>
    <numFmt numFmtId="166" formatCode="#,##0;[Red]#,##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trike/>
      <sz val="10"/>
      <color rgb="FFFF0000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98">
    <xf numFmtId="0" fontId="0" fillId="0" borderId="0" xfId="0"/>
    <xf numFmtId="42" fontId="0" fillId="0" borderId="0" xfId="0" applyNumberFormat="1"/>
    <xf numFmtId="0" fontId="5" fillId="0" borderId="0" xfId="0" applyFont="1"/>
    <xf numFmtId="42" fontId="5" fillId="0" borderId="0" xfId="0" applyNumberFormat="1" applyFont="1"/>
    <xf numFmtId="0" fontId="0" fillId="2" borderId="0" xfId="0" applyFill="1"/>
    <xf numFmtId="42" fontId="0" fillId="2" borderId="0" xfId="0" applyNumberFormat="1" applyFill="1"/>
    <xf numFmtId="0" fontId="0" fillId="3" borderId="0" xfId="0" applyFill="1"/>
    <xf numFmtId="42" fontId="0" fillId="3" borderId="0" xfId="0" applyNumberFormat="1" applyFill="1"/>
    <xf numFmtId="0" fontId="6" fillId="4" borderId="0" xfId="0" applyFont="1" applyFill="1"/>
    <xf numFmtId="42" fontId="6" fillId="4" borderId="0" xfId="0" applyNumberFormat="1" applyFont="1" applyFill="1"/>
    <xf numFmtId="0" fontId="0" fillId="5" borderId="0" xfId="0" applyFill="1"/>
    <xf numFmtId="42" fontId="0" fillId="5" borderId="0" xfId="0" applyNumberFormat="1" applyFill="1"/>
    <xf numFmtId="0" fontId="0" fillId="6" borderId="1" xfId="0" applyFill="1" applyBorder="1"/>
    <xf numFmtId="0" fontId="0" fillId="7" borderId="1" xfId="0" applyFill="1" applyBorder="1"/>
    <xf numFmtId="9" fontId="0" fillId="5" borderId="0" xfId="1" applyFont="1" applyFill="1"/>
    <xf numFmtId="0" fontId="9" fillId="5" borderId="1" xfId="0" applyFont="1" applyFill="1" applyBorder="1"/>
    <xf numFmtId="42" fontId="9" fillId="5" borderId="1" xfId="0" applyNumberFormat="1" applyFont="1" applyFill="1" applyBorder="1"/>
    <xf numFmtId="0" fontId="0" fillId="0" borderId="0" xfId="0" applyAlignment="1">
      <alignment vertical="center"/>
    </xf>
    <xf numFmtId="0" fontId="4" fillId="0" borderId="0" xfId="0" applyFont="1"/>
    <xf numFmtId="9" fontId="0" fillId="0" borderId="0" xfId="1" applyFont="1"/>
    <xf numFmtId="9" fontId="0" fillId="0" borderId="0" xfId="0" applyNumberFormat="1"/>
    <xf numFmtId="0" fontId="8" fillId="4" borderId="5" xfId="0" applyFont="1" applyFill="1" applyBorder="1"/>
    <xf numFmtId="0" fontId="8" fillId="4" borderId="6" xfId="0" applyFont="1" applyFill="1" applyBorder="1"/>
    <xf numFmtId="42" fontId="8" fillId="4" borderId="7" xfId="0" applyNumberFormat="1" applyFont="1" applyFill="1" applyBorder="1" applyAlignment="1">
      <alignment wrapText="1"/>
    </xf>
    <xf numFmtId="0" fontId="5" fillId="3" borderId="0" xfId="0" applyFont="1" applyFill="1"/>
    <xf numFmtId="42" fontId="5" fillId="3" borderId="0" xfId="0" applyNumberFormat="1" applyFont="1" applyFill="1"/>
    <xf numFmtId="0" fontId="5" fillId="2" borderId="0" xfId="0" applyFont="1" applyFill="1"/>
    <xf numFmtId="42" fontId="5" fillId="2" borderId="0" xfId="0" applyNumberFormat="1" applyFont="1" applyFill="1"/>
    <xf numFmtId="0" fontId="3" fillId="0" borderId="0" xfId="2" applyAlignment="1">
      <alignment vertical="center"/>
    </xf>
    <xf numFmtId="0" fontId="3" fillId="4" borderId="2" xfId="2" applyFill="1" applyBorder="1" applyAlignment="1">
      <alignment vertical="center"/>
    </xf>
    <xf numFmtId="0" fontId="3" fillId="0" borderId="0" xfId="2" applyAlignment="1">
      <alignment horizontal="center" vertical="center" wrapText="1"/>
    </xf>
    <xf numFmtId="0" fontId="11" fillId="8" borderId="1" xfId="2" applyFont="1" applyFill="1" applyBorder="1" applyAlignment="1">
      <alignment horizontal="left" vertical="top" wrapText="1"/>
    </xf>
    <xf numFmtId="0" fontId="11" fillId="4" borderId="1" xfId="2" applyFont="1" applyFill="1" applyBorder="1" applyAlignment="1">
      <alignment horizontal="left" vertical="top" wrapText="1"/>
    </xf>
    <xf numFmtId="0" fontId="11" fillId="8" borderId="8" xfId="2" applyFont="1" applyFill="1" applyBorder="1" applyAlignment="1">
      <alignment horizontal="left" vertical="top" wrapText="1"/>
    </xf>
    <xf numFmtId="0" fontId="11" fillId="8" borderId="9" xfId="2" applyFont="1" applyFill="1" applyBorder="1" applyAlignment="1">
      <alignment horizontal="left" vertical="top" wrapText="1"/>
    </xf>
    <xf numFmtId="0" fontId="11" fillId="8" borderId="0" xfId="2" applyFont="1" applyFill="1" applyAlignment="1">
      <alignment horizontal="left" vertical="top" wrapText="1"/>
    </xf>
    <xf numFmtId="0" fontId="11" fillId="8" borderId="10" xfId="2" applyFont="1" applyFill="1" applyBorder="1" applyAlignment="1">
      <alignment horizontal="left" vertical="top" wrapText="1"/>
    </xf>
    <xf numFmtId="0" fontId="3" fillId="0" borderId="0" xfId="2"/>
    <xf numFmtId="0" fontId="3" fillId="0" borderId="0" xfId="2" applyAlignment="1">
      <alignment horizontal="left"/>
    </xf>
    <xf numFmtId="164" fontId="3" fillId="0" borderId="0" xfId="2" applyNumberFormat="1"/>
    <xf numFmtId="0" fontId="3" fillId="4" borderId="3" xfId="2" applyFill="1" applyBorder="1"/>
    <xf numFmtId="0" fontId="3" fillId="0" borderId="0" xfId="2" applyAlignment="1">
      <alignment horizontal="center" vertical="center"/>
    </xf>
    <xf numFmtId="6" fontId="3" fillId="0" borderId="0" xfId="2" applyNumberFormat="1"/>
    <xf numFmtId="6" fontId="3" fillId="9" borderId="0" xfId="2" applyNumberFormat="1" applyFill="1"/>
    <xf numFmtId="0" fontId="12" fillId="0" borderId="0" xfId="2" applyFont="1"/>
    <xf numFmtId="0" fontId="12" fillId="0" borderId="0" xfId="2" applyFont="1" applyAlignment="1">
      <alignment horizontal="left"/>
    </xf>
    <xf numFmtId="0" fontId="12" fillId="5" borderId="0" xfId="2" applyFont="1" applyFill="1" applyAlignment="1">
      <alignment horizontal="center" vertical="center"/>
    </xf>
    <xf numFmtId="6" fontId="12" fillId="5" borderId="0" xfId="2" applyNumberFormat="1" applyFont="1" applyFill="1"/>
    <xf numFmtId="166" fontId="3" fillId="5" borderId="0" xfId="2" applyNumberFormat="1" applyFill="1"/>
    <xf numFmtId="6" fontId="3" fillId="5" borderId="0" xfId="2" applyNumberFormat="1" applyFill="1"/>
    <xf numFmtId="6" fontId="3" fillId="5" borderId="0" xfId="2" applyNumberFormat="1" applyFill="1" applyAlignment="1">
      <alignment horizontal="right"/>
    </xf>
    <xf numFmtId="0" fontId="3" fillId="5" borderId="0" xfId="2" applyFill="1" applyAlignment="1">
      <alignment horizontal="right"/>
    </xf>
    <xf numFmtId="0" fontId="3" fillId="5" borderId="0" xfId="2" applyFill="1"/>
    <xf numFmtId="0" fontId="10" fillId="0" borderId="0" xfId="2" applyFont="1"/>
    <xf numFmtId="9" fontId="0" fillId="0" borderId="0" xfId="3" applyFont="1"/>
    <xf numFmtId="0" fontId="3" fillId="9" borderId="1" xfId="2" applyFill="1" applyBorder="1"/>
    <xf numFmtId="0" fontId="10" fillId="10" borderId="1" xfId="2" applyFont="1" applyFill="1" applyBorder="1"/>
    <xf numFmtId="0" fontId="3" fillId="10" borderId="6" xfId="2" applyFill="1" applyBorder="1"/>
    <xf numFmtId="0" fontId="3" fillId="10" borderId="7" xfId="2" applyFill="1" applyBorder="1"/>
    <xf numFmtId="0" fontId="3" fillId="10" borderId="10" xfId="2" applyFill="1" applyBorder="1"/>
    <xf numFmtId="0" fontId="3" fillId="10" borderId="0" xfId="2" applyFill="1"/>
    <xf numFmtId="164" fontId="3" fillId="10" borderId="0" xfId="2" applyNumberFormat="1" applyFill="1"/>
    <xf numFmtId="0" fontId="3" fillId="10" borderId="11" xfId="2" applyFill="1" applyBorder="1"/>
    <xf numFmtId="0" fontId="3" fillId="10" borderId="12" xfId="2" applyFill="1" applyBorder="1"/>
    <xf numFmtId="0" fontId="3" fillId="10" borderId="13" xfId="2" applyFill="1" applyBorder="1"/>
    <xf numFmtId="0" fontId="3" fillId="10" borderId="14" xfId="2" applyFill="1" applyBorder="1"/>
    <xf numFmtId="165" fontId="3" fillId="2" borderId="0" xfId="2" applyNumberFormat="1" applyFill="1"/>
    <xf numFmtId="164" fontId="3" fillId="2" borderId="0" xfId="2" applyNumberFormat="1" applyFont="1" applyFill="1"/>
    <xf numFmtId="0" fontId="10" fillId="0" borderId="8" xfId="2" applyFont="1" applyBorder="1"/>
    <xf numFmtId="164" fontId="10" fillId="0" borderId="15" xfId="2" applyNumberFormat="1" applyFont="1" applyBorder="1"/>
    <xf numFmtId="0" fontId="3" fillId="4" borderId="1" xfId="2" applyFill="1" applyBorder="1"/>
    <xf numFmtId="165" fontId="10" fillId="2" borderId="15" xfId="2" applyNumberFormat="1" applyFont="1" applyFill="1" applyBorder="1"/>
    <xf numFmtId="164" fontId="10" fillId="2" borderId="15" xfId="2" applyNumberFormat="1" applyFont="1" applyFill="1" applyBorder="1"/>
    <xf numFmtId="0" fontId="10" fillId="0" borderId="15" xfId="2" applyFont="1" applyBorder="1" applyAlignment="1">
      <alignment horizontal="center" vertical="center"/>
    </xf>
    <xf numFmtId="6" fontId="10" fillId="0" borderId="15" xfId="2" applyNumberFormat="1" applyFont="1" applyBorder="1"/>
    <xf numFmtId="164" fontId="10" fillId="0" borderId="9" xfId="2" applyNumberFormat="1" applyFont="1" applyBorder="1"/>
    <xf numFmtId="0" fontId="11" fillId="0" borderId="0" xfId="2" applyFont="1"/>
    <xf numFmtId="0" fontId="6" fillId="4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5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2" applyFont="1"/>
    <xf numFmtId="0" fontId="13" fillId="0" borderId="0" xfId="2" applyFont="1"/>
    <xf numFmtId="0" fontId="14" fillId="0" borderId="0" xfId="2" applyFont="1"/>
    <xf numFmtId="0" fontId="3" fillId="0" borderId="5" xfId="2" applyBorder="1" applyAlignment="1">
      <alignment horizontal="center" vertical="center" wrapText="1"/>
    </xf>
    <xf numFmtId="0" fontId="3" fillId="0" borderId="7" xfId="2" applyBorder="1" applyAlignment="1">
      <alignment horizontal="center" vertical="center" wrapText="1"/>
    </xf>
    <xf numFmtId="0" fontId="3" fillId="0" borderId="6" xfId="2" applyBorder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1" fillId="0" borderId="0" xfId="2" applyFont="1"/>
  </cellXfs>
  <cellStyles count="4">
    <cellStyle name="Procent" xfId="1" builtinId="5"/>
    <cellStyle name="Procent 2" xfId="3" xr:uid="{35352883-7845-42B3-ADF2-87AE950CB1B8}"/>
    <cellStyle name="Standaard" xfId="0" builtinId="0"/>
    <cellStyle name="Standaard 2" xfId="2" xr:uid="{E700E61A-2F36-4113-942F-24D134164346}"/>
  </cellStyles>
  <dxfs count="0"/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Opdrachtwaarde beleidsgericht onderzoek onderwijs</a:t>
            </a:r>
            <a:r>
              <a:rPr lang="en-US" baseline="0"/>
              <a:t> </a:t>
            </a:r>
            <a:r>
              <a:rPr lang="en-US"/>
              <a:t>in € (periode 2019</a:t>
            </a:r>
            <a:r>
              <a:rPr lang="en-US" baseline="0"/>
              <a:t> t/m 2024)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20271977016961243"/>
          <c:y val="0.18958571829708187"/>
          <c:w val="0.79728018372703413"/>
          <c:h val="0.720887649460484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'Historisch overzicht'!$I$14</c:f>
              <c:strCache>
                <c:ptCount val="1"/>
                <c:pt idx="0">
                  <c:v> Opdracht- waarde in €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41-429D-AC18-3CA19B6DE6E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241-429D-AC18-3CA19B6DE6E4}"/>
              </c:ext>
            </c:extLst>
          </c:dPt>
          <c:cat>
            <c:numRef>
              <c:f>'Historisch overzicht'!$H$15:$H$20</c:f>
              <c:numCache>
                <c:formatCode>General</c:formatCode>
                <c:ptCount val="6"/>
                <c:pt idx="0">
                  <c:v>2019</c:v>
                </c:pt>
                <c:pt idx="1">
                  <c:v>2022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'Historisch overzicht'!$I$15:$I$20</c:f>
              <c:numCache>
                <c:formatCode>_("€"* #,##0_);_("€"* \(#,##0\);_("€"* "-"_);_(@_)</c:formatCode>
                <c:ptCount val="6"/>
                <c:pt idx="0">
                  <c:v>4574399.74</c:v>
                </c:pt>
                <c:pt idx="1">
                  <c:v>4479176.1900000004</c:v>
                </c:pt>
                <c:pt idx="2">
                  <c:v>5286007.7300000004</c:v>
                </c:pt>
                <c:pt idx="3">
                  <c:v>7612956.5</c:v>
                </c:pt>
                <c:pt idx="4">
                  <c:v>6532001.5999999996</c:v>
                </c:pt>
                <c:pt idx="5">
                  <c:v>7098744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41-429D-AC18-3CA19B6DE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6476088"/>
        <c:axId val="846477528"/>
      </c:barChart>
      <c:catAx>
        <c:axId val="846476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46477528"/>
        <c:crosses val="autoZero"/>
        <c:auto val="1"/>
        <c:lblAlgn val="ctr"/>
        <c:lblOffset val="100"/>
        <c:noMultiLvlLbl val="0"/>
      </c:catAx>
      <c:valAx>
        <c:axId val="846477528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_);_(&quot;€&quot;* \(#,##0\);_(&quot;€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4647608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21</xdr:row>
      <xdr:rowOff>0</xdr:rowOff>
    </xdr:from>
    <xdr:to>
      <xdr:col>5</xdr:col>
      <xdr:colOff>190500</xdr:colOff>
      <xdr:row>23</xdr:row>
      <xdr:rowOff>114300</xdr:rowOff>
    </xdr:to>
    <xdr:sp macro="" textlink="">
      <xdr:nvSpPr>
        <xdr:cNvPr id="2" name="Rechteraccolade 1">
          <a:extLst>
            <a:ext uri="{FF2B5EF4-FFF2-40B4-BE49-F238E27FC236}">
              <a16:creationId xmlns:a16="http://schemas.microsoft.com/office/drawing/2014/main" id="{33964642-3E90-4429-B918-60DAFE8A638A}"/>
            </a:ext>
          </a:extLst>
        </xdr:cNvPr>
        <xdr:cNvSpPr/>
      </xdr:nvSpPr>
      <xdr:spPr>
        <a:xfrm>
          <a:off x="5124450" y="4286250"/>
          <a:ext cx="152400" cy="4381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2577</xdr:colOff>
      <xdr:row>11</xdr:row>
      <xdr:rowOff>131612</xdr:rowOff>
    </xdr:from>
    <xdr:to>
      <xdr:col>18</xdr:col>
      <xdr:colOff>523874</xdr:colOff>
      <xdr:row>35</xdr:row>
      <xdr:rowOff>178285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E6E620B-017E-48FA-B70E-0F3A3F178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BEE2-F227-4D4A-8DD5-5C6E93E2933B}">
  <sheetPr>
    <tabColor rgb="FF00B0F0"/>
  </sheetPr>
  <dimension ref="A1:Y27"/>
  <sheetViews>
    <sheetView tabSelected="1" zoomScaleNormal="100" workbookViewId="0">
      <selection activeCell="G11" sqref="G11"/>
    </sheetView>
  </sheetViews>
  <sheetFormatPr defaultColWidth="9.140625" defaultRowHeight="12.75" x14ac:dyDescent="0.2"/>
  <cols>
    <col min="1" max="1" width="9.5703125" style="37" customWidth="1"/>
    <col min="2" max="2" width="35.42578125" style="37" customWidth="1"/>
    <col min="3" max="3" width="9.7109375" style="37" customWidth="1"/>
    <col min="4" max="4" width="17.28515625" style="37" customWidth="1"/>
    <col min="5" max="5" width="0.5703125" style="37" customWidth="1"/>
    <col min="6" max="6" width="10.5703125" style="37" customWidth="1"/>
    <col min="7" max="7" width="19" style="37" customWidth="1"/>
    <col min="8" max="8" width="0.5703125" style="37" customWidth="1"/>
    <col min="9" max="9" width="8.85546875" style="37" customWidth="1"/>
    <col min="10" max="10" width="16.7109375" style="37" customWidth="1"/>
    <col min="11" max="11" width="17.42578125" style="37" customWidth="1"/>
    <col min="12" max="12" width="18" style="37" customWidth="1"/>
    <col min="13" max="13" width="0.5703125" style="37" customWidth="1"/>
    <col min="14" max="15" width="16.85546875" style="37" customWidth="1"/>
    <col min="16" max="16" width="18.140625" style="37" customWidth="1"/>
    <col min="17" max="17" width="37.7109375" style="37" bestFit="1" customWidth="1"/>
    <col min="18" max="16384" width="9.140625" style="37"/>
  </cols>
  <sheetData>
    <row r="1" spans="1:25" s="28" customFormat="1" ht="44.25" customHeight="1" x14ac:dyDescent="0.25">
      <c r="C1" s="88" t="s">
        <v>21</v>
      </c>
      <c r="D1" s="89"/>
      <c r="E1" s="29"/>
      <c r="F1" s="88" t="s">
        <v>22</v>
      </c>
      <c r="G1" s="90"/>
      <c r="H1" s="29"/>
      <c r="I1" s="90" t="s">
        <v>23</v>
      </c>
      <c r="J1" s="89"/>
      <c r="K1" s="30" t="s">
        <v>24</v>
      </c>
      <c r="L1" s="30" t="s">
        <v>24</v>
      </c>
      <c r="M1" s="29"/>
      <c r="N1" s="91" t="s">
        <v>59</v>
      </c>
      <c r="O1" s="91"/>
      <c r="P1" s="91"/>
    </row>
    <row r="2" spans="1:25" ht="51" x14ac:dyDescent="0.2">
      <c r="A2" s="31" t="s">
        <v>25</v>
      </c>
      <c r="B2" s="31" t="s">
        <v>26</v>
      </c>
      <c r="C2" s="31" t="s">
        <v>27</v>
      </c>
      <c r="D2" s="31" t="s">
        <v>28</v>
      </c>
      <c r="E2" s="32" t="s">
        <v>29</v>
      </c>
      <c r="F2" s="31" t="s">
        <v>30</v>
      </c>
      <c r="G2" s="33" t="s">
        <v>31</v>
      </c>
      <c r="H2" s="32" t="s">
        <v>29</v>
      </c>
      <c r="I2" s="34" t="s">
        <v>32</v>
      </c>
      <c r="J2" s="31" t="s">
        <v>33</v>
      </c>
      <c r="K2" s="35" t="s">
        <v>34</v>
      </c>
      <c r="L2" s="35" t="s">
        <v>35</v>
      </c>
      <c r="M2" s="32"/>
      <c r="N2" s="36" t="s">
        <v>36</v>
      </c>
      <c r="O2" s="36" t="s">
        <v>37</v>
      </c>
      <c r="P2" s="36" t="s">
        <v>38</v>
      </c>
      <c r="Q2" s="36" t="s">
        <v>39</v>
      </c>
      <c r="R2" s="76" t="s">
        <v>60</v>
      </c>
      <c r="S2" s="76" t="s">
        <v>61</v>
      </c>
      <c r="T2" s="76"/>
      <c r="U2" s="76"/>
      <c r="V2" s="76"/>
      <c r="W2" s="87"/>
      <c r="X2" s="87"/>
    </row>
    <row r="3" spans="1:25" x14ac:dyDescent="0.2">
      <c r="A3" s="37" t="s">
        <v>0</v>
      </c>
      <c r="B3" s="38" t="s">
        <v>40</v>
      </c>
      <c r="C3" s="37">
        <v>80</v>
      </c>
      <c r="D3" s="39">
        <v>8700000</v>
      </c>
      <c r="E3" s="40"/>
      <c r="F3" s="66">
        <v>45</v>
      </c>
      <c r="G3" s="67">
        <v>5138451.09</v>
      </c>
      <c r="H3" s="40"/>
      <c r="I3" s="41">
        <f>+CEILING(F3/24*48,1)</f>
        <v>90</v>
      </c>
      <c r="J3" s="42">
        <f>+G3/24*48</f>
        <v>10276902.18</v>
      </c>
      <c r="K3" s="42">
        <f>+J6*0.8</f>
        <v>925031.02400000009</v>
      </c>
      <c r="L3" s="42">
        <f>+SUM(J3:K3)</f>
        <v>11201933.204</v>
      </c>
      <c r="M3" s="40"/>
      <c r="N3" s="42">
        <f>+FLOOR(L3*0.9,1000)</f>
        <v>10081000</v>
      </c>
      <c r="O3" s="43">
        <v>11025000</v>
      </c>
      <c r="P3" s="42">
        <f>+CEILING(L3*1.4,1000)+450000</f>
        <v>16133000</v>
      </c>
      <c r="Q3" s="85" t="s">
        <v>65</v>
      </c>
      <c r="R3" s="76">
        <f>+I3*0.9</f>
        <v>81</v>
      </c>
      <c r="S3" s="76">
        <f>+I3*1.4</f>
        <v>125.99999999999999</v>
      </c>
      <c r="T3" s="76">
        <f>+R3+R6*0.8</f>
        <v>86.76</v>
      </c>
      <c r="U3" s="76">
        <f>+S3+S6*0.8</f>
        <v>134.95999999999998</v>
      </c>
      <c r="V3" s="76">
        <v>87</v>
      </c>
      <c r="W3" s="87"/>
      <c r="X3" s="87"/>
      <c r="Y3" s="86"/>
    </row>
    <row r="4" spans="1:25" x14ac:dyDescent="0.2">
      <c r="A4" s="37" t="s">
        <v>1</v>
      </c>
      <c r="B4" s="38" t="s">
        <v>41</v>
      </c>
      <c r="C4" s="37">
        <v>57</v>
      </c>
      <c r="D4" s="39">
        <v>6900000</v>
      </c>
      <c r="E4" s="40"/>
      <c r="F4" s="66">
        <v>32</v>
      </c>
      <c r="G4" s="67">
        <v>3760605.42</v>
      </c>
      <c r="H4" s="40"/>
      <c r="I4" s="41">
        <f t="shared" ref="I4:I6" si="0">+CEILING(F4/24*48,1)</f>
        <v>64</v>
      </c>
      <c r="J4" s="42">
        <f t="shared" ref="J4:J6" si="1">+G4/24*48</f>
        <v>7521210.8399999999</v>
      </c>
      <c r="K4" s="42">
        <f>+J6*0.2</f>
        <v>231257.75600000002</v>
      </c>
      <c r="L4" s="42">
        <f t="shared" ref="L4:L6" si="2">+SUM(J4:K4)</f>
        <v>7752468.5959999999</v>
      </c>
      <c r="M4" s="40"/>
      <c r="N4" s="42">
        <f t="shared" ref="N4:N5" si="3">+FLOOR(L4*0.9,1000)</f>
        <v>6977000</v>
      </c>
      <c r="O4" s="43">
        <v>8000000</v>
      </c>
      <c r="P4" s="42">
        <f t="shared" ref="P4:P5" si="4">+CEILING(L4*1.4,1000)</f>
        <v>10854000</v>
      </c>
      <c r="Q4" s="85" t="s">
        <v>64</v>
      </c>
      <c r="R4" s="76">
        <f>+I4*0.9</f>
        <v>57.6</v>
      </c>
      <c r="S4" s="76">
        <f t="shared" ref="S4:S6" si="5">+I4*1.4</f>
        <v>89.6</v>
      </c>
      <c r="T4" s="76">
        <f>+R4+R6*0.2</f>
        <v>59.04</v>
      </c>
      <c r="U4" s="76">
        <f>+S4+S6*0.2</f>
        <v>91.839999999999989</v>
      </c>
      <c r="V4" s="76">
        <v>59</v>
      </c>
      <c r="W4" s="87"/>
      <c r="X4" s="87"/>
      <c r="Y4" s="86"/>
    </row>
    <row r="5" spans="1:25" x14ac:dyDescent="0.2">
      <c r="A5" s="37" t="s">
        <v>2</v>
      </c>
      <c r="B5" s="38" t="s">
        <v>42</v>
      </c>
      <c r="C5" s="37">
        <v>42</v>
      </c>
      <c r="D5" s="39">
        <v>5000000</v>
      </c>
      <c r="E5" s="40"/>
      <c r="F5" s="66">
        <v>23</v>
      </c>
      <c r="G5" s="67">
        <v>4153545</v>
      </c>
      <c r="H5" s="40"/>
      <c r="I5" s="41">
        <f t="shared" si="0"/>
        <v>46</v>
      </c>
      <c r="J5" s="42">
        <f t="shared" si="1"/>
        <v>8307090</v>
      </c>
      <c r="K5" s="42">
        <v>0</v>
      </c>
      <c r="L5" s="42">
        <f t="shared" si="2"/>
        <v>8307090</v>
      </c>
      <c r="M5" s="40"/>
      <c r="N5" s="42">
        <f t="shared" si="3"/>
        <v>7476000</v>
      </c>
      <c r="O5" s="43">
        <v>8700000</v>
      </c>
      <c r="P5" s="42">
        <f t="shared" si="4"/>
        <v>11630000</v>
      </c>
      <c r="Q5" s="37" t="s">
        <v>58</v>
      </c>
      <c r="R5" s="76">
        <f>+I5*0.9</f>
        <v>41.4</v>
      </c>
      <c r="S5" s="76">
        <f t="shared" si="5"/>
        <v>64.399999999999991</v>
      </c>
      <c r="T5" s="76"/>
      <c r="U5" s="76"/>
      <c r="V5" s="76">
        <v>41</v>
      </c>
      <c r="W5" s="87"/>
      <c r="X5" s="87"/>
      <c r="Y5" s="86"/>
    </row>
    <row r="6" spans="1:25" x14ac:dyDescent="0.2">
      <c r="A6" s="44" t="s">
        <v>3</v>
      </c>
      <c r="B6" s="45" t="s">
        <v>43</v>
      </c>
      <c r="C6" s="37">
        <v>11</v>
      </c>
      <c r="D6" s="39">
        <v>900000</v>
      </c>
      <c r="E6" s="40"/>
      <c r="F6" s="66">
        <v>4</v>
      </c>
      <c r="G6" s="67">
        <v>578144.39</v>
      </c>
      <c r="H6" s="40"/>
      <c r="I6" s="46">
        <f t="shared" si="0"/>
        <v>8</v>
      </c>
      <c r="J6" s="47">
        <f t="shared" si="1"/>
        <v>1156288.78</v>
      </c>
      <c r="K6" s="48">
        <f>+J6*-1</f>
        <v>-1156288.78</v>
      </c>
      <c r="L6" s="49">
        <f t="shared" si="2"/>
        <v>0</v>
      </c>
      <c r="M6" s="40"/>
      <c r="N6" s="50" t="s">
        <v>44</v>
      </c>
      <c r="O6" s="50" t="s">
        <v>44</v>
      </c>
      <c r="P6" s="51" t="s">
        <v>44</v>
      </c>
      <c r="Q6" s="52" t="s">
        <v>45</v>
      </c>
      <c r="R6" s="76">
        <f>+I6*0.9</f>
        <v>7.2</v>
      </c>
      <c r="S6" s="76">
        <f t="shared" si="5"/>
        <v>11.2</v>
      </c>
      <c r="T6" s="76"/>
      <c r="U6" s="76"/>
      <c r="V6" s="76"/>
      <c r="W6" s="87"/>
      <c r="X6" s="87"/>
      <c r="Y6" s="86"/>
    </row>
    <row r="7" spans="1:25" x14ac:dyDescent="0.2">
      <c r="C7" s="68">
        <v>190</v>
      </c>
      <c r="D7" s="69">
        <v>21500000</v>
      </c>
      <c r="E7" s="70"/>
      <c r="F7" s="71">
        <v>104</v>
      </c>
      <c r="G7" s="72">
        <v>13630745.9</v>
      </c>
      <c r="H7" s="70"/>
      <c r="I7" s="73">
        <f>+SUM(I3:I6)</f>
        <v>208</v>
      </c>
      <c r="J7" s="69">
        <f>+SUM(J3:J6)</f>
        <v>27261491.800000001</v>
      </c>
      <c r="K7" s="69">
        <f>+SUM(K3:K6)</f>
        <v>0</v>
      </c>
      <c r="L7" s="74">
        <f t="shared" ref="L7" si="6">+SUM(J7:K7)</f>
        <v>27261491.800000001</v>
      </c>
      <c r="M7" s="70"/>
      <c r="N7" s="69">
        <f t="shared" ref="N7:O7" si="7">+SUM(N3:N6)</f>
        <v>24534000</v>
      </c>
      <c r="O7" s="69">
        <f t="shared" si="7"/>
        <v>27725000</v>
      </c>
      <c r="P7" s="75">
        <f>+SUM(P3:P6)</f>
        <v>38617000</v>
      </c>
      <c r="R7" s="76">
        <f t="shared" ref="R7" si="8">+I7*0.9</f>
        <v>187.20000000000002</v>
      </c>
      <c r="S7" s="76">
        <f>+SUM(S3:S6)</f>
        <v>291.19999999999993</v>
      </c>
      <c r="T7" s="76"/>
      <c r="U7" s="76"/>
      <c r="V7" s="76">
        <f>+SUM(V3:V6)</f>
        <v>187</v>
      </c>
      <c r="W7" s="87"/>
      <c r="X7" s="87"/>
    </row>
    <row r="8" spans="1:25" ht="15" x14ac:dyDescent="0.25">
      <c r="J8" s="42"/>
      <c r="L8" s="42"/>
      <c r="P8" s="54"/>
      <c r="R8" s="76"/>
      <c r="S8" s="76"/>
      <c r="T8" s="76"/>
      <c r="U8" s="76"/>
      <c r="V8" s="76"/>
    </row>
    <row r="9" spans="1:25" x14ac:dyDescent="0.2">
      <c r="L9" s="42"/>
      <c r="N9" s="39"/>
    </row>
    <row r="10" spans="1:25" ht="15" x14ac:dyDescent="0.25">
      <c r="J10" s="54"/>
    </row>
    <row r="11" spans="1:25" x14ac:dyDescent="0.2">
      <c r="G11" s="97"/>
      <c r="N11" s="53"/>
    </row>
    <row r="12" spans="1:25" x14ac:dyDescent="0.2">
      <c r="N12" s="55"/>
      <c r="O12" s="37" t="s">
        <v>46</v>
      </c>
    </row>
    <row r="13" spans="1:25" x14ac:dyDescent="0.2">
      <c r="O13" s="37" t="s">
        <v>47</v>
      </c>
    </row>
    <row r="14" spans="1:25" x14ac:dyDescent="0.2">
      <c r="O14" s="37" t="s">
        <v>48</v>
      </c>
    </row>
    <row r="15" spans="1:25" x14ac:dyDescent="0.2">
      <c r="O15" s="37" t="s">
        <v>49</v>
      </c>
    </row>
    <row r="17" spans="2:15" x14ac:dyDescent="0.2">
      <c r="B17" s="56" t="s">
        <v>50</v>
      </c>
      <c r="C17" s="57"/>
      <c r="D17" s="57"/>
      <c r="E17" s="57"/>
      <c r="F17" s="58"/>
    </row>
    <row r="18" spans="2:15" x14ac:dyDescent="0.2">
      <c r="B18" s="59" t="s">
        <v>51</v>
      </c>
      <c r="C18" s="60"/>
      <c r="D18" s="61">
        <f>+D7</f>
        <v>21500000</v>
      </c>
      <c r="E18" s="60"/>
      <c r="F18" s="62"/>
      <c r="N18" s="85" t="s">
        <v>0</v>
      </c>
      <c r="O18" s="85" t="s">
        <v>66</v>
      </c>
    </row>
    <row r="19" spans="2:15" x14ac:dyDescent="0.2">
      <c r="B19" s="59" t="s">
        <v>52</v>
      </c>
      <c r="C19" s="60"/>
      <c r="D19" s="61">
        <f>+J7</f>
        <v>27261491.800000001</v>
      </c>
      <c r="E19" s="60"/>
      <c r="F19" s="62"/>
      <c r="O19" s="85" t="s">
        <v>67</v>
      </c>
    </row>
    <row r="20" spans="2:15" x14ac:dyDescent="0.2">
      <c r="B20" s="59"/>
      <c r="C20" s="60"/>
      <c r="D20" s="60"/>
      <c r="E20" s="60"/>
      <c r="F20" s="62"/>
      <c r="O20" s="85" t="s">
        <v>68</v>
      </c>
    </row>
    <row r="21" spans="2:15" x14ac:dyDescent="0.2">
      <c r="B21" s="59"/>
      <c r="C21" s="60"/>
      <c r="D21" s="60"/>
      <c r="E21" s="60"/>
      <c r="F21" s="62"/>
      <c r="O21" s="85" t="s">
        <v>69</v>
      </c>
    </row>
    <row r="22" spans="2:15" x14ac:dyDescent="0.2">
      <c r="B22" s="59" t="s">
        <v>53</v>
      </c>
      <c r="C22" s="60"/>
      <c r="D22" s="61">
        <f>+N7</f>
        <v>24534000</v>
      </c>
      <c r="E22" s="60"/>
      <c r="F22" s="62"/>
      <c r="O22" s="85" t="s">
        <v>70</v>
      </c>
    </row>
    <row r="23" spans="2:15" x14ac:dyDescent="0.2">
      <c r="B23" s="59" t="s">
        <v>54</v>
      </c>
      <c r="C23" s="60"/>
      <c r="D23" s="61">
        <f>+O7</f>
        <v>27725000</v>
      </c>
      <c r="E23" s="60"/>
      <c r="F23" s="62" t="s">
        <v>55</v>
      </c>
    </row>
    <row r="24" spans="2:15" x14ac:dyDescent="0.2">
      <c r="B24" s="59" t="s">
        <v>56</v>
      </c>
      <c r="C24" s="60"/>
      <c r="D24" s="61">
        <f>+P7</f>
        <v>38617000</v>
      </c>
      <c r="E24" s="60"/>
      <c r="F24" s="62"/>
    </row>
    <row r="25" spans="2:15" x14ac:dyDescent="0.2">
      <c r="B25" s="59"/>
      <c r="C25" s="60"/>
      <c r="D25" s="61"/>
      <c r="E25" s="60"/>
      <c r="F25" s="62"/>
    </row>
    <row r="26" spans="2:15" x14ac:dyDescent="0.2">
      <c r="B26" s="59" t="s">
        <v>57</v>
      </c>
      <c r="C26" s="60"/>
      <c r="D26" s="61"/>
      <c r="E26" s="60"/>
      <c r="F26" s="62"/>
    </row>
    <row r="27" spans="2:15" x14ac:dyDescent="0.2">
      <c r="B27" s="63"/>
      <c r="C27" s="64"/>
      <c r="D27" s="64"/>
      <c r="E27" s="64"/>
      <c r="F27" s="65"/>
    </row>
  </sheetData>
  <mergeCells count="4">
    <mergeCell ref="C1:D1"/>
    <mergeCell ref="F1:G1"/>
    <mergeCell ref="I1:J1"/>
    <mergeCell ref="N1:P1"/>
  </mergeCells>
  <conditionalFormatting sqref="G3:G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{FAC2D944-F4CD-4964-AF04-8757FCDCC0DC}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AC2D944-F4CD-4964-AF04-8757FCDCC0D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G3:G6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F3A41-9A3D-4FDA-819D-E8F044101709}">
  <dimension ref="A3:S42"/>
  <sheetViews>
    <sheetView topLeftCell="A4" zoomScale="85" zoomScaleNormal="85" workbookViewId="0">
      <selection activeCell="D32" sqref="D32"/>
    </sheetView>
  </sheetViews>
  <sheetFormatPr defaultRowHeight="15" x14ac:dyDescent="0.25"/>
  <cols>
    <col min="1" max="1" width="14.5703125" customWidth="1"/>
    <col min="2" max="2" width="43" style="81" customWidth="1"/>
    <col min="3" max="3" width="14.42578125" customWidth="1"/>
    <col min="4" max="4" width="23.140625" bestFit="1" customWidth="1"/>
    <col min="5" max="5" width="12.42578125" bestFit="1" customWidth="1"/>
    <col min="7" max="7" width="10.7109375" customWidth="1"/>
    <col min="8" max="8" width="7" bestFit="1" customWidth="1"/>
    <col min="9" max="9" width="16.42578125" bestFit="1" customWidth="1"/>
    <col min="10" max="10" width="12.42578125" style="1" bestFit="1" customWidth="1"/>
    <col min="11" max="11" width="12" bestFit="1" customWidth="1"/>
    <col min="17" max="17" width="11.7109375" bestFit="1" customWidth="1"/>
    <col min="19" max="19" width="11" customWidth="1"/>
  </cols>
  <sheetData>
    <row r="3" spans="1:19" x14ac:dyDescent="0.25">
      <c r="B3" s="77" t="s">
        <v>17</v>
      </c>
      <c r="C3" s="8" t="s">
        <v>5</v>
      </c>
      <c r="D3" s="9" t="s">
        <v>6</v>
      </c>
    </row>
    <row r="4" spans="1:19" x14ac:dyDescent="0.25">
      <c r="A4" s="92" t="s">
        <v>16</v>
      </c>
      <c r="B4" s="78">
        <v>2019</v>
      </c>
      <c r="C4" s="6">
        <v>47</v>
      </c>
      <c r="D4" s="7">
        <v>4574399.74</v>
      </c>
    </row>
    <row r="5" spans="1:19" x14ac:dyDescent="0.25">
      <c r="A5" s="94"/>
      <c r="B5" s="78">
        <v>2020</v>
      </c>
      <c r="C5" s="6">
        <v>39</v>
      </c>
      <c r="D5" s="7">
        <v>4479176.1900000004</v>
      </c>
    </row>
    <row r="6" spans="1:19" x14ac:dyDescent="0.25">
      <c r="A6" s="94"/>
      <c r="B6" s="78">
        <v>2021</v>
      </c>
      <c r="C6" s="6">
        <v>40</v>
      </c>
      <c r="D6" s="7">
        <v>5286007.7300000004</v>
      </c>
    </row>
    <row r="7" spans="1:19" x14ac:dyDescent="0.25">
      <c r="A7" s="93"/>
      <c r="B7" s="78">
        <v>2022</v>
      </c>
      <c r="C7" s="6">
        <v>57</v>
      </c>
      <c r="D7" s="7">
        <v>7612956.5</v>
      </c>
    </row>
    <row r="8" spans="1:19" x14ac:dyDescent="0.25">
      <c r="A8" s="17"/>
      <c r="B8" s="79" t="s">
        <v>4</v>
      </c>
      <c r="C8" s="24">
        <v>183</v>
      </c>
      <c r="D8" s="25">
        <v>21952540.16</v>
      </c>
      <c r="R8" s="20"/>
    </row>
    <row r="9" spans="1:19" x14ac:dyDescent="0.25">
      <c r="A9" s="17"/>
      <c r="B9" s="80"/>
      <c r="C9" s="18"/>
      <c r="D9" s="18"/>
    </row>
    <row r="10" spans="1:19" x14ac:dyDescent="0.25">
      <c r="A10" s="17"/>
      <c r="B10" s="77" t="s">
        <v>17</v>
      </c>
      <c r="C10" s="8" t="s">
        <v>5</v>
      </c>
      <c r="D10" s="9" t="s">
        <v>6</v>
      </c>
    </row>
    <row r="11" spans="1:19" x14ac:dyDescent="0.25">
      <c r="A11" s="92" t="s">
        <v>15</v>
      </c>
      <c r="B11" s="82">
        <v>2023</v>
      </c>
      <c r="C11" s="4">
        <v>45</v>
      </c>
      <c r="D11" s="5">
        <v>6532001.5999999996</v>
      </c>
      <c r="G11" s="10"/>
      <c r="H11" s="10"/>
      <c r="I11" s="10"/>
      <c r="J11" s="11"/>
      <c r="K11" s="10"/>
      <c r="L11" s="10"/>
      <c r="M11" s="10"/>
      <c r="N11" s="10"/>
      <c r="O11" s="10"/>
      <c r="P11" s="10"/>
      <c r="Q11" s="10"/>
      <c r="R11" s="10"/>
      <c r="S11" s="10"/>
    </row>
    <row r="12" spans="1:19" x14ac:dyDescent="0.25">
      <c r="A12" s="93"/>
      <c r="B12" s="82">
        <v>2024</v>
      </c>
      <c r="C12" s="4">
        <v>59</v>
      </c>
      <c r="D12" s="5">
        <v>7098744.2999999998</v>
      </c>
      <c r="G12" s="10"/>
      <c r="H12" s="10"/>
      <c r="I12" s="10"/>
      <c r="J12" s="11"/>
      <c r="K12" s="10"/>
      <c r="L12" s="10"/>
      <c r="M12" s="10"/>
      <c r="N12" s="10"/>
      <c r="O12" s="10"/>
      <c r="P12" s="10"/>
      <c r="Q12" s="10"/>
      <c r="R12" s="10"/>
      <c r="S12" s="10"/>
    </row>
    <row r="13" spans="1:19" x14ac:dyDescent="0.25">
      <c r="B13" s="83" t="s">
        <v>4</v>
      </c>
      <c r="C13" s="26">
        <v>104</v>
      </c>
      <c r="D13" s="27">
        <v>13630745.9</v>
      </c>
      <c r="G13" s="10"/>
      <c r="H13" s="10"/>
      <c r="I13" s="10"/>
      <c r="J13" s="11"/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29.25" x14ac:dyDescent="0.25">
      <c r="G14" s="21" t="s">
        <v>13</v>
      </c>
      <c r="H14" s="22" t="s">
        <v>7</v>
      </c>
      <c r="I14" s="23" t="s">
        <v>11</v>
      </c>
      <c r="J14" s="11"/>
      <c r="K14" s="10"/>
      <c r="L14" s="10"/>
      <c r="M14" s="10"/>
      <c r="N14" s="10"/>
      <c r="O14" s="10"/>
      <c r="P14" s="10"/>
      <c r="Q14" s="10"/>
      <c r="R14" s="10"/>
      <c r="S14" s="10"/>
    </row>
    <row r="15" spans="1:19" x14ac:dyDescent="0.25">
      <c r="G15" s="95" t="s">
        <v>12</v>
      </c>
      <c r="H15" s="15">
        <v>2019</v>
      </c>
      <c r="I15" s="16">
        <v>4574399.74</v>
      </c>
      <c r="J15" s="11"/>
      <c r="K15" s="10"/>
      <c r="L15" s="10"/>
      <c r="M15" s="10"/>
      <c r="N15" s="10"/>
      <c r="O15" s="10"/>
      <c r="P15" s="10"/>
      <c r="Q15" s="10"/>
      <c r="R15" s="10"/>
      <c r="S15" s="10"/>
    </row>
    <row r="16" spans="1:19" x14ac:dyDescent="0.25">
      <c r="B16" s="84" t="s">
        <v>20</v>
      </c>
      <c r="D16" s="1"/>
      <c r="G16" s="95"/>
      <c r="H16" s="15">
        <v>2022</v>
      </c>
      <c r="I16" s="16">
        <v>4479176.1900000004</v>
      </c>
      <c r="J16" s="11"/>
      <c r="K16" s="10"/>
      <c r="L16" s="10"/>
      <c r="M16" s="10"/>
      <c r="N16" s="10"/>
      <c r="O16" s="10"/>
      <c r="P16" s="10"/>
      <c r="Q16" s="10"/>
      <c r="R16" s="10"/>
      <c r="S16" s="10"/>
    </row>
    <row r="17" spans="1:19" x14ac:dyDescent="0.25">
      <c r="B17" s="77" t="s">
        <v>7</v>
      </c>
      <c r="C17" s="8" t="s">
        <v>8</v>
      </c>
      <c r="D17" s="9" t="s">
        <v>9</v>
      </c>
      <c r="E17" s="8" t="s">
        <v>10</v>
      </c>
      <c r="G17" s="95"/>
      <c r="H17" s="15">
        <v>2021</v>
      </c>
      <c r="I17" s="16">
        <v>5286007.7300000004</v>
      </c>
      <c r="J17" s="11"/>
      <c r="K17" s="10"/>
      <c r="L17" s="10"/>
      <c r="M17" s="10"/>
      <c r="N17" s="10"/>
      <c r="O17" s="10"/>
      <c r="P17" s="10"/>
      <c r="Q17" s="10"/>
      <c r="R17" s="10"/>
      <c r="S17" s="10"/>
    </row>
    <row r="18" spans="1:19" x14ac:dyDescent="0.25">
      <c r="A18" s="92" t="s">
        <v>16</v>
      </c>
      <c r="B18" s="78">
        <v>2019</v>
      </c>
      <c r="C18" s="6">
        <v>47</v>
      </c>
      <c r="D18" s="7">
        <v>4574399.74</v>
      </c>
      <c r="E18" s="7">
        <v>97327.6540425532</v>
      </c>
      <c r="G18" s="95"/>
      <c r="H18" s="15">
        <v>2022</v>
      </c>
      <c r="I18" s="16">
        <v>7612956.5</v>
      </c>
      <c r="J18" s="11"/>
      <c r="K18" s="10"/>
      <c r="L18" s="10"/>
      <c r="M18" s="10"/>
      <c r="N18" s="10"/>
      <c r="O18" s="10"/>
      <c r="P18" s="10"/>
      <c r="Q18" s="10"/>
      <c r="R18" s="10"/>
      <c r="S18" s="10"/>
    </row>
    <row r="19" spans="1:19" x14ac:dyDescent="0.25">
      <c r="A19" s="94"/>
      <c r="B19" s="78">
        <v>2022</v>
      </c>
      <c r="C19" s="6">
        <v>39</v>
      </c>
      <c r="D19" s="7">
        <v>4479176.1900000004</v>
      </c>
      <c r="E19" s="7">
        <v>114850.67153846155</v>
      </c>
      <c r="G19" s="95" t="s">
        <v>14</v>
      </c>
      <c r="H19" s="15">
        <v>2023</v>
      </c>
      <c r="I19" s="16">
        <v>6532001.5999999996</v>
      </c>
      <c r="J19" s="11"/>
      <c r="K19" s="10"/>
      <c r="L19" s="10"/>
      <c r="M19" s="10"/>
      <c r="N19" s="10"/>
      <c r="O19" s="10"/>
      <c r="P19" s="10"/>
      <c r="Q19" s="10"/>
      <c r="R19" s="10"/>
      <c r="S19" s="10"/>
    </row>
    <row r="20" spans="1:19" x14ac:dyDescent="0.25">
      <c r="A20" s="94"/>
      <c r="B20" s="78">
        <v>2021</v>
      </c>
      <c r="C20" s="6">
        <v>40</v>
      </c>
      <c r="D20" s="7">
        <v>5286007.7300000004</v>
      </c>
      <c r="E20" s="7">
        <v>132150.19325000001</v>
      </c>
      <c r="G20" s="95"/>
      <c r="H20" s="15">
        <v>2024</v>
      </c>
      <c r="I20" s="16">
        <v>7098744</v>
      </c>
      <c r="J20" s="11"/>
      <c r="K20" s="10"/>
      <c r="L20" s="10"/>
      <c r="M20" s="10"/>
      <c r="N20" s="10"/>
      <c r="O20" s="10"/>
      <c r="P20" s="10"/>
      <c r="Q20" s="10"/>
      <c r="R20" s="10"/>
      <c r="S20" s="10"/>
    </row>
    <row r="21" spans="1:19" x14ac:dyDescent="0.25">
      <c r="A21" s="93"/>
      <c r="B21" s="78">
        <v>2022</v>
      </c>
      <c r="C21" s="6">
        <v>57</v>
      </c>
      <c r="D21" s="7">
        <v>7612956.5</v>
      </c>
      <c r="E21" s="7">
        <v>133560.64035087719</v>
      </c>
      <c r="G21" s="10"/>
      <c r="H21" s="10"/>
      <c r="I21" s="10"/>
      <c r="J21" s="11"/>
      <c r="K21" s="10"/>
      <c r="L21" s="10"/>
      <c r="M21" s="10"/>
      <c r="N21" s="10"/>
      <c r="O21" s="10"/>
      <c r="P21" s="10"/>
      <c r="Q21" s="10"/>
      <c r="R21" s="10"/>
      <c r="S21" s="10"/>
    </row>
    <row r="22" spans="1:19" x14ac:dyDescent="0.25">
      <c r="A22" s="92" t="s">
        <v>15</v>
      </c>
      <c r="B22" s="82">
        <v>2023</v>
      </c>
      <c r="C22" s="4">
        <v>45</v>
      </c>
      <c r="D22" s="5">
        <v>6532001.5999999996</v>
      </c>
      <c r="E22" s="5">
        <v>145155.59111111111</v>
      </c>
      <c r="G22" s="10"/>
      <c r="H22" s="10"/>
      <c r="I22" s="14"/>
      <c r="J22" s="11"/>
      <c r="K22" s="10"/>
      <c r="L22" s="10"/>
      <c r="M22" s="10"/>
      <c r="N22" s="10"/>
      <c r="O22" s="10"/>
      <c r="P22" s="10"/>
      <c r="Q22" s="10"/>
      <c r="R22" s="10"/>
      <c r="S22" s="10"/>
    </row>
    <row r="23" spans="1:19" x14ac:dyDescent="0.25">
      <c r="A23" s="93"/>
      <c r="B23" s="82">
        <v>2024</v>
      </c>
      <c r="C23" s="4">
        <v>59</v>
      </c>
      <c r="D23" s="5">
        <v>7098744.2999999998</v>
      </c>
      <c r="E23" s="5">
        <v>120317.7</v>
      </c>
      <c r="G23" s="10"/>
      <c r="H23" s="10"/>
      <c r="I23" s="14"/>
      <c r="J23" s="11"/>
      <c r="K23" s="10"/>
      <c r="L23" s="10"/>
      <c r="M23" s="10"/>
      <c r="N23" s="10"/>
      <c r="O23" s="10"/>
      <c r="P23" s="10"/>
      <c r="Q23" s="10"/>
      <c r="R23" s="10"/>
      <c r="S23" s="10"/>
    </row>
    <row r="24" spans="1:19" x14ac:dyDescent="0.25">
      <c r="C24" s="2"/>
      <c r="D24" s="3"/>
      <c r="G24" s="10"/>
      <c r="H24" s="10"/>
      <c r="I24" s="10"/>
      <c r="J24" s="11"/>
      <c r="K24" s="10"/>
      <c r="L24" s="10"/>
      <c r="M24" s="10"/>
      <c r="N24" s="10"/>
      <c r="O24" s="10"/>
      <c r="P24" s="10"/>
      <c r="Q24" s="10"/>
      <c r="R24" s="10"/>
      <c r="S24" s="10"/>
    </row>
    <row r="25" spans="1:19" x14ac:dyDescent="0.25">
      <c r="G25" s="10"/>
      <c r="H25" s="10"/>
      <c r="I25" s="10"/>
      <c r="J25" s="11"/>
      <c r="K25" s="10"/>
      <c r="L25" s="10"/>
      <c r="M25" s="10"/>
      <c r="N25" s="10"/>
      <c r="O25" s="10"/>
      <c r="P25" s="10"/>
      <c r="Q25" s="10"/>
      <c r="R25" s="10"/>
      <c r="S25" s="10"/>
    </row>
    <row r="26" spans="1:19" x14ac:dyDescent="0.25">
      <c r="C26" s="1"/>
      <c r="G26" s="10"/>
      <c r="H26" s="10"/>
      <c r="I26" s="10"/>
      <c r="J26" s="11"/>
      <c r="K26" s="10"/>
      <c r="L26" s="10"/>
      <c r="M26" s="10"/>
      <c r="N26" s="10"/>
      <c r="O26" s="10"/>
      <c r="P26" s="10"/>
      <c r="Q26" s="10"/>
      <c r="R26" s="10"/>
      <c r="S26" s="10"/>
    </row>
    <row r="27" spans="1:19" x14ac:dyDescent="0.25">
      <c r="C27" s="1"/>
      <c r="G27" s="10"/>
      <c r="H27" s="10"/>
      <c r="I27" s="10"/>
      <c r="J27" s="11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5">
      <c r="D28" t="s">
        <v>71</v>
      </c>
      <c r="E28" s="96" t="s">
        <v>19</v>
      </c>
      <c r="G28" s="10"/>
      <c r="H28" s="10"/>
      <c r="I28" s="10"/>
      <c r="J28" s="11"/>
      <c r="K28" s="10"/>
      <c r="L28" s="10"/>
      <c r="M28" s="10"/>
      <c r="N28" s="10"/>
      <c r="O28" s="10"/>
      <c r="P28" s="10"/>
      <c r="Q28" s="10"/>
      <c r="R28" s="10"/>
      <c r="S28" s="10"/>
    </row>
    <row r="29" spans="1:19" x14ac:dyDescent="0.25">
      <c r="B29" s="81" t="s">
        <v>18</v>
      </c>
      <c r="D29" s="1">
        <f>+AVERAGE(D22:D23)</f>
        <v>6815372.9499999993</v>
      </c>
      <c r="G29" s="10"/>
      <c r="H29" s="10"/>
      <c r="I29" s="10"/>
      <c r="J29" s="11"/>
      <c r="K29" s="10"/>
      <c r="L29" s="10"/>
      <c r="M29" s="10"/>
      <c r="N29" s="10"/>
      <c r="O29" s="10"/>
      <c r="P29" s="10"/>
      <c r="Q29" s="10"/>
      <c r="R29" s="10"/>
      <c r="S29" s="10"/>
    </row>
    <row r="30" spans="1:19" x14ac:dyDescent="0.25">
      <c r="B30" s="81" t="s">
        <v>62</v>
      </c>
      <c r="D30" s="1">
        <f>+AVERAGE(D18:D20)</f>
        <v>4779861.22</v>
      </c>
      <c r="E30" s="19">
        <f>+D29/D30</f>
        <v>1.4258516380105277</v>
      </c>
      <c r="G30" s="10"/>
      <c r="H30" s="10"/>
      <c r="I30" s="10"/>
      <c r="J30" s="11"/>
      <c r="K30" s="10"/>
      <c r="L30" s="10"/>
      <c r="M30" s="10"/>
      <c r="N30" s="10"/>
      <c r="O30" s="10"/>
      <c r="P30" s="10"/>
      <c r="Q30" s="10"/>
      <c r="R30" s="10"/>
      <c r="S30" s="10"/>
    </row>
    <row r="31" spans="1:19" x14ac:dyDescent="0.25">
      <c r="B31" s="81" t="s">
        <v>63</v>
      </c>
      <c r="D31" s="1">
        <f>+AVERAGE(D18:D21)</f>
        <v>5488135.04</v>
      </c>
      <c r="E31" s="19">
        <f>+D29/D31</f>
        <v>1.241837691734349</v>
      </c>
      <c r="G31" s="10"/>
      <c r="H31" s="10"/>
      <c r="I31" s="10"/>
      <c r="J31" s="11"/>
      <c r="K31" s="10"/>
      <c r="L31" s="10"/>
      <c r="M31" s="10"/>
      <c r="N31" s="10"/>
      <c r="O31" s="10"/>
      <c r="P31" s="10"/>
      <c r="Q31" s="10"/>
      <c r="R31" s="10"/>
      <c r="S31" s="10"/>
    </row>
    <row r="32" spans="1:19" x14ac:dyDescent="0.25">
      <c r="G32" s="10"/>
      <c r="H32" s="10"/>
      <c r="I32" s="10"/>
      <c r="J32" s="11"/>
      <c r="K32" s="10"/>
      <c r="L32" s="10"/>
      <c r="M32" s="10"/>
      <c r="N32" s="10"/>
      <c r="O32" s="10"/>
      <c r="P32" s="10"/>
      <c r="Q32" s="10"/>
      <c r="R32" s="10"/>
      <c r="S32" s="10"/>
    </row>
    <row r="33" spans="6:19" x14ac:dyDescent="0.25">
      <c r="F33" s="20"/>
      <c r="G33" s="10"/>
      <c r="H33" s="10"/>
      <c r="I33" s="10"/>
      <c r="J33" s="11"/>
      <c r="K33" s="10"/>
      <c r="L33" s="10"/>
      <c r="M33" s="10"/>
      <c r="N33" s="10"/>
      <c r="O33" s="10"/>
      <c r="P33" s="10"/>
      <c r="Q33" s="10"/>
      <c r="R33" s="10"/>
      <c r="S33" s="10"/>
    </row>
    <row r="34" spans="6:19" x14ac:dyDescent="0.25">
      <c r="G34" s="10"/>
      <c r="H34" s="10"/>
      <c r="I34" s="10"/>
      <c r="J34" s="11"/>
      <c r="K34" s="10"/>
      <c r="L34" s="10"/>
      <c r="M34" s="10"/>
      <c r="N34" s="10"/>
      <c r="O34" s="10"/>
      <c r="P34" s="10"/>
      <c r="Q34" s="10"/>
      <c r="R34" s="10"/>
      <c r="S34" s="10"/>
    </row>
    <row r="35" spans="6:19" x14ac:dyDescent="0.25">
      <c r="G35" s="10"/>
      <c r="H35" s="10"/>
      <c r="I35" s="10"/>
      <c r="J35" s="11"/>
      <c r="K35" s="10"/>
      <c r="L35" s="10"/>
      <c r="M35" s="10"/>
      <c r="N35" s="10"/>
      <c r="O35" s="10"/>
      <c r="P35" s="10"/>
      <c r="Q35" s="10"/>
      <c r="R35" s="10"/>
      <c r="S35" s="10"/>
    </row>
    <row r="36" spans="6:19" x14ac:dyDescent="0.25">
      <c r="G36" s="10"/>
      <c r="H36" s="10"/>
      <c r="I36" s="10"/>
      <c r="J36" s="11"/>
      <c r="K36" s="10"/>
      <c r="L36" s="10"/>
      <c r="M36" s="10"/>
      <c r="N36" s="10"/>
      <c r="O36" s="10"/>
      <c r="P36" s="10"/>
      <c r="Q36" s="10"/>
      <c r="R36" s="10"/>
      <c r="S36" s="10"/>
    </row>
    <row r="37" spans="6:19" x14ac:dyDescent="0.25">
      <c r="G37" s="10"/>
      <c r="H37" s="10"/>
      <c r="I37" s="10"/>
      <c r="J37" s="11"/>
      <c r="K37" s="10"/>
      <c r="L37" s="10"/>
      <c r="M37" s="10"/>
      <c r="N37" s="10"/>
      <c r="O37" s="10"/>
      <c r="P37" s="10"/>
      <c r="Q37" s="10"/>
      <c r="R37" s="10"/>
      <c r="S37" s="10"/>
    </row>
    <row r="38" spans="6:19" x14ac:dyDescent="0.25">
      <c r="G38" s="10"/>
      <c r="H38" s="10"/>
      <c r="I38" s="10"/>
      <c r="J38" s="11"/>
      <c r="K38" s="12"/>
      <c r="L38" s="10" t="s">
        <v>16</v>
      </c>
      <c r="M38" s="10"/>
      <c r="N38" s="10"/>
      <c r="O38" s="10"/>
      <c r="P38" s="10"/>
      <c r="Q38" s="10"/>
      <c r="R38" s="10"/>
      <c r="S38" s="10"/>
    </row>
    <row r="39" spans="6:19" x14ac:dyDescent="0.25">
      <c r="G39" s="10"/>
      <c r="H39" s="10"/>
      <c r="I39" s="10"/>
      <c r="J39" s="11"/>
      <c r="K39" s="13"/>
      <c r="L39" s="10" t="s">
        <v>15</v>
      </c>
      <c r="M39" s="10"/>
      <c r="N39" s="10"/>
      <c r="O39" s="10"/>
      <c r="P39" s="10"/>
      <c r="Q39" s="10"/>
      <c r="R39" s="10"/>
      <c r="S39" s="10"/>
    </row>
    <row r="40" spans="6:19" x14ac:dyDescent="0.25">
      <c r="G40" s="10"/>
      <c r="H40" s="10"/>
      <c r="I40" s="10"/>
      <c r="J40" s="11"/>
      <c r="K40" s="10"/>
      <c r="L40" s="10"/>
      <c r="M40" s="10"/>
      <c r="N40" s="10"/>
      <c r="O40" s="10"/>
      <c r="P40" s="10"/>
      <c r="Q40" s="10"/>
      <c r="R40" s="10"/>
      <c r="S40" s="10"/>
    </row>
    <row r="41" spans="6:19" x14ac:dyDescent="0.25">
      <c r="G41" s="10"/>
      <c r="H41" s="10"/>
      <c r="I41" s="10"/>
      <c r="J41" s="11"/>
      <c r="K41" s="10"/>
      <c r="L41" s="10"/>
      <c r="M41" s="10"/>
      <c r="N41" s="10"/>
      <c r="O41" s="10"/>
      <c r="P41" s="10"/>
      <c r="Q41" s="10"/>
      <c r="R41" s="10"/>
      <c r="S41" s="10"/>
    </row>
    <row r="42" spans="6:19" x14ac:dyDescent="0.25">
      <c r="G42" s="10"/>
      <c r="H42" s="10"/>
      <c r="I42" s="10"/>
      <c r="J42" s="11"/>
      <c r="K42" s="10"/>
      <c r="L42" s="10"/>
      <c r="M42" s="10"/>
      <c r="N42" s="10"/>
      <c r="O42" s="10"/>
      <c r="P42" s="10"/>
      <c r="Q42" s="10"/>
      <c r="R42" s="10"/>
      <c r="S42" s="10"/>
    </row>
  </sheetData>
  <mergeCells count="6">
    <mergeCell ref="A22:A23"/>
    <mergeCell ref="A4:A7"/>
    <mergeCell ref="A11:A12"/>
    <mergeCell ref="G15:G18"/>
    <mergeCell ref="G19:G20"/>
    <mergeCell ref="A18:A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Prognose ROK BGOO 2026</vt:lpstr>
      <vt:lpstr>Historisch 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Doosje, René</dc:creator>
  <cp:lastModifiedBy>Doosje, René</cp:lastModifiedBy>
  <dcterms:created xsi:type="dcterms:W3CDTF">2024-12-19T10:58:27Z</dcterms:created>
  <dcterms:modified xsi:type="dcterms:W3CDTF">2025-04-02T22:40:35Z</dcterms:modified>
</cp:coreProperties>
</file>