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mc:AlternateContent xmlns:mc="http://schemas.openxmlformats.org/markup-compatibility/2006">
    <mc:Choice Requires="x15">
      <x15ac:absPath xmlns:x15ac="http://schemas.microsoft.com/office/spreadsheetml/2010/11/ac" url="/Users/ivojak/EVConsult Dropbox/Ivo Jak/EVConsult BV nieuw/1. Projects/2. Active Projects/25047 MRA-E aanbesteding MRA-E VII/Concepten/NvI 1/"/>
    </mc:Choice>
  </mc:AlternateContent>
  <xr:revisionPtr revIDLastSave="2" documentId="13_ncr:1_{EE92335E-DCAF-D44D-B21F-903FB888ABD0}" xr6:coauthVersionLast="47" xr6:coauthVersionMax="47" xr10:uidLastSave="{B91062A8-3D21-4A5A-B89D-1AF75B29DDAF}"/>
  <bookViews>
    <workbookView xWindow="0" yWindow="600" windowWidth="28800" windowHeight="16680" tabRatio="785" xr2:uid="{00000000-000D-0000-FFFF-FFFF00000000}"/>
  </bookViews>
  <sheets>
    <sheet name="Laadtarief" sheetId="1" r:id="rId1"/>
    <sheet name="Prijsplafond" sheetId="4" r:id="rId2"/>
    <sheet name="a. Installatievergoeding" sheetId="5" r:id="rId3"/>
    <sheet name="b. Energievergoeding" sheetId="6" r:id="rId4"/>
    <sheet name="c. Capaciteitsvergoeding" sheetId="7" r:id="rId5"/>
    <sheet name="d. Afdracht"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B15" i="5" l="1"/>
  <c r="B6" i="5" s="1"/>
  <c r="B5" i="5"/>
  <c r="B8" i="6" l="1"/>
  <c r="C9" i="1"/>
  <c r="C5" i="7"/>
  <c r="B5" i="7"/>
  <c r="D5" i="7" l="1"/>
  <c r="C10" i="1" s="1"/>
  <c r="B7" i="4"/>
  <c r="B5" i="4"/>
  <c r="B8" i="4" s="1"/>
  <c r="B7" i="5"/>
  <c r="C8" i="1" s="1"/>
  <c r="E8" i="1" s="1"/>
  <c r="E11" i="1"/>
  <c r="E9" i="1"/>
  <c r="E10" i="1"/>
  <c r="C12" i="1" l="1"/>
  <c r="C13" i="1" s="1"/>
  <c r="D12" i="1"/>
  <c r="D13" i="1" l="1"/>
  <c r="E13" i="1" s="1"/>
  <c r="E12" i="1"/>
</calcChain>
</file>

<file path=xl/sharedStrings.xml><?xml version="1.0" encoding="utf-8"?>
<sst xmlns="http://schemas.openxmlformats.org/spreadsheetml/2006/main" count="82" uniqueCount="74">
  <si>
    <t>Overeenkomst MRA-E VII: Laadtarief na indexering</t>
  </si>
  <si>
    <t xml:space="preserve">Invulvelden zijn geel gemarkeerd
</t>
  </si>
  <si>
    <t>Naam Concesiehouder:</t>
  </si>
  <si>
    <t>N.t.b.</t>
  </si>
  <si>
    <t>Kwartaal:</t>
  </si>
  <si>
    <t>[Q1, Q2, Q3, Q4] - [jaar]</t>
  </si>
  <si>
    <t>Componenten Laadtarief</t>
  </si>
  <si>
    <t>Bedrag per Q1 2026</t>
  </si>
  <si>
    <r>
      <t xml:space="preserve">Bedrag na indexatie Per datum </t>
    </r>
    <r>
      <rPr>
        <b/>
        <sz val="11"/>
        <color rgb="FFFFFF00"/>
        <rFont val="Aptos"/>
        <family val="2"/>
      </rPr>
      <t>[datum benoemen]</t>
    </r>
  </si>
  <si>
    <t>Percentuele wijziging</t>
  </si>
  <si>
    <t xml:space="preserve">Onderbouwing </t>
  </si>
  <si>
    <t>a. De Installatievergoeding</t>
  </si>
  <si>
    <t>In tabblad a. Installatievergoeding</t>
  </si>
  <si>
    <t>b. De Energievergoeding</t>
  </si>
  <si>
    <t>In tabblad b. Energievergoeding</t>
  </si>
  <si>
    <t>c. De Capaciteitsvergoeding</t>
  </si>
  <si>
    <t>In tabblad c. Capaciteitsvergoeding</t>
  </si>
  <si>
    <t>d. De Afdracht aan Concessiegever</t>
  </si>
  <si>
    <t>In tabblad a. Afdracht</t>
  </si>
  <si>
    <t>Laadtarief ex. BTW</t>
  </si>
  <si>
    <t>Bedrag exclusief BTW</t>
  </si>
  <si>
    <t>Laadtarief incl. BTW</t>
  </si>
  <si>
    <t xml:space="preserve"> Bedrag inclusief BTW</t>
  </si>
  <si>
    <t>Doorbreken prijsplafond</t>
  </si>
  <si>
    <r>
      <t xml:space="preserve"> </t>
    </r>
    <r>
      <rPr>
        <b/>
        <sz val="11"/>
        <color theme="1"/>
        <rFont val="Calibri"/>
        <family val="2"/>
        <scheme val="minor"/>
      </rPr>
      <t>Kies Ja / Nee</t>
    </r>
  </si>
  <si>
    <t>Toelichting in tabblad Prijsplafond</t>
  </si>
  <si>
    <t>Het Laaddiensttarief wordt gedurende de gehele Exploitatieperiode vier (4) keer per jaar geïndexeerd. De indexatiemomenten vinden plaats in januari, april, juli en oktober.</t>
  </si>
  <si>
    <t xml:space="preserve">         Het indexatievoorstel wordt doorgeven op de eerste werkdag van het kwartaal.</t>
  </si>
  <si>
    <t xml:space="preserve">           </t>
  </si>
  <si>
    <t xml:space="preserve">Indexering doorgeven aan: </t>
  </si>
  <si>
    <t>&lt; e-mailadres 1 &gt;</t>
  </si>
  <si>
    <t>&lt; e-mailadres 2 &gt;</t>
  </si>
  <si>
    <t>&lt; e-mailadres 3 &gt;</t>
  </si>
  <si>
    <r>
      <rPr>
        <b/>
        <sz val="11"/>
        <color theme="1"/>
        <rFont val="Calibri"/>
        <family val="2"/>
        <scheme val="minor"/>
      </rPr>
      <t>Prijsplafond toelichting</t>
    </r>
    <r>
      <rPr>
        <sz val="11"/>
        <color theme="1"/>
        <rFont val="Calibri"/>
        <family val="2"/>
        <scheme val="minor"/>
      </rPr>
      <t xml:space="preserve">
Ten aanzien van het Laadtarief nieuw geldt een Prijsplafond, teneinde de transitie naar elektrische mobiliteit niet in de weg te staan. Het uitgangspunt daarbij is dat voor de eindgebruiker elektrisch rijden wat betreft energiekosten niet meer kost dan rijden op benzine. 
Het Prijsplafond wordt berekend op basis van de gemiddelde energiekosten per kilowattuur equivalent van rijden op benzine Euro95. 
a. Deze gemiddelde energiekosten voor het rijden op benzine Euro95 worden berekend als het gemiddelde van de dagprijs over de vier meest recente kwartalen, zoals gepubliceerd door het CBS (bron: Pompprijzen motorbrandstoffen; brandstofsoort, per dag), exclusief btw en gecorrigeerd voor eventuele tijdelijke accijnsverlagingen en/of andere overheidssubsidiering. Hierbij wordt voor rijden op benzine Euro95 gerekend op basis van 14 km/ liter. 
b. De gemiddelde energiekosten voor elektrisch rijden worden berekend over het gemiddelde Laaddiensttarief exclusief btw, genomen over de vier meest recente kwartalen. Hierbij wordt voor elektrisch rijden gerekend met 5 kilometer/ kWh. In het eerste jaar van de Raamovereenkomst wordt het gemiddelde Laaddiensttarief berekend over de Laaddiensttarieven op de startdatum van de Raamovereenkomst t/m het meest recente kwartaal.
c. Het Prijsplafond wordt doorbroken wanneer het gemiddelde Laaddiensttarief hoger is dan de berekende gemiddelde benzineprijs, over dezelfde periode. 
Concessiehouder zal Concessiegever ieder kwartaal informeren overeen eventuele doorbreking van het Prijsplafond; de Concessiehouder verstrekt daartoe bij ieder voornemen tot indexatie de uitkomsten van de toets aan het Prijsplafond aan de Concessiegever. 
Indien het Prijsplafond wordt doorbroken, treden partijen in overleg met als doel het terugbrengen van het Laaddiensttarief onder het Prijsplafond. Hiertoe zullen beide partijen afzonderlijk en gezamenlijk transparant bespreken welke redelijke (en eventuele tijdelijke) bijdrage er geleverd kan worden. Concessiegever zal in dergelijke omstandigheden in elk geval afzien van (een deel) van de Afdracht.
</t>
    </r>
    <r>
      <rPr>
        <b/>
        <sz val="11"/>
        <color theme="1"/>
        <rFont val="Calibri"/>
        <family val="2"/>
        <scheme val="minor"/>
      </rPr>
      <t>Toelichting Concessiehouder of het prijsplafond wel/niet wordt doorbroken hieronder:</t>
    </r>
  </si>
  <si>
    <t>Prijsplafond</t>
  </si>
  <si>
    <t>Waarde</t>
  </si>
  <si>
    <t>Gemiddelde kWh-prijs voor elektrisch rijden over de afgelopen vier kwartalen</t>
  </si>
  <si>
    <t>Gemiddelde kost per kilometer voor elektrisch rijden over de afgelopen vier kwartalen</t>
  </si>
  <si>
    <t>Gemiddelde benzine-prijs voor fossiel rijden over de afgelopen vier kwartalen</t>
  </si>
  <si>
    <t>Gemiddelde kost per kilometer voor fossiel rijden over de afgelopen vier kwartalen</t>
  </si>
  <si>
    <t>Onderbouwing gemiddelde kWh-prijs voor elektrisch rijden over de afgelopen vier kwartalen en gemiddelde benzine-prijs voor fossiel rijden over de afgelopen vier kwartalen</t>
  </si>
  <si>
    <t>&lt; ondebouwing door Concessiehouder &gt;</t>
  </si>
  <si>
    <r>
      <rPr>
        <b/>
        <sz val="11"/>
        <color theme="1"/>
        <rFont val="Calibri"/>
        <family val="2"/>
        <scheme val="minor"/>
      </rPr>
      <t xml:space="preserve">a. De installatievergoeding
</t>
    </r>
    <r>
      <rPr>
        <sz val="11"/>
        <color theme="1"/>
        <rFont val="Calibri"/>
        <family val="2"/>
        <scheme val="minor"/>
      </rPr>
      <t xml:space="preserve">
De installatievergoeding betreft de vergoeding voor de initiële investeringen, inclusief investeringskosten voor de netaansluiting, en periodieke kosten voor exploitatie en dienstverlening richting de Gebruiker. Deze component is exclusief de periodieke capaciteitsvergoeding voor de netbeheerder.
De installatievergoeding staat vast tot en met 31-12-2026. Ten hoogste eenmaal per jaar kunnen de prijzen worden herzien, voor het eerst op 01-01-2027 op basis van het CBS-indexcijfer "CAO-lonen indexcijfers, Contractuele loonkosten per uur. Totaal Cao-sectoren. Bedrijfstakken/Branches: D energievoorziening” conform de formule: 
Tarief nieuw = Tarief oud * (L1/ L0)
Daarin staat voor
Tarief oud:	de op het moment van indexatie geldende vergoeding voor investeringen, dienstverlening en marge exclusief btw
Tarief nieuw:	nieuw overeen te komen tarief
L0:	CAO-lonen indexcijfers. Totaal Cao-sectoren indexcijfer 2024 4e kwartaal
L1:	CAO-lonen indexcijfers. Totaal Cao-sectoren indexcijfer gemiddeld indexcijfer over vier (4) meest recent gepubliceerde kwartaalcijfers
Het resultaat van de berekening van de deelsom (L1/L0) wordt rekenkundig afgerond op 4 cijfers achter de komma. Indien de indexcijfers nog niet vastgesteld zijn, worden de voorlopige cijfers gehanteerd zonder dat een eventuele verrekening achteraf plaats vindt. Het aangegeven jaar bij L0 wordt gedurende de looptijd van de Raamovereenkomst telkens met één (1) verhoogd.</t>
    </r>
  </si>
  <si>
    <t>Installatievergoeding</t>
  </si>
  <si>
    <t>Tarief oud</t>
  </si>
  <si>
    <t>L0</t>
  </si>
  <si>
    <t>L1</t>
  </si>
  <si>
    <t>Tarief nieuw</t>
  </si>
  <si>
    <t>Onderbouw L0 en L1:</t>
  </si>
  <si>
    <t>Bron: https://opendata.cbs.nl/#/CBS/nl/dataset/85663NED/table</t>
  </si>
  <si>
    <t>L0 = 2024 4e kwartaal</t>
  </si>
  <si>
    <t>L1 = gemiddelde afgelopen 4 kwartalen</t>
  </si>
  <si>
    <t>2025 1e kwartaal</t>
  </si>
  <si>
    <t>2025 2e kwartaal</t>
  </si>
  <si>
    <t>2025 3e kwartaal</t>
  </si>
  <si>
    <t>2025 4e kwartaal</t>
  </si>
  <si>
    <r>
      <rPr>
        <b/>
        <sz val="11"/>
        <color rgb="FF000000"/>
        <rFont val="Calibri"/>
        <family val="2"/>
        <scheme val="minor"/>
      </rPr>
      <t xml:space="preserve">b. De energievergoeding
</t>
    </r>
    <r>
      <rPr>
        <sz val="11"/>
        <color rgb="FF000000"/>
        <rFont val="Calibri"/>
        <family val="2"/>
        <scheme val="minor"/>
      </rPr>
      <t xml:space="preserve">
De energievergoeding betreft de vergoeding voor de inkoop van elektriciteit. Dit is de gemiddelde marktwaarde van de elektriciteitsproductie (Dutch Power Base Load Futures end- of-day settlements Q+1, in het vervolg `Cal Endex Base Q+1’ genoemd) van kwartaal 4 2025 per kWh en geldt als energievergoeding voor kwartaal 1 2026. De energievergoeding is inclusief alle belastingen die van toepassing zijn op het leveren van elektriciteit op Laadobjecten met een zelfstandige netaansluiting, zoals energiebelasting (EB), opslag duurzame energie (ODE), en overige (fiscale) componenten direct gekoppeld aan energielevering. De door te rekenen energiebelasting wordt bepaald door het gewogen gemiddelde in de energiebelastingstaffels te berekenen, o.b.v. het gemiddelde verwachte verbruik over de gehele Exploitatieperiode (gemiddeld geladen kWh/Laadobject/jaar). Het gemiddeld verwachte verbruik bedraagt in het jaar 2026 18.000 kWh/jaar per Laadobject uitgaande van een Laadobject met twee Laadpunten. Voor de jaren erna wordt het verwachte verbruik voor het aankomende jaar bepaald op basis van het daadwerkelijke verbruik in het lopende jaar. De energievergoeding voor 2026 kwartaal 1 wordt definitief bepaald na afloop van het vierde kwartaal van 2025.
De energievergoeding staat vast tot en met 31-03-2026 (einde kwartaal 1 2026) en bedraagt € 0,17296 / kWh. Ten hoogste eenmaal per kwartaal kunnen de prijzen worden herzien, voor het eerst op 01-04-2026 op basis van (1) de gemiddelde marktwaarde van elektriciteitsproduct Cal Endex Base Q+1 van de voorgaande drie (3) kalendermaanden voor het volgende kwartaal per kWh en (2) de in het betreffende jaar geldende energiebelasting bij een verwacht verbruik van 18.000 kWh.</t>
    </r>
  </si>
  <si>
    <t>Energievergoeding</t>
  </si>
  <si>
    <t>Verwacht verbruik in kWh / jaar</t>
  </si>
  <si>
    <t>Energiebelasting staffel 0 t/m 2.900 kWh / jaar</t>
  </si>
  <si>
    <t>Energiebelasting staffel 2.901 t/m 10.000 kWh / jaar</t>
  </si>
  <si>
    <t>Energiebelasting staffel 10.001 t/m 50.000 kWh / jaar</t>
  </si>
  <si>
    <t>Gewogen gemiddelde energiebelasting = (B5*2.900 + B6*7.100 + B7*(B4 - 10.000)) / 18.000</t>
  </si>
  <si>
    <t>ODE</t>
  </si>
  <si>
    <t>Gemiddelde marktwaarde ENDEX</t>
  </si>
  <si>
    <t>Onderbouwing energievergoeding:</t>
  </si>
  <si>
    <r>
      <rPr>
        <b/>
        <sz val="11"/>
        <color theme="1"/>
        <rFont val="Calibri"/>
        <family val="2"/>
        <scheme val="minor"/>
      </rPr>
      <t xml:space="preserve">c. De capaciteitsvergoeding 
</t>
    </r>
    <r>
      <rPr>
        <sz val="11"/>
        <color theme="1"/>
        <rFont val="Calibri"/>
        <family val="2"/>
        <scheme val="minor"/>
      </rPr>
      <t xml:space="preserve">
De capaciteitsvergoeding betreft de capaciteitsvergoeding voor de netaansluiting. Deze component bestaat uit 75% de capaciteitsvergoeding van de netbeheerder Liander (3x25A) en 25% de capaciteitsvergoeding van de netbeheerder Stedin (3x25A) in het huidige kalenderjaar. Het vastgestelde jaarlijkse tarief wordt gedeeld door het gemiddelde verwachte verbruik over de gehele Exploitatieperiode (gemiddeld geladen kWh/Laadobject/jaar). Het gemiddeld verwachte verbruik bedraagt in het jaar 2026 18.000 kWh/jaar per Laadobject uitgaande van een Laadobject met twee Laadpunten. Voor de jaren erna wordt het verwachte verbruik voor het aankomende jaar bepaald op basis van het daadwerkelijke verbruik in het lopende jaar De capaciteitsvergoeding voor 2025 bedraagt € 0,02113/kWh.
De capaciteitsvergoeding staat vast tot en met 31-12-2026 en bedraagt € 0,02193 / kWh. Ten hoogste eenmaal per jaar kunnen de prijzen worden herzien, voor het eerst op 01-01-2027 op basis van de nieuwe tarieven van de netbeheerders Liander en Stedin.</t>
    </r>
  </si>
  <si>
    <t>Capaciteitsvergoeding</t>
  </si>
  <si>
    <t>Liander</t>
  </si>
  <si>
    <t>Stedin</t>
  </si>
  <si>
    <t>Verwacht verbruik</t>
  </si>
  <si>
    <t>Jaarlijkse kosten 3-fase: 3x25A</t>
  </si>
  <si>
    <t>Onderbouwing jaarlijkse kosten netbeheerders:</t>
  </si>
  <si>
    <r>
      <rPr>
        <b/>
        <sz val="11"/>
        <color theme="1"/>
        <rFont val="Calibri"/>
        <family val="2"/>
        <scheme val="minor"/>
      </rPr>
      <t>d. De afdracht aan concessiegever</t>
    </r>
    <r>
      <rPr>
        <sz val="11"/>
        <color theme="1"/>
        <rFont val="Calibri"/>
        <family val="2"/>
        <scheme val="minor"/>
      </rPr>
      <t xml:space="preserve">
Afdracht betreft de aan Concessiegever verschuldigde vergoeding. De hoogte van de Afdracht is vastgesteld op €0,02 per geladen kWh (exclusief btw).
De Concessiehouder is per geleverde kWh Afdracht verschuldigd aan Concessiegever van € 0,02 excl. BTW. Deze vergoeding wordt eenmaal per kwartaal aan Concessiegever vergoed en wordt betaald in de maand opvolgend op het betreffende kwartaal. Deze Afdracht wordt nooit geïndexeerd.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</si>
</sst>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quot;€&quot;\ * #,##0.00000_ ;_ &quot;€&quot;\ * \-#,##0.00000_ ;_ &quot;€&quot;\ * &quot;-&quot;??_ ;_ @_ "/>
    <numFmt numFmtId="165" formatCode="0.00000"/>
    <numFmt numFmtId="166" formatCode="&quot;€&quot;\ #,##0.00"/>
    <numFmt numFmtId="167" formatCode="&quot;€&quot;\ #,##0.0000"/>
    <numFmt numFmtId="168" formatCode="0.0"/>
  </numFmts>
  <fonts count="15">
    <font>
      <sz val="11"/>
      <color theme="1"/>
      <name val="Calibri"/>
      <family val="2"/>
      <scheme val="minor"/>
    </font>
    <font>
      <sz val="11"/>
      <color theme="1"/>
      <name val="Calibri"/>
      <family val="2"/>
      <scheme val="minor"/>
    </font>
    <font>
      <b/>
      <sz val="11"/>
      <color theme="1"/>
      <name val="Calibri"/>
      <family val="2"/>
      <scheme val="minor"/>
    </font>
    <font>
      <sz val="11"/>
      <color theme="1"/>
      <name val="Aptos"/>
      <family val="2"/>
    </font>
    <font>
      <b/>
      <sz val="11"/>
      <color theme="1"/>
      <name val="Aptos"/>
      <family val="2"/>
    </font>
    <font>
      <b/>
      <sz val="11"/>
      <color theme="0"/>
      <name val="Aptos"/>
      <family val="2"/>
    </font>
    <font>
      <b/>
      <sz val="10"/>
      <color theme="1"/>
      <name val="Corbel"/>
      <family val="2"/>
    </font>
    <font>
      <u/>
      <sz val="11"/>
      <color theme="10"/>
      <name val="Calibri"/>
      <family val="2"/>
      <scheme val="minor"/>
    </font>
    <font>
      <b/>
      <sz val="11"/>
      <color rgb="FFFFFF00"/>
      <name val="Aptos"/>
      <family val="2"/>
    </font>
    <font>
      <b/>
      <sz val="11"/>
      <color theme="1"/>
      <name val="Aptos"/>
    </font>
    <font>
      <sz val="8"/>
      <name val="Calibri"/>
      <family val="2"/>
      <scheme val="minor"/>
    </font>
    <font>
      <b/>
      <sz val="14"/>
      <color rgb="FF009FE3"/>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009FE3"/>
        <bgColor indexed="64"/>
      </patternFill>
    </fill>
    <fill>
      <patternFill patternType="solid">
        <fgColor theme="6" tint="0.5999938962981048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66">
    <xf numFmtId="0" fontId="0" fillId="0" borderId="0" xfId="0"/>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vertical="center" wrapText="1"/>
    </xf>
    <xf numFmtId="0" fontId="4" fillId="2" borderId="10" xfId="0" applyFont="1" applyFill="1" applyBorder="1" applyAlignment="1">
      <alignment vertical="center" wrapText="1"/>
    </xf>
    <xf numFmtId="0" fontId="0" fillId="3" borderId="1" xfId="0" applyFill="1" applyBorder="1" applyAlignment="1">
      <alignment wrapText="1"/>
    </xf>
    <xf numFmtId="0" fontId="3" fillId="3" borderId="16" xfId="0" applyFont="1" applyFill="1" applyBorder="1" applyAlignment="1">
      <alignment vertical="center" wrapText="1"/>
    </xf>
    <xf numFmtId="0" fontId="0" fillId="3" borderId="17" xfId="0" applyFill="1" applyBorder="1"/>
    <xf numFmtId="0" fontId="2" fillId="3" borderId="1" xfId="0" applyFont="1" applyFill="1" applyBorder="1"/>
    <xf numFmtId="164" fontId="3" fillId="0" borderId="8" xfId="1" applyNumberFormat="1" applyFont="1" applyBorder="1" applyAlignment="1">
      <alignment vertical="center" wrapText="1"/>
    </xf>
    <xf numFmtId="164" fontId="3" fillId="0" borderId="4" xfId="0" applyNumberFormat="1" applyFont="1" applyBorder="1" applyAlignment="1">
      <alignment vertical="center" wrapText="1"/>
    </xf>
    <xf numFmtId="164" fontId="3" fillId="0" borderId="14" xfId="0" applyNumberFormat="1" applyFont="1" applyBorder="1" applyAlignment="1">
      <alignment vertical="center" wrapText="1"/>
    </xf>
    <xf numFmtId="0" fontId="4" fillId="2" borderId="16" xfId="0" applyFont="1" applyFill="1" applyBorder="1" applyAlignment="1">
      <alignment vertical="center" wrapText="1"/>
    </xf>
    <xf numFmtId="164" fontId="3" fillId="2" borderId="11" xfId="0" applyNumberFormat="1" applyFont="1" applyFill="1" applyBorder="1" applyAlignment="1">
      <alignment vertical="center" wrapText="1"/>
    </xf>
    <xf numFmtId="0" fontId="0" fillId="3" borderId="1" xfId="0" applyFill="1" applyBorder="1"/>
    <xf numFmtId="164" fontId="4" fillId="2" borderId="1" xfId="0" applyNumberFormat="1" applyFont="1" applyFill="1" applyBorder="1" applyAlignment="1">
      <alignment vertical="center" wrapText="1"/>
    </xf>
    <xf numFmtId="0" fontId="2" fillId="3" borderId="16" xfId="0" applyFont="1" applyFill="1" applyBorder="1" applyAlignment="1">
      <alignment horizontal="left"/>
    </xf>
    <xf numFmtId="0" fontId="2" fillId="3" borderId="2" xfId="0" applyFont="1" applyFill="1" applyBorder="1" applyAlignment="1">
      <alignment horizontal="left"/>
    </xf>
    <xf numFmtId="0" fontId="2" fillId="4" borderId="2" xfId="0" applyFont="1" applyFill="1" applyBorder="1" applyAlignment="1">
      <alignment horizontal="left"/>
    </xf>
    <xf numFmtId="0" fontId="0" fillId="5" borderId="0" xfId="0" applyFill="1"/>
    <xf numFmtId="0" fontId="5" fillId="5" borderId="0" xfId="0" applyFont="1" applyFill="1" applyAlignment="1">
      <alignment vertical="center" wrapText="1"/>
    </xf>
    <xf numFmtId="0" fontId="2" fillId="5" borderId="0" xfId="0" applyFont="1" applyFill="1"/>
    <xf numFmtId="0" fontId="2" fillId="5" borderId="0" xfId="0" applyFont="1" applyFill="1" applyAlignment="1">
      <alignment horizontal="left" vertical="center" indent="3"/>
    </xf>
    <xf numFmtId="0" fontId="6" fillId="5" borderId="0" xfId="0" applyFont="1" applyFill="1"/>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3" fillId="2" borderId="12" xfId="0" applyFont="1" applyFill="1" applyBorder="1" applyAlignment="1">
      <alignment horizontal="left" vertical="center"/>
    </xf>
    <xf numFmtId="0" fontId="3" fillId="2" borderId="1" xfId="0" applyFont="1" applyFill="1" applyBorder="1" applyAlignment="1">
      <alignment horizontal="left" vertical="center"/>
    </xf>
    <xf numFmtId="10" fontId="3" fillId="0" borderId="8" xfId="1" applyNumberFormat="1" applyFont="1" applyBorder="1" applyAlignment="1">
      <alignment vertical="center" wrapText="1"/>
    </xf>
    <xf numFmtId="10" fontId="3" fillId="2" borderId="11" xfId="0" applyNumberFormat="1" applyFont="1" applyFill="1" applyBorder="1" applyAlignment="1">
      <alignment vertical="center" wrapText="1"/>
    </xf>
    <xf numFmtId="10" fontId="4" fillId="2" borderId="1" xfId="0" applyNumberFormat="1" applyFont="1" applyFill="1" applyBorder="1" applyAlignment="1">
      <alignment vertical="center" wrapText="1"/>
    </xf>
    <xf numFmtId="0" fontId="3" fillId="0" borderId="7" xfId="0" applyFont="1" applyBorder="1" applyAlignment="1">
      <alignment vertical="center"/>
    </xf>
    <xf numFmtId="0" fontId="3" fillId="0" borderId="5" xfId="0" applyFont="1" applyBorder="1" applyAlignment="1">
      <alignment vertical="center"/>
    </xf>
    <xf numFmtId="0" fontId="4" fillId="2" borderId="16" xfId="0" applyFont="1" applyFill="1" applyBorder="1" applyAlignment="1">
      <alignment vertical="center"/>
    </xf>
    <xf numFmtId="165" fontId="3" fillId="0" borderId="9" xfId="0" applyNumberFormat="1" applyFont="1" applyBorder="1" applyAlignment="1">
      <alignment horizontal="left" vertical="center"/>
    </xf>
    <xf numFmtId="166" fontId="3" fillId="0" borderId="6" xfId="0" applyNumberFormat="1" applyFont="1" applyBorder="1" applyAlignment="1">
      <alignment horizontal="left" vertical="center"/>
    </xf>
    <xf numFmtId="166" fontId="3" fillId="0" borderId="9" xfId="0" applyNumberFormat="1" applyFont="1" applyBorder="1" applyAlignment="1">
      <alignment horizontal="left" vertical="center"/>
    </xf>
    <xf numFmtId="165" fontId="9" fillId="2" borderId="1" xfId="0" applyNumberFormat="1" applyFont="1" applyFill="1" applyBorder="1" applyAlignment="1">
      <alignment horizontal="left" vertical="center"/>
    </xf>
    <xf numFmtId="166" fontId="4" fillId="2" borderId="1" xfId="0" applyNumberFormat="1" applyFont="1" applyFill="1" applyBorder="1" applyAlignment="1">
      <alignment vertical="center"/>
    </xf>
    <xf numFmtId="166" fontId="0" fillId="5" borderId="0" xfId="0" applyNumberFormat="1" applyFill="1"/>
    <xf numFmtId="167" fontId="0" fillId="5" borderId="0" xfId="0" applyNumberFormat="1" applyFill="1"/>
    <xf numFmtId="0" fontId="5" fillId="6" borderId="10" xfId="0" applyFont="1" applyFill="1" applyBorder="1" applyAlignment="1">
      <alignment vertical="center" wrapText="1"/>
    </xf>
    <xf numFmtId="0" fontId="5" fillId="6" borderId="11" xfId="0" applyFont="1" applyFill="1" applyBorder="1" applyAlignment="1">
      <alignment vertical="center" wrapText="1"/>
    </xf>
    <xf numFmtId="0" fontId="5" fillId="6" borderId="12" xfId="0" applyFont="1" applyFill="1" applyBorder="1" applyAlignment="1">
      <alignment vertical="center"/>
    </xf>
    <xf numFmtId="0" fontId="5" fillId="6" borderId="10" xfId="0" applyFont="1" applyFill="1" applyBorder="1" applyAlignment="1">
      <alignment vertical="center"/>
    </xf>
    <xf numFmtId="0" fontId="5" fillId="6" borderId="11" xfId="0" applyFont="1" applyFill="1" applyBorder="1" applyAlignment="1">
      <alignment vertical="center"/>
    </xf>
    <xf numFmtId="0" fontId="11" fillId="5" borderId="0" xfId="0" applyFont="1" applyFill="1"/>
    <xf numFmtId="164" fontId="3" fillId="4" borderId="8" xfId="1" applyNumberFormat="1" applyFont="1" applyFill="1" applyBorder="1" applyAlignment="1">
      <alignment vertical="center" wrapText="1"/>
    </xf>
    <xf numFmtId="164" fontId="3" fillId="4" borderId="4" xfId="0" applyNumberFormat="1" applyFont="1" applyFill="1" applyBorder="1" applyAlignment="1">
      <alignment vertical="center" wrapText="1"/>
    </xf>
    <xf numFmtId="0" fontId="0" fillId="4" borderId="2" xfId="0" applyFill="1" applyBorder="1"/>
    <xf numFmtId="166" fontId="3" fillId="4" borderId="9" xfId="0" applyNumberFormat="1" applyFont="1" applyFill="1" applyBorder="1" applyAlignment="1">
      <alignment horizontal="left" vertical="center"/>
    </xf>
    <xf numFmtId="166" fontId="3" fillId="4" borderId="6" xfId="0" applyNumberFormat="1" applyFont="1" applyFill="1" applyBorder="1" applyAlignment="1">
      <alignment horizontal="left" vertical="center"/>
    </xf>
    <xf numFmtId="0" fontId="3" fillId="4" borderId="6" xfId="0" applyFont="1" applyFill="1" applyBorder="1" applyAlignment="1">
      <alignment horizontal="left" vertical="center"/>
    </xf>
    <xf numFmtId="0" fontId="12" fillId="4" borderId="0" xfId="0" applyFont="1" applyFill="1"/>
    <xf numFmtId="166" fontId="3" fillId="4" borderId="8" xfId="1" applyNumberFormat="1" applyFont="1" applyFill="1" applyBorder="1" applyAlignment="1">
      <alignment vertical="center"/>
    </xf>
    <xf numFmtId="0" fontId="0" fillId="5" borderId="0" xfId="0" applyFill="1" applyAlignment="1">
      <alignment wrapText="1"/>
    </xf>
    <xf numFmtId="0" fontId="13" fillId="3" borderId="1" xfId="0" applyFont="1" applyFill="1" applyBorder="1" applyAlignment="1">
      <alignment wrapText="1"/>
    </xf>
    <xf numFmtId="0" fontId="3" fillId="4" borderId="9" xfId="0" applyFont="1" applyFill="1" applyBorder="1" applyAlignment="1">
      <alignment horizontal="left" vertical="center"/>
    </xf>
    <xf numFmtId="165" fontId="9" fillId="7" borderId="1" xfId="0" applyNumberFormat="1" applyFont="1" applyFill="1" applyBorder="1" applyAlignment="1">
      <alignment horizontal="left" vertical="center"/>
    </xf>
    <xf numFmtId="0" fontId="3" fillId="0" borderId="18" xfId="0" applyFont="1" applyBorder="1" applyAlignment="1">
      <alignment vertical="center"/>
    </xf>
    <xf numFmtId="168" fontId="3" fillId="4" borderId="9" xfId="0" applyNumberFormat="1" applyFont="1" applyFill="1" applyBorder="1" applyAlignment="1">
      <alignment horizontal="left" vertical="center"/>
    </xf>
    <xf numFmtId="0" fontId="3" fillId="4" borderId="19" xfId="0" applyFont="1" applyFill="1" applyBorder="1" applyAlignment="1">
      <alignment horizontal="left" vertical="center"/>
    </xf>
    <xf numFmtId="168" fontId="3" fillId="0" borderId="6" xfId="0" applyNumberFormat="1" applyFont="1" applyBorder="1" applyAlignment="1">
      <alignment horizontal="left" vertical="center"/>
    </xf>
    <xf numFmtId="0" fontId="7" fillId="4" borderId="17" xfId="2" applyFill="1" applyBorder="1" applyAlignment="1">
      <alignment horizontal="right"/>
    </xf>
    <xf numFmtId="0" fontId="7" fillId="4" borderId="3" xfId="2" applyFill="1" applyBorder="1" applyAlignment="1">
      <alignment horizontal="right"/>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009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171449</xdr:colOff>
      <xdr:row>1</xdr:row>
      <xdr:rowOff>234950</xdr:rowOff>
    </xdr:from>
    <xdr:to>
      <xdr:col>1</xdr:col>
      <xdr:colOff>1905000</xdr:colOff>
      <xdr:row>1</xdr:row>
      <xdr:rowOff>631401</xdr:rowOff>
    </xdr:to>
    <xdr:pic>
      <xdr:nvPicPr>
        <xdr:cNvPr id="5" name="Afbeelding 4" descr="MRA-E – MRA-Elektrisch">
          <a:extLst>
            <a:ext uri="{FF2B5EF4-FFF2-40B4-BE49-F238E27FC236}">
              <a16:creationId xmlns:a16="http://schemas.microsoft.com/office/drawing/2014/main" id="{7BC8BA0E-716B-611C-F918-2C76E2D527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49" y="603250"/>
          <a:ext cx="1733551" cy="396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0</xdr:col>
      <xdr:colOff>4470400</xdr:colOff>
      <xdr:row>42</xdr:row>
      <xdr:rowOff>10579</xdr:rowOff>
    </xdr:to>
    <xdr:pic>
      <xdr:nvPicPr>
        <xdr:cNvPr id="2" name="Afbeelding 1">
          <a:extLst>
            <a:ext uri="{FF2B5EF4-FFF2-40B4-BE49-F238E27FC236}">
              <a16:creationId xmlns:a16="http://schemas.microsoft.com/office/drawing/2014/main" id="{46F55EF9-936D-B930-3C98-7362756DC870}"/>
            </a:ext>
          </a:extLst>
        </xdr:cNvPr>
        <xdr:cNvPicPr>
          <a:picLocks noChangeAspect="1"/>
        </xdr:cNvPicPr>
      </xdr:nvPicPr>
      <xdr:blipFill>
        <a:blip xmlns:r="http://schemas.openxmlformats.org/officeDocument/2006/relationships" r:embed="rId1"/>
        <a:stretch>
          <a:fillRect/>
        </a:stretch>
      </xdr:blipFill>
      <xdr:spPr>
        <a:xfrm>
          <a:off x="0" y="8166100"/>
          <a:ext cx="4470400" cy="42015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jak@mrae.nl" TargetMode="External"/><Relationship Id="rId2" Type="http://schemas.openxmlformats.org/officeDocument/2006/relationships/hyperlink" Target="mailto:p.poortinga@mrae.nl" TargetMode="External"/><Relationship Id="rId1" Type="http://schemas.openxmlformats.org/officeDocument/2006/relationships/hyperlink" Target="mailto:i.jak@mrae.n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5"/>
  <sheetViews>
    <sheetView tabSelected="1" workbookViewId="0"/>
  </sheetViews>
  <sheetFormatPr defaultColWidth="8.85546875" defaultRowHeight="15"/>
  <cols>
    <col min="1" max="1" width="8.85546875" style="19"/>
    <col min="2" max="2" width="32.42578125" style="19" customWidth="1"/>
    <col min="3" max="4" width="31.42578125" style="19" customWidth="1"/>
    <col min="5" max="5" width="29.42578125" style="19" bestFit="1" customWidth="1"/>
    <col min="6" max="6" width="31.42578125" style="19" customWidth="1"/>
    <col min="7" max="16384" width="8.85546875" style="19"/>
  </cols>
  <sheetData>
    <row r="1" spans="2:7" ht="29.1" customHeight="1">
      <c r="B1" s="47" t="s">
        <v>0</v>
      </c>
    </row>
    <row r="2" spans="2:7" ht="74.45" customHeight="1">
      <c r="C2" s="56" t="s">
        <v>1</v>
      </c>
    </row>
    <row r="3" spans="2:7" ht="15.95" thickBot="1"/>
    <row r="4" spans="2:7" ht="15.95" thickBot="1">
      <c r="B4" s="16" t="s">
        <v>2</v>
      </c>
      <c r="C4" s="17" t="s">
        <v>3</v>
      </c>
      <c r="D4" s="21"/>
    </row>
    <row r="5" spans="2:7" ht="15.95" thickBot="1">
      <c r="B5" s="16" t="s">
        <v>4</v>
      </c>
      <c r="C5" s="18" t="s">
        <v>5</v>
      </c>
    </row>
    <row r="6" spans="2:7" ht="52.5" customHeight="1" thickBot="1"/>
    <row r="7" spans="2:7" ht="29.25">
      <c r="B7" s="42" t="s">
        <v>6</v>
      </c>
      <c r="C7" s="43" t="s">
        <v>7</v>
      </c>
      <c r="D7" s="43" t="s">
        <v>8</v>
      </c>
      <c r="E7" s="43" t="s">
        <v>9</v>
      </c>
      <c r="F7" s="44" t="s">
        <v>10</v>
      </c>
      <c r="G7" s="20"/>
    </row>
    <row r="8" spans="2:7" ht="15.95">
      <c r="B8" s="2" t="s">
        <v>11</v>
      </c>
      <c r="C8" s="9">
        <f>'a. Installatievergoeding'!B7</f>
        <v>9.3663239074550125E-2</v>
      </c>
      <c r="D8" s="48"/>
      <c r="E8" s="29">
        <f>(D8-C8)/C8</f>
        <v>-1</v>
      </c>
      <c r="F8" s="24" t="s">
        <v>12</v>
      </c>
    </row>
    <row r="9" spans="2:7" ht="15.95">
      <c r="B9" s="1" t="s">
        <v>13</v>
      </c>
      <c r="C9" s="10">
        <f>'b. Energievergoeding'!B11</f>
        <v>0.17296333333333333</v>
      </c>
      <c r="D9" s="49"/>
      <c r="E9" s="29">
        <f t="shared" ref="E9:E10" si="0">(D9-C9)/C9</f>
        <v>-1</v>
      </c>
      <c r="F9" s="25" t="s">
        <v>14</v>
      </c>
    </row>
    <row r="10" spans="2:7" ht="15.95">
      <c r="B10" s="1" t="s">
        <v>15</v>
      </c>
      <c r="C10" s="10">
        <f>'c. Capaciteitsvergoeding'!D5</f>
        <v>2.1934000000000002E-2</v>
      </c>
      <c r="D10" s="49"/>
      <c r="E10" s="29">
        <f t="shared" si="0"/>
        <v>-1</v>
      </c>
      <c r="F10" s="25" t="s">
        <v>16</v>
      </c>
    </row>
    <row r="11" spans="2:7" ht="17.100000000000001" thickBot="1">
      <c r="B11" s="3" t="s">
        <v>17</v>
      </c>
      <c r="C11" s="11">
        <v>0.02</v>
      </c>
      <c r="D11" s="11">
        <v>0.02</v>
      </c>
      <c r="E11" s="29">
        <f>(D11-C11)/C11</f>
        <v>0</v>
      </c>
      <c r="F11" s="26" t="s">
        <v>18</v>
      </c>
    </row>
    <row r="12" spans="2:7" ht="17.100000000000001" thickBot="1">
      <c r="B12" s="4" t="s">
        <v>19</v>
      </c>
      <c r="C12" s="13">
        <f>SUM(C8:C11)</f>
        <v>0.30856057240788348</v>
      </c>
      <c r="D12" s="13">
        <f>SUM(D8:D11)</f>
        <v>0.02</v>
      </c>
      <c r="E12" s="30">
        <f>(D12-C12)/C12</f>
        <v>-0.93518290478939681</v>
      </c>
      <c r="F12" s="27" t="s">
        <v>20</v>
      </c>
    </row>
    <row r="13" spans="2:7" ht="17.100000000000001" thickBot="1">
      <c r="B13" s="12" t="s">
        <v>21</v>
      </c>
      <c r="C13" s="15">
        <f>C12*1.21</f>
        <v>0.37335829261353898</v>
      </c>
      <c r="D13" s="15">
        <f>D12*1.21</f>
        <v>2.4199999999999999E-2</v>
      </c>
      <c r="E13" s="31">
        <f>(D13-C13)/C13</f>
        <v>-0.93518290478939681</v>
      </c>
      <c r="F13" s="28" t="s">
        <v>22</v>
      </c>
    </row>
    <row r="14" spans="2:7" ht="15.95" thickBot="1"/>
    <row r="15" spans="2:7" ht="17.100000000000001" thickBot="1">
      <c r="B15" s="6" t="s">
        <v>23</v>
      </c>
      <c r="C15" s="50" t="s">
        <v>24</v>
      </c>
      <c r="D15" s="14" t="s">
        <v>25</v>
      </c>
    </row>
    <row r="17" spans="2:5">
      <c r="B17" s="22" t="s">
        <v>26</v>
      </c>
    </row>
    <row r="18" spans="2:5">
      <c r="B18" s="21" t="s">
        <v>27</v>
      </c>
    </row>
    <row r="19" spans="2:5">
      <c r="B19" s="23" t="s">
        <v>28</v>
      </c>
      <c r="C19" s="21"/>
      <c r="D19" s="21"/>
      <c r="E19" s="21"/>
    </row>
    <row r="20" spans="2:5" ht="15.95" thickBot="1"/>
    <row r="21" spans="2:5" ht="15.95" thickBot="1">
      <c r="B21" s="8" t="s">
        <v>29</v>
      </c>
    </row>
    <row r="22" spans="2:5">
      <c r="B22" s="7"/>
    </row>
    <row r="23" spans="2:5">
      <c r="B23" s="64" t="s">
        <v>30</v>
      </c>
    </row>
    <row r="24" spans="2:5">
      <c r="B24" s="64" t="s">
        <v>31</v>
      </c>
    </row>
    <row r="25" spans="2:5" ht="15.95" thickBot="1">
      <c r="B25" s="65" t="s">
        <v>32</v>
      </c>
    </row>
  </sheetData>
  <hyperlinks>
    <hyperlink ref="B23" r:id="rId1" display="i.jak@mrae.nl" xr:uid="{61E93D5A-83FF-47D1-A074-6EDE0BC26EAF}"/>
    <hyperlink ref="B25" r:id="rId2" display="p.poortinga@mrae.nl" xr:uid="{05864E61-1C6D-4C42-9652-F1464E11E23A}"/>
    <hyperlink ref="B24" r:id="rId3" display="i.jak@mrae.nl" xr:uid="{217C0EF6-61EF-3049-9961-6D9D38F7EF46}"/>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1B524-7957-45B0-BE2F-3AC3638CBDA9}">
  <dimension ref="A1:B12"/>
  <sheetViews>
    <sheetView workbookViewId="0"/>
  </sheetViews>
  <sheetFormatPr defaultColWidth="8.85546875" defaultRowHeight="15"/>
  <cols>
    <col min="1" max="1" width="134.42578125" style="19" customWidth="1"/>
    <col min="2" max="16384" width="8.85546875" style="19"/>
  </cols>
  <sheetData>
    <row r="1" spans="1:2" ht="335.1" customHeight="1" thickBot="1">
      <c r="A1" s="5" t="s">
        <v>33</v>
      </c>
    </row>
    <row r="2" spans="1:2" ht="15.95" thickBot="1"/>
    <row r="3" spans="1:2" ht="15.95" thickBot="1">
      <c r="A3" s="45" t="s">
        <v>34</v>
      </c>
      <c r="B3" s="44" t="s">
        <v>35</v>
      </c>
    </row>
    <row r="4" spans="1:2">
      <c r="A4" s="32" t="s">
        <v>36</v>
      </c>
      <c r="B4" s="51"/>
    </row>
    <row r="5" spans="1:2">
      <c r="A5" s="32" t="s">
        <v>37</v>
      </c>
      <c r="B5" s="37">
        <f>B4/5</f>
        <v>0</v>
      </c>
    </row>
    <row r="6" spans="1:2">
      <c r="A6" s="32" t="s">
        <v>38</v>
      </c>
      <c r="B6" s="52"/>
    </row>
    <row r="7" spans="1:2" ht="15.95" thickBot="1">
      <c r="A7" s="32" t="s">
        <v>39</v>
      </c>
      <c r="B7" s="36">
        <f>B6/14</f>
        <v>0</v>
      </c>
    </row>
    <row r="8" spans="1:2" ht="15.95" thickBot="1">
      <c r="A8" s="34" t="s">
        <v>23</v>
      </c>
      <c r="B8" s="38" t="str">
        <f>IF(B5&gt;B7,"Ja","Nee")</f>
        <v>Nee</v>
      </c>
    </row>
    <row r="10" spans="1:2">
      <c r="A10" s="21" t="s">
        <v>40</v>
      </c>
    </row>
    <row r="12" spans="1:2">
      <c r="A12" s="54"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F439E-37EA-4E10-9486-6E4D32774CE6}">
  <dimension ref="A1:B19"/>
  <sheetViews>
    <sheetView zoomScaleNormal="100" workbookViewId="0"/>
  </sheetViews>
  <sheetFormatPr defaultColWidth="8.85546875" defaultRowHeight="15"/>
  <cols>
    <col min="1" max="1" width="100.85546875" style="19" customWidth="1"/>
    <col min="2" max="2" width="12.140625" style="19" bestFit="1" customWidth="1"/>
    <col min="3" max="16384" width="8.85546875" style="19"/>
  </cols>
  <sheetData>
    <row r="1" spans="1:2" ht="351" thickBot="1">
      <c r="A1" s="5" t="s">
        <v>42</v>
      </c>
    </row>
    <row r="2" spans="1:2" ht="15.95" thickBot="1"/>
    <row r="3" spans="1:2" ht="15.95" thickBot="1">
      <c r="A3" s="45" t="s">
        <v>43</v>
      </c>
      <c r="B3" s="44" t="s">
        <v>35</v>
      </c>
    </row>
    <row r="4" spans="1:2">
      <c r="A4" s="32" t="s">
        <v>44</v>
      </c>
      <c r="B4" s="35">
        <v>0.09</v>
      </c>
    </row>
    <row r="5" spans="1:2">
      <c r="A5" s="33" t="s">
        <v>45</v>
      </c>
      <c r="B5" s="63">
        <f>B14</f>
        <v>116.7</v>
      </c>
    </row>
    <row r="6" spans="1:2" ht="15.95" thickBot="1">
      <c r="A6" s="33" t="s">
        <v>46</v>
      </c>
      <c r="B6" s="25">
        <f>B15</f>
        <v>121.45</v>
      </c>
    </row>
    <row r="7" spans="1:2" ht="15.95" thickBot="1">
      <c r="A7" s="34" t="s">
        <v>47</v>
      </c>
      <c r="B7" s="38">
        <f>B4*(B6/B5)</f>
        <v>9.3663239074550125E-2</v>
      </c>
    </row>
    <row r="9" spans="1:2">
      <c r="A9" s="21" t="s">
        <v>48</v>
      </c>
    </row>
    <row r="11" spans="1:2">
      <c r="A11" s="54" t="s">
        <v>41</v>
      </c>
    </row>
    <row r="12" spans="1:2" ht="15.95" thickBot="1"/>
    <row r="13" spans="1:2" ht="15.95" thickBot="1">
      <c r="A13" s="45" t="s">
        <v>49</v>
      </c>
      <c r="B13" s="44"/>
    </row>
    <row r="14" spans="1:2">
      <c r="A14" s="32" t="s">
        <v>50</v>
      </c>
      <c r="B14" s="61">
        <v>116.7</v>
      </c>
    </row>
    <row r="15" spans="1:2">
      <c r="A15" s="32" t="s">
        <v>51</v>
      </c>
      <c r="B15" s="25">
        <f>AVERAGE(B16:B19)</f>
        <v>121.45</v>
      </c>
    </row>
    <row r="16" spans="1:2">
      <c r="A16" s="33" t="s">
        <v>52</v>
      </c>
      <c r="B16" s="53">
        <v>120.7</v>
      </c>
    </row>
    <row r="17" spans="1:2">
      <c r="A17" s="33" t="s">
        <v>53</v>
      </c>
      <c r="B17" s="53">
        <v>120.7</v>
      </c>
    </row>
    <row r="18" spans="1:2">
      <c r="A18" s="33" t="s">
        <v>54</v>
      </c>
      <c r="B18" s="53">
        <v>122.2</v>
      </c>
    </row>
    <row r="19" spans="1:2" ht="15.95" thickBot="1">
      <c r="A19" s="60" t="s">
        <v>55</v>
      </c>
      <c r="B19" s="62">
        <v>122.2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53CE-AD08-4D25-92F1-B39CEF869D47}">
  <dimension ref="A1:B15"/>
  <sheetViews>
    <sheetView workbookViewId="0"/>
  </sheetViews>
  <sheetFormatPr defaultColWidth="8.85546875" defaultRowHeight="15"/>
  <cols>
    <col min="1" max="1" width="100.85546875" style="19" customWidth="1"/>
    <col min="2" max="2" width="14.140625" style="19" customWidth="1"/>
    <col min="3" max="16384" width="8.85546875" style="19"/>
  </cols>
  <sheetData>
    <row r="1" spans="1:2" ht="288.95" thickBot="1">
      <c r="A1" s="57" t="s">
        <v>56</v>
      </c>
    </row>
    <row r="2" spans="1:2" ht="15.95" thickBot="1"/>
    <row r="3" spans="1:2" ht="15.95" thickBot="1">
      <c r="A3" s="45" t="s">
        <v>57</v>
      </c>
      <c r="B3" s="44" t="s">
        <v>35</v>
      </c>
    </row>
    <row r="4" spans="1:2">
      <c r="A4" s="32" t="s">
        <v>58</v>
      </c>
      <c r="B4" s="58">
        <v>18000</v>
      </c>
    </row>
    <row r="5" spans="1:2">
      <c r="A5" s="32" t="s">
        <v>59</v>
      </c>
      <c r="B5" s="58">
        <v>9.1609999999999997E-2</v>
      </c>
    </row>
    <row r="6" spans="1:2">
      <c r="A6" s="32" t="s">
        <v>60</v>
      </c>
      <c r="B6" s="58">
        <v>9.1609999999999997E-2</v>
      </c>
    </row>
    <row r="7" spans="1:2">
      <c r="A7" s="32" t="s">
        <v>61</v>
      </c>
      <c r="B7" s="58">
        <v>6.6710000000000005E-2</v>
      </c>
    </row>
    <row r="8" spans="1:2">
      <c r="A8" s="32" t="s">
        <v>62</v>
      </c>
      <c r="B8" s="35">
        <f>(B5*2900+B6*7100+B7*(B4-10000))/B4</f>
        <v>8.0543333333333328E-2</v>
      </c>
    </row>
    <row r="9" spans="1:2">
      <c r="A9" s="32" t="s">
        <v>63</v>
      </c>
      <c r="B9" s="58">
        <v>0</v>
      </c>
    </row>
    <row r="10" spans="1:2" ht="15.95" thickBot="1">
      <c r="A10" s="32" t="s">
        <v>64</v>
      </c>
      <c r="B10" s="58">
        <v>9.2420000000000002E-2</v>
      </c>
    </row>
    <row r="11" spans="1:2" ht="15.95" thickBot="1">
      <c r="A11" s="34" t="s">
        <v>47</v>
      </c>
      <c r="B11" s="59">
        <f>SUM(B8:B10)</f>
        <v>0.17296333333333333</v>
      </c>
    </row>
    <row r="13" spans="1:2">
      <c r="A13" s="21" t="s">
        <v>65</v>
      </c>
    </row>
    <row r="15" spans="1:2">
      <c r="A15" s="54" t="s">
        <v>41</v>
      </c>
    </row>
  </sheetData>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B7CC5-015D-41C4-B0AF-3A1E92CBAB05}">
  <dimension ref="A1:D11"/>
  <sheetViews>
    <sheetView workbookViewId="0"/>
  </sheetViews>
  <sheetFormatPr defaultColWidth="8.85546875" defaultRowHeight="15"/>
  <cols>
    <col min="1" max="1" width="100.85546875" style="19" customWidth="1"/>
    <col min="2" max="3" width="13.42578125" style="19" customWidth="1"/>
    <col min="4" max="4" width="16" style="19" bestFit="1" customWidth="1"/>
    <col min="5" max="16384" width="8.85546875" style="19"/>
  </cols>
  <sheetData>
    <row r="1" spans="1:4" ht="192.95" thickBot="1">
      <c r="A1" s="5" t="s">
        <v>66</v>
      </c>
    </row>
    <row r="2" spans="1:4" ht="15.95" thickBot="1"/>
    <row r="3" spans="1:4" ht="15.95" thickBot="1">
      <c r="A3" s="45" t="s">
        <v>67</v>
      </c>
      <c r="B3" s="46" t="s">
        <v>68</v>
      </c>
      <c r="C3" s="46" t="s">
        <v>69</v>
      </c>
      <c r="D3" s="44" t="s">
        <v>70</v>
      </c>
    </row>
    <row r="4" spans="1:4" ht="15.95" thickBot="1">
      <c r="A4" s="32" t="s">
        <v>71</v>
      </c>
      <c r="B4" s="55">
        <v>395.07600000000002</v>
      </c>
      <c r="C4" s="55">
        <v>394.02</v>
      </c>
      <c r="D4" s="24">
        <v>18000</v>
      </c>
    </row>
    <row r="5" spans="1:4" ht="15.95" thickBot="1">
      <c r="A5" s="34" t="s">
        <v>47</v>
      </c>
      <c r="B5" s="39">
        <f>B4/D4</f>
        <v>2.1948666666666668E-2</v>
      </c>
      <c r="C5" s="39">
        <f>C4/D4</f>
        <v>2.189E-2</v>
      </c>
      <c r="D5" s="38">
        <f>B5*0.75+C5*0.25</f>
        <v>2.1934000000000002E-2</v>
      </c>
    </row>
    <row r="7" spans="1:4">
      <c r="A7" s="21" t="s">
        <v>72</v>
      </c>
    </row>
    <row r="8" spans="1:4">
      <c r="B8" s="40"/>
      <c r="C8" s="41"/>
      <c r="D8" s="41"/>
    </row>
    <row r="9" spans="1:4">
      <c r="A9" s="54" t="s">
        <v>41</v>
      </c>
      <c r="B9" s="40"/>
      <c r="C9" s="41"/>
      <c r="D9" s="41"/>
    </row>
    <row r="10" spans="1:4">
      <c r="B10" s="40"/>
      <c r="C10" s="41"/>
      <c r="D10" s="41"/>
    </row>
    <row r="11" spans="1:4">
      <c r="B11" s="40"/>
      <c r="C11" s="41"/>
      <c r="D11" s="4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1F14-BEB1-D543-88BD-3EFB25DE6E01}">
  <dimension ref="A1"/>
  <sheetViews>
    <sheetView workbookViewId="0"/>
  </sheetViews>
  <sheetFormatPr defaultColWidth="10.85546875" defaultRowHeight="15"/>
  <cols>
    <col min="1" max="1" width="100.85546875" style="19" customWidth="1"/>
    <col min="2" max="16384" width="10.85546875" style="19"/>
  </cols>
  <sheetData>
    <row r="1" spans="1:1" ht="129" thickBot="1">
      <c r="A1" s="5"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057180DEB494418134FA6068924C32" ma:contentTypeVersion="3" ma:contentTypeDescription="Een nieuw document maken." ma:contentTypeScope="" ma:versionID="2f24a21644d61f4e02d1c3fcd4699d48">
  <xsd:schema xmlns:xsd="http://www.w3.org/2001/XMLSchema" xmlns:xs="http://www.w3.org/2001/XMLSchema" xmlns:p="http://schemas.microsoft.com/office/2006/metadata/properties" xmlns:ns2="58359cad-7049-4b27-98db-a4ede0619f39" targetNamespace="http://schemas.microsoft.com/office/2006/metadata/properties" ma:root="true" ma:fieldsID="86525ac977b3c9c5732ede708516dcbf" ns2:_="">
    <xsd:import namespace="58359cad-7049-4b27-98db-a4ede0619f3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59cad-7049-4b27-98db-a4ede0619f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12B3BC-1E25-47C6-87D6-A2E6F84C6031}"/>
</file>

<file path=customXml/itemProps2.xml><?xml version="1.0" encoding="utf-8"?>
<ds:datastoreItem xmlns:ds="http://schemas.openxmlformats.org/officeDocument/2006/customXml" ds:itemID="{720B62A5-FC3E-42AF-9AEF-0E983B334A2E}"/>
</file>

<file path=customXml/itemProps3.xml><?xml version="1.0" encoding="utf-8"?>
<ds:datastoreItem xmlns:ds="http://schemas.openxmlformats.org/officeDocument/2006/customXml" ds:itemID="{DF6DA3A6-08AF-42AA-A5AB-804B73949A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Sybren Graafsma</dc:creator>
  <cp:keywords/>
  <dc:description/>
  <cp:lastModifiedBy>i.jak@evconsult.nl</cp:lastModifiedBy>
  <cp:revision/>
  <dcterms:created xsi:type="dcterms:W3CDTF">2015-06-05T18:19:34Z</dcterms:created>
  <dcterms:modified xsi:type="dcterms:W3CDTF">2026-01-20T09:33:28Z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0x0101000A057180DEB494418134FA6068924C32</vt:lpwstr>
  </property>
</Properties>
</file>