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Ons Middelbaar Onderwijs\AANBESTEDINGEN\Aanbesteding schoonmaak 2025-2026\NVI\"/>
    </mc:Choice>
  </mc:AlternateContent>
  <xr:revisionPtr revIDLastSave="0" documentId="13_ncr:1_{256F2F5B-8BF6-42C3-8990-CECA92D31425}" xr6:coauthVersionLast="47" xr6:coauthVersionMax="47" xr10:uidLastSave="{00000000-0000-0000-0000-000000000000}"/>
  <workbookProtection workbookAlgorithmName="SHA-512" workbookHashValue="QVBvzQINHEAiH8wpHgH+wFkxKkyJmx+K3w0k4p7+eJJn+z31fYnvD2eaKwgdd0UGhFwQJ2etzE8wlnTiBTHyEQ==" workbookSaltValue="fNpfa3NZHCjL1eIgkAPvBg==" workbookSpinCount="100000" lockStructure="1"/>
  <bookViews>
    <workbookView xWindow="-110" yWindow="-110" windowWidth="25820" windowHeight="15500" firstSheet="5" activeTab="12" xr2:uid="{CF77A6D8-D150-4D20-9ECA-BF3EE7940CBF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_FilterDatabase" localSheetId="4" hidden="1">'Ruimten werkdag'!$A$3:$V$828</definedName>
    <definedName name="_xlnm.Print_Titles" localSheetId="8">'Afroep incidenteel'!$1:$3</definedName>
    <definedName name="_xlnm.Print_Titles" localSheetId="2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9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2">Totaal!$1:$3</definedName>
    <definedName name="_xlnm.Print_Titles" localSheetId="7">'Totaalblad Objecten'!$A:$A,'Totaalblad Objecten'!$1:$3</definedName>
    <definedName name="catdw_1_AFVB_1">Categorienormen!$F$6</definedName>
    <definedName name="catdw_1_AFVV_41">Categorienormen!$F$7</definedName>
    <definedName name="catdw_1_BKHB_1">Categorienormen!$F$47</definedName>
    <definedName name="catdw_1_BKHV_41">Categorienormen!$F$48</definedName>
    <definedName name="catdw_1_BKZB_1">Categorienormen!$F$49</definedName>
    <definedName name="catdw_1_BKZV_41">Categorienormen!$F$50</definedName>
    <definedName name="catdw_1_BVHB_1">Categorienormen!$F$51</definedName>
    <definedName name="catdw_1_BVHV_41">Categorienormen!$F$52</definedName>
    <definedName name="catdw_1_BVZB_1">Categorienormen!$F$53</definedName>
    <definedName name="catdw_1_BVZV_41">Categorienormen!$F$54</definedName>
    <definedName name="catdw_1_GFHB_1">Categorienormen!$F$8</definedName>
    <definedName name="catdw_1_GFHV_20">Categorienormen!$F$9</definedName>
    <definedName name="catdw_1_GFHV_41">Categorienormen!$F$10</definedName>
    <definedName name="catdw_1_GSHB_1">Categorienormen!$F$11</definedName>
    <definedName name="catdw_1_GSHV_41">Categorienormen!$F$12</definedName>
    <definedName name="catdw_1_KAHB_1">Categorienormen!$F$23</definedName>
    <definedName name="catdw_1_KAHV_41">Categorienormen!$F$24</definedName>
    <definedName name="catdw_1_KDHB_1">Categorienormen!$F$25</definedName>
    <definedName name="catdw_1_KDHV_41">Categorienormen!$F$26</definedName>
    <definedName name="catdw_1_KDZB_1">Categorienormen!$F$27</definedName>
    <definedName name="catdw_1_KDZV_41">Categorienormen!$F$28</definedName>
    <definedName name="catdw_1_KPHB_1">Categorienormen!$F$29</definedName>
    <definedName name="catdw_1_KPHV_41">Categorienormen!$F$30</definedName>
    <definedName name="catdw_1_LAHB_1">Categorienormen!$F$55</definedName>
    <definedName name="catdw_1_LAHV_41">Categorienormen!$F$56</definedName>
    <definedName name="catdw_1_LLHB_1">Categorienormen!$F$57</definedName>
    <definedName name="catdw_1_LLHV_41">Categorienormen!$F$58</definedName>
    <definedName name="catdw_1_LLZB_1">Categorienormen!$F$59</definedName>
    <definedName name="catdw_1_LLZV_41">Categorienormen!$F$60</definedName>
    <definedName name="catdw_1_LOHB_1">Categorienormen!$F$61</definedName>
    <definedName name="catdw_1_LOHV_41">Categorienormen!$F$62</definedName>
    <definedName name="catdw_1_LOZB_1">Categorienormen!$F$63</definedName>
    <definedName name="catdw_1_LOZV_41">Categorienormen!$F$64</definedName>
    <definedName name="catdw_1_MAHB_1">Categorienormen!$F$65</definedName>
    <definedName name="catdw_1_MAHV_41">Categorienormen!$F$66</definedName>
    <definedName name="catdw_1_OAHB_1">Categorienormen!$F$31</definedName>
    <definedName name="catdw_1_OAHV_12">Categorienormen!$F$32</definedName>
    <definedName name="catdw_1_OAHV_41">Categorienormen!$F$33</definedName>
    <definedName name="catdw_1_PAHB_1">Categorienormen!$F$67</definedName>
    <definedName name="catdw_1_PAHV_41">Categorienormen!$F$68</definedName>
    <definedName name="catdw_1_PKHB_1">Categorienormen!$F$13</definedName>
    <definedName name="catdw_1_PKHV_41">Categorienormen!$F$14</definedName>
    <definedName name="catdw_1_PLHB_1">Categorienormen!$F$69</definedName>
    <definedName name="catdw_1_PLHV_41">Categorienormen!$F$70</definedName>
    <definedName name="catdw_1_PSHB_1">Categorienormen!$F$71</definedName>
    <definedName name="catdw_1_PSHV_41">Categorienormen!$F$72</definedName>
    <definedName name="catdw_1_PSZB_1">Categorienormen!$F$73</definedName>
    <definedName name="catdw_1_PSZV_41">Categorienormen!$F$74</definedName>
    <definedName name="catdw_1_PWHB_1">Categorienormen!$F$15</definedName>
    <definedName name="catdw_1_PWHV_41">Categorienormen!$F$16</definedName>
    <definedName name="catdw_1_SDHB_1">Categorienormen!$F$17</definedName>
    <definedName name="catdw_1_SDHV_41">Categorienormen!$F$18</definedName>
    <definedName name="catdw_1_SKHB_1">Categorienormen!$F$19</definedName>
    <definedName name="catdw_1_SKHV_41">Categorienormen!$F$20</definedName>
    <definedName name="catdw_1_STHB_1">Categorienormen!$F$21</definedName>
    <definedName name="catdw_1_STHV_41">Categorienormen!$F$22</definedName>
    <definedName name="catdw_1_VAHB_1">Categorienormen!$F$34</definedName>
    <definedName name="catdw_1_VAHV_41">Categorienormen!$F$35</definedName>
    <definedName name="catdw_1_VAZB_1">Categorienormen!$F$36</definedName>
    <definedName name="catdw_1_VAZV_41">Categorienormen!$F$37</definedName>
    <definedName name="catdw_1_VEZB_1">Categorienormen!$F$38</definedName>
    <definedName name="catdw_1_VEZV_41">Categorienormen!$F$39</definedName>
    <definedName name="catdw_1_VLHB_1">Categorienormen!$F$40</definedName>
    <definedName name="catdw_1_VLHV_41">Categorienormen!$F$41</definedName>
    <definedName name="catdw_1_VOHB_1">Categorienormen!$F$42</definedName>
    <definedName name="catdw_1_VOHV_41">Categorienormen!$F$43</definedName>
    <definedName name="catdw_1_VTHB_1">Categorienormen!$F$44</definedName>
    <definedName name="catdw_1_VTHV_12">Categorienormen!$F$45</definedName>
    <definedName name="catdw_1_VTHV_41">Categorienormen!$F$46</definedName>
    <definedName name="catdw_1_XDGB_1">Categorienormen!$F$75</definedName>
    <definedName name="catfd_1_AFVB_1">Categorienormen!$C$6</definedName>
    <definedName name="catfd_1_AFVV_41">Categorienormen!$C$7</definedName>
    <definedName name="catfd_1_BKHB_1">Categorienormen!$C$47</definedName>
    <definedName name="catfd_1_BKHV_41">Categorienormen!$C$48</definedName>
    <definedName name="catfd_1_BKZB_1">Categorienormen!$C$49</definedName>
    <definedName name="catfd_1_BKZV_41">Categorienormen!$C$50</definedName>
    <definedName name="catfd_1_BVHB_1">Categorienormen!$C$51</definedName>
    <definedName name="catfd_1_BVHV_41">Categorienormen!$C$52</definedName>
    <definedName name="catfd_1_BVZB_1">Categorienormen!$C$53</definedName>
    <definedName name="catfd_1_BVZV_41">Categorienormen!$C$54</definedName>
    <definedName name="catfd_1_GFHB_1">Categorienormen!$C$8</definedName>
    <definedName name="catfd_1_GFHV_20">Categorienormen!$C$9</definedName>
    <definedName name="catfd_1_GFHV_41">Categorienormen!$C$10</definedName>
    <definedName name="catfd_1_GSHB_1">Categorienormen!$C$11</definedName>
    <definedName name="catfd_1_GSHV_41">Categorienormen!$C$12</definedName>
    <definedName name="catfd_1_KAHB_1">Categorienormen!$C$23</definedName>
    <definedName name="catfd_1_KAHV_41">Categorienormen!$C$24</definedName>
    <definedName name="catfd_1_KDHB_1">Categorienormen!$C$25</definedName>
    <definedName name="catfd_1_KDHV_41">Categorienormen!$C$26</definedName>
    <definedName name="catfd_1_KDZB_1">Categorienormen!$C$27</definedName>
    <definedName name="catfd_1_KDZV_41">Categorienormen!$C$28</definedName>
    <definedName name="catfd_1_KPHB_1">Categorienormen!$C$29</definedName>
    <definedName name="catfd_1_KPHV_41">Categorienormen!$C$30</definedName>
    <definedName name="catfd_1_LAHB_1">Categorienormen!$C$55</definedName>
    <definedName name="catfd_1_LAHV_41">Categorienormen!$C$56</definedName>
    <definedName name="catfd_1_LLHB_1">Categorienormen!$C$57</definedName>
    <definedName name="catfd_1_LLHV_41">Categorienormen!$C$58</definedName>
    <definedName name="catfd_1_LLZB_1">Categorienormen!$C$59</definedName>
    <definedName name="catfd_1_LLZV_41">Categorienormen!$C$60</definedName>
    <definedName name="catfd_1_LOHB_1">Categorienormen!$C$61</definedName>
    <definedName name="catfd_1_LOHV_41">Categorienormen!$C$62</definedName>
    <definedName name="catfd_1_LOZB_1">Categorienormen!$C$63</definedName>
    <definedName name="catfd_1_LOZV_41">Categorienormen!$C$64</definedName>
    <definedName name="catfd_1_MAHB_1">Categorienormen!$C$65</definedName>
    <definedName name="catfd_1_MAHV_41">Categorienormen!$C$66</definedName>
    <definedName name="catfd_1_OAHB_1">Categorienormen!$C$31</definedName>
    <definedName name="catfd_1_OAHV_12">Categorienormen!$C$32</definedName>
    <definedName name="catfd_1_OAHV_41">Categorienormen!$C$33</definedName>
    <definedName name="catfd_1_PAHB_1">Categorienormen!$C$67</definedName>
    <definedName name="catfd_1_PAHV_41">Categorienormen!$C$68</definedName>
    <definedName name="catfd_1_PKHB_1">Categorienormen!$C$13</definedName>
    <definedName name="catfd_1_PKHV_41">Categorienormen!$C$14</definedName>
    <definedName name="catfd_1_PLHB_1">Categorienormen!$C$69</definedName>
    <definedName name="catfd_1_PLHV_41">Categorienormen!$C$70</definedName>
    <definedName name="catfd_1_PSHB_1">Categorienormen!$C$71</definedName>
    <definedName name="catfd_1_PSHV_41">Categorienormen!$C$72</definedName>
    <definedName name="catfd_1_PSZB_1">Categorienormen!$C$73</definedName>
    <definedName name="catfd_1_PSZV_41">Categorienormen!$C$74</definedName>
    <definedName name="catfd_1_PWHB_1">Categorienormen!$C$15</definedName>
    <definedName name="catfd_1_PWHV_41">Categorienormen!$C$16</definedName>
    <definedName name="catfd_1_SDHB_1">Categorienormen!$C$17</definedName>
    <definedName name="catfd_1_SDHV_41">Categorienormen!$C$18</definedName>
    <definedName name="catfd_1_SKHB_1">Categorienormen!$C$19</definedName>
    <definedName name="catfd_1_SKHV_41">Categorienormen!$C$20</definedName>
    <definedName name="catfd_1_STHB_1">Categorienormen!$C$21</definedName>
    <definedName name="catfd_1_STHV_41">Categorienormen!$C$22</definedName>
    <definedName name="catfd_1_VAHB_1">Categorienormen!$C$34</definedName>
    <definedName name="catfd_1_VAHV_41">Categorienormen!$C$35</definedName>
    <definedName name="catfd_1_VAZB_1">Categorienormen!$C$36</definedName>
    <definedName name="catfd_1_VAZV_41">Categorienormen!$C$37</definedName>
    <definedName name="catfd_1_VEZB_1">Categorienormen!$C$38</definedName>
    <definedName name="catfd_1_VEZV_41">Categorienormen!$C$39</definedName>
    <definedName name="catfd_1_VLHB_1">Categorienormen!$C$40</definedName>
    <definedName name="catfd_1_VLHV_41">Categorienormen!$C$41</definedName>
    <definedName name="catfd_1_VOHB_1">Categorienormen!$C$42</definedName>
    <definedName name="catfd_1_VOHV_41">Categorienormen!$C$43</definedName>
    <definedName name="catfd_1_VTHB_1">Categorienormen!$C$44</definedName>
    <definedName name="catfd_1_VTHV_12">Categorienormen!$C$45</definedName>
    <definedName name="catfd_1_VTHV_41">Categorienormen!$C$46</definedName>
    <definedName name="catfd_1_XDGB_1">Categorienormen!$C$75</definedName>
    <definedName name="catpn_1_AFVB_1">Categorienormen!$E$6</definedName>
    <definedName name="catpn_1_AFVV_41">Categorienormen!$E$7</definedName>
    <definedName name="catpn_1_BKHB_1">Categorienormen!$E$47</definedName>
    <definedName name="catpn_1_BKHV_41">Categorienormen!$E$48</definedName>
    <definedName name="catpn_1_BKZB_1">Categorienormen!$E$49</definedName>
    <definedName name="catpn_1_BKZV_41">Categorienormen!$E$50</definedName>
    <definedName name="catpn_1_BVHB_1">Categorienormen!$E$51</definedName>
    <definedName name="catpn_1_BVHV_41">Categorienormen!$E$52</definedName>
    <definedName name="catpn_1_BVZB_1">Categorienormen!$E$53</definedName>
    <definedName name="catpn_1_BVZV_41">Categorienormen!$E$54</definedName>
    <definedName name="catpn_1_GFHB_1">Categorienormen!$E$8</definedName>
    <definedName name="catpn_1_GFHV_20">Categorienormen!$E$9</definedName>
    <definedName name="catpn_1_GFHV_41">Categorienormen!$E$10</definedName>
    <definedName name="catpn_1_GSHB_1">Categorienormen!$E$11</definedName>
    <definedName name="catpn_1_GSHV_41">Categorienormen!$E$12</definedName>
    <definedName name="catpn_1_KAHB_1">Categorienormen!$E$23</definedName>
    <definedName name="catpn_1_KAHV_41">Categorienormen!$E$24</definedName>
    <definedName name="catpn_1_KDHB_1">Categorienormen!$E$25</definedName>
    <definedName name="catpn_1_KDHV_41">Categorienormen!$E$26</definedName>
    <definedName name="catpn_1_KDZB_1">Categorienormen!$E$27</definedName>
    <definedName name="catpn_1_KDZV_41">Categorienormen!$E$28</definedName>
    <definedName name="catpn_1_KPHB_1">Categorienormen!$E$29</definedName>
    <definedName name="catpn_1_KPHV_41">Categorienormen!$E$30</definedName>
    <definedName name="catpn_1_LAHB_1">Categorienormen!$E$55</definedName>
    <definedName name="catpn_1_LAHV_41">Categorienormen!$E$56</definedName>
    <definedName name="catpn_1_LLHB_1">Categorienormen!$E$57</definedName>
    <definedName name="catpn_1_LLHV_41">Categorienormen!$E$58</definedName>
    <definedName name="catpn_1_LLZB_1">Categorienormen!$E$59</definedName>
    <definedName name="catpn_1_LLZV_41">Categorienormen!$E$60</definedName>
    <definedName name="catpn_1_LOHB_1">Categorienormen!$E$61</definedName>
    <definedName name="catpn_1_LOHV_41">Categorienormen!$E$62</definedName>
    <definedName name="catpn_1_LOZB_1">Categorienormen!$E$63</definedName>
    <definedName name="catpn_1_LOZV_41">Categorienormen!$E$64</definedName>
    <definedName name="catpn_1_MAHB_1">Categorienormen!$E$65</definedName>
    <definedName name="catpn_1_MAHV_41">Categorienormen!$E$66</definedName>
    <definedName name="catpn_1_OAHB_1">Categorienormen!$E$31</definedName>
    <definedName name="catpn_1_OAHV_12">Categorienormen!$E$32</definedName>
    <definedName name="catpn_1_OAHV_41">Categorienormen!$E$33</definedName>
    <definedName name="catpn_1_PAHB_1">Categorienormen!$E$67</definedName>
    <definedName name="catpn_1_PAHV_41">Categorienormen!$E$68</definedName>
    <definedName name="catpn_1_PKHB_1">Categorienormen!$E$13</definedName>
    <definedName name="catpn_1_PKHV_41">Categorienormen!$E$14</definedName>
    <definedName name="catpn_1_PLHB_1">Categorienormen!$E$69</definedName>
    <definedName name="catpn_1_PLHV_41">Categorienormen!$E$70</definedName>
    <definedName name="catpn_1_PSHB_1">Categorienormen!$E$71</definedName>
    <definedName name="catpn_1_PSHV_41">Categorienormen!$E$72</definedName>
    <definedName name="catpn_1_PSZB_1">Categorienormen!$E$73</definedName>
    <definedName name="catpn_1_PSZV_41">Categorienormen!$E$74</definedName>
    <definedName name="catpn_1_PWHB_1">Categorienormen!$E$15</definedName>
    <definedName name="catpn_1_PWHV_41">Categorienormen!$E$16</definedName>
    <definedName name="catpn_1_SDHB_1">Categorienormen!$E$17</definedName>
    <definedName name="catpn_1_SDHV_41">Categorienormen!$E$18</definedName>
    <definedName name="catpn_1_SKHB_1">Categorienormen!$E$19</definedName>
    <definedName name="catpn_1_SKHV_41">Categorienormen!$E$20</definedName>
    <definedName name="catpn_1_STHB_1">Categorienormen!$E$21</definedName>
    <definedName name="catpn_1_STHV_41">Categorienormen!$E$22</definedName>
    <definedName name="catpn_1_VAHB_1">Categorienormen!$E$34</definedName>
    <definedName name="catpn_1_VAHV_41">Categorienormen!$E$35</definedName>
    <definedName name="catpn_1_VAZB_1">Categorienormen!$E$36</definedName>
    <definedName name="catpn_1_VAZV_41">Categorienormen!$E$37</definedName>
    <definedName name="catpn_1_VEZB_1">Categorienormen!$E$38</definedName>
    <definedName name="catpn_1_VEZV_41">Categorienormen!$E$39</definedName>
    <definedName name="catpn_1_VLHB_1">Categorienormen!$E$40</definedName>
    <definedName name="catpn_1_VLHV_41">Categorienormen!$E$41</definedName>
    <definedName name="catpn_1_VOHB_1">Categorienormen!$E$42</definedName>
    <definedName name="catpn_1_VOHV_41">Categorienormen!$E$43</definedName>
    <definedName name="catpn_1_VTHB_1">Categorienormen!$E$44</definedName>
    <definedName name="catpn_1_VTHV_12">Categorienormen!$E$45</definedName>
    <definedName name="catpn_1_VTHV_41">Categorienormen!$E$46</definedName>
    <definedName name="catpn_1_XDGB_1">Categorienormen!$E$75</definedName>
    <definedName name="cattf_1_AFVB_1">Categorienormen!$H$6</definedName>
    <definedName name="cattf_1_AFVV_41">Categorienormen!$H$7</definedName>
    <definedName name="cattf_1_BKHB_1">Categorienormen!$H$47</definedName>
    <definedName name="cattf_1_BKHV_41">Categorienormen!$H$48</definedName>
    <definedName name="cattf_1_BKZB_1">Categorienormen!$H$49</definedName>
    <definedName name="cattf_1_BKZV_41">Categorienormen!$H$50</definedName>
    <definedName name="cattf_1_BVHB_1">Categorienormen!$H$51</definedName>
    <definedName name="cattf_1_BVHV_41">Categorienormen!$H$52</definedName>
    <definedName name="cattf_1_BVZB_1">Categorienormen!$H$53</definedName>
    <definedName name="cattf_1_BVZV_41">Categorienormen!$H$54</definedName>
    <definedName name="cattf_1_GFHB_1">Categorienormen!$H$8</definedName>
    <definedName name="cattf_1_GFHV_20">Categorienormen!$H$9</definedName>
    <definedName name="cattf_1_GFHV_41">Categorienormen!$H$10</definedName>
    <definedName name="cattf_1_GSHB_1">Categorienormen!$H$11</definedName>
    <definedName name="cattf_1_GSHV_41">Categorienormen!$H$12</definedName>
    <definedName name="cattf_1_KAHB_1">Categorienormen!$H$23</definedName>
    <definedName name="cattf_1_KAHV_41">Categorienormen!$H$24</definedName>
    <definedName name="cattf_1_KDHB_1">Categorienormen!$H$25</definedName>
    <definedName name="cattf_1_KDHV_41">Categorienormen!$H$26</definedName>
    <definedName name="cattf_1_KDZB_1">Categorienormen!$H$27</definedName>
    <definedName name="cattf_1_KDZV_41">Categorienormen!$H$28</definedName>
    <definedName name="cattf_1_KPHB_1">Categorienormen!$H$29</definedName>
    <definedName name="cattf_1_KPHV_41">Categorienormen!$H$30</definedName>
    <definedName name="cattf_1_LAHB_1">Categorienormen!$H$55</definedName>
    <definedName name="cattf_1_LAHV_41">Categorienormen!$H$56</definedName>
    <definedName name="cattf_1_LLHB_1">Categorienormen!$H$57</definedName>
    <definedName name="cattf_1_LLHV_41">Categorienormen!$H$58</definedName>
    <definedName name="cattf_1_LLZB_1">Categorienormen!$H$59</definedName>
    <definedName name="cattf_1_LLZV_41">Categorienormen!$H$60</definedName>
    <definedName name="cattf_1_LOHB_1">Categorienormen!$H$61</definedName>
    <definedName name="cattf_1_LOHV_41">Categorienormen!$H$62</definedName>
    <definedName name="cattf_1_LOZB_1">Categorienormen!$H$63</definedName>
    <definedName name="cattf_1_LOZV_41">Categorienormen!$H$64</definedName>
    <definedName name="cattf_1_MAHB_1">Categorienormen!$H$65</definedName>
    <definedName name="cattf_1_MAHV_41">Categorienormen!$H$66</definedName>
    <definedName name="cattf_1_OAHB_1">Categorienormen!$H$31</definedName>
    <definedName name="cattf_1_OAHV_12">Categorienormen!$H$32</definedName>
    <definedName name="cattf_1_OAHV_41">Categorienormen!$H$33</definedName>
    <definedName name="cattf_1_PAHB_1">Categorienormen!$H$67</definedName>
    <definedName name="cattf_1_PAHV_41">Categorienormen!$H$68</definedName>
    <definedName name="cattf_1_PKHB_1">Categorienormen!$H$13</definedName>
    <definedName name="cattf_1_PKHV_41">Categorienormen!$H$14</definedName>
    <definedName name="cattf_1_PLHB_1">Categorienormen!$H$69</definedName>
    <definedName name="cattf_1_PLHV_41">Categorienormen!$H$70</definedName>
    <definedName name="cattf_1_PSHB_1">Categorienormen!$H$71</definedName>
    <definedName name="cattf_1_PSHV_41">Categorienormen!$H$72</definedName>
    <definedName name="cattf_1_PSZB_1">Categorienormen!$H$73</definedName>
    <definedName name="cattf_1_PSZV_41">Categorienormen!$H$74</definedName>
    <definedName name="cattf_1_PWHB_1">Categorienormen!$H$15</definedName>
    <definedName name="cattf_1_PWHV_41">Categorienormen!$H$16</definedName>
    <definedName name="cattf_1_SDHB_1">Categorienormen!$H$17</definedName>
    <definedName name="cattf_1_SDHV_41">Categorienormen!$H$18</definedName>
    <definedName name="cattf_1_SKHB_1">Categorienormen!$H$19</definedName>
    <definedName name="cattf_1_SKHV_41">Categorienormen!$H$20</definedName>
    <definedName name="cattf_1_STHB_1">Categorienormen!$H$21</definedName>
    <definedName name="cattf_1_STHV_41">Categorienormen!$H$22</definedName>
    <definedName name="cattf_1_VAHB_1">Categorienormen!$H$34</definedName>
    <definedName name="cattf_1_VAHV_41">Categorienormen!$H$35</definedName>
    <definedName name="cattf_1_VAZB_1">Categorienormen!$H$36</definedName>
    <definedName name="cattf_1_VAZV_41">Categorienormen!$H$37</definedName>
    <definedName name="cattf_1_VEZB_1">Categorienormen!$H$38</definedName>
    <definedName name="cattf_1_VEZV_41">Categorienormen!$H$39</definedName>
    <definedName name="cattf_1_VLHB_1">Categorienormen!$H$40</definedName>
    <definedName name="cattf_1_VLHV_41">Categorienormen!$H$41</definedName>
    <definedName name="cattf_1_VOHB_1">Categorienormen!$H$42</definedName>
    <definedName name="cattf_1_VOHV_41">Categorienormen!$H$43</definedName>
    <definedName name="cattf_1_VTHB_1">Categorienormen!$H$44</definedName>
    <definedName name="cattf_1_VTHV_12">Categorienormen!$H$45</definedName>
    <definedName name="cattf_1_VTHV_41">Categorienormen!$H$46</definedName>
    <definedName name="cattf_1_XDGB_1">Categorienormen!$H$75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Omreken!$A$13:$B$29</definedName>
    <definedName name="dagsoorttabel2">Omreken!$D$13:$E$24</definedName>
    <definedName name="dagsoorttabel3">Omreken!$G$13:$H$24</definedName>
    <definedName name="dagsoorttabel4">Omreken!$J$13:$K$15</definedName>
    <definedName name="dagwerk10">'Regulier werk'!$H$11</definedName>
    <definedName name="dagwerk11">'Regulier werk'!$H$12</definedName>
    <definedName name="dagwerk12">'Regulier werk'!$H$13</definedName>
    <definedName name="dagwerk13">'Regulier werk'!$H$14</definedName>
    <definedName name="dagwerk14">'Regulier werk'!$H$15</definedName>
    <definedName name="dagwerk15">'Regulier werk'!$H$16</definedName>
    <definedName name="dagwerk16">'Regulier werk'!$H$17</definedName>
    <definedName name="dagwerk17">'Regulier werk'!$H$18</definedName>
    <definedName name="dagwerk18">'Regulier werk'!$H$19</definedName>
    <definedName name="dagwerk19">'Regulier werk'!$H$20</definedName>
    <definedName name="dagwerk20">'Regulier werk'!$H$21</definedName>
    <definedName name="dagwerk21">'Regulier werk'!$H$22</definedName>
    <definedName name="dagwerk22">'Regulier werk'!$H$23</definedName>
    <definedName name="dagwerk23">'Regulier werk'!$H$24</definedName>
    <definedName name="dagwerk24">'Regulier werk'!$H$25</definedName>
    <definedName name="dagwerk25">'Regulier werk'!$H$26</definedName>
    <definedName name="dagwerk26">'Regulier werk'!$H$27</definedName>
    <definedName name="dagwerk27">'Regulier werk'!$H$28</definedName>
    <definedName name="dagwerk28">'Regulier werk'!$H$29</definedName>
    <definedName name="dagwerk29">'Regulier werk'!$H$30</definedName>
    <definedName name="dagwerk30">'Regulier werk'!$H$31</definedName>
    <definedName name="dagwerk31">'Regulier werk'!$H$32</definedName>
    <definedName name="dagwerk32">'Regulier werk'!$H$33</definedName>
    <definedName name="dagwerk33">'Regulier werk'!$H$34</definedName>
    <definedName name="dagwerk34">'Regulier werk'!$H$35</definedName>
    <definedName name="dagwerk35">'Regulier werk'!$H$36</definedName>
    <definedName name="dagwerk36">'Regulier werk'!$H$37</definedName>
    <definedName name="dagwerk37">'Regulier werk'!$H$38</definedName>
    <definedName name="dagwerk38">'Regulier werk'!$H$39</definedName>
    <definedName name="dagwerk39">'Regulier werk'!$H$40</definedName>
    <definedName name="dagwerk4">'Regulier werk'!$H$56</definedName>
    <definedName name="dagwerk40">'Regulier werk'!$H$41</definedName>
    <definedName name="dagwerk41">'Regulier werk'!$H$42</definedName>
    <definedName name="dagwerk42">'Regulier werk'!$H$43</definedName>
    <definedName name="dagwerk43">'Regulier werk'!$H$44</definedName>
    <definedName name="dagwerk44">'Regulier werk'!$H$45</definedName>
    <definedName name="dagwerk45">'Regulier werk'!$H$46</definedName>
    <definedName name="dagwerk46">'Regulier werk'!$H$47</definedName>
    <definedName name="dagwerk47">'Regulier werk'!$H$48</definedName>
    <definedName name="dagwerk48">'Regulier werk'!$H$49</definedName>
    <definedName name="dagwerk49">'Regulier werk'!$H$50</definedName>
    <definedName name="dagwerk5">'Regulier werk'!$H$6</definedName>
    <definedName name="dagwerk50">'Regulier werk'!$H$51</definedName>
    <definedName name="dagwerk51">'Regulier werk'!$H$52</definedName>
    <definedName name="dagwerk52">'Regulier werk'!$H$53</definedName>
    <definedName name="dagwerk53">'Regulier werk'!$H$54</definedName>
    <definedName name="dagwerk54">'Regulier werk'!$H$55</definedName>
    <definedName name="dagwerk6">'Regulier werk'!$H$7</definedName>
    <definedName name="dagwerk7">'Regulier werk'!$H$8</definedName>
    <definedName name="dagwerk8">'Regulier werk'!$H$9</definedName>
    <definedName name="dagwerk9">'Regulier werk'!$H$10</definedName>
    <definedName name="dagwerktabel1">Objectinformatie!$H$5:$H$53</definedName>
    <definedName name="gemuurtarief1">'Regulier werk'!$J$59</definedName>
    <definedName name="kengetaltabel1">Objectinformatie!$G$5:$G$53</definedName>
    <definedName name="object1_gemuurtarief1">'Ruimten werkdag'!$Q$247</definedName>
    <definedName name="object1_opptabel1">Objectinformatie!$J$5:$J$53</definedName>
    <definedName name="object1_prijsdag1">'Ruimten werkdag'!$T$247</definedName>
    <definedName name="object1_prijsjaar1">'Ruimten werkdag'!$V$247</definedName>
    <definedName name="object1_urendag1">'Ruimten werkdag'!$R$247</definedName>
    <definedName name="object1_urendaghf1">'Ruimten werkdag'!$S$247</definedName>
    <definedName name="object1_urenjaar1">'Ruimten werkdag'!$U$247</definedName>
    <definedName name="object2_gemuurtarief1">'Ruimten werkdag'!$Q$449</definedName>
    <definedName name="object2_opptabel1">Objectinformatie!$K$5:$K$53</definedName>
    <definedName name="object2_prijsdag1">'Ruimten werkdag'!$T$449</definedName>
    <definedName name="object2_prijsjaar1">'Ruimten werkdag'!$V$449</definedName>
    <definedName name="object2_urendag1">'Ruimten werkdag'!$R$449</definedName>
    <definedName name="object2_urendaghf1">'Ruimten werkdag'!$S$449</definedName>
    <definedName name="object2_urenjaar1">'Ruimten werkdag'!$U$449</definedName>
    <definedName name="object3_gemuurtarief1">'Ruimten werkdag'!$Q$538</definedName>
    <definedName name="object3_opptabel1">Objectinformatie!$L$5:$L$53</definedName>
    <definedName name="object3_prijsdag1">'Ruimten werkdag'!$T$538</definedName>
    <definedName name="object3_prijsjaar1">'Ruimten werkdag'!$V$538</definedName>
    <definedName name="object3_urendag1">'Ruimten werkdag'!$R$538</definedName>
    <definedName name="object3_urendaghf1">'Ruimten werkdag'!$S$538</definedName>
    <definedName name="object3_urenjaar1">'Ruimten werkdag'!$U$538</definedName>
    <definedName name="object4_gemuurtarief1">'Ruimten werkdag'!$Q$828</definedName>
    <definedName name="object4_opptabel1">Objectinformatie!$M$5:$M$53</definedName>
    <definedName name="object4_prijsdag1">'Ruimten werkdag'!$T$828</definedName>
    <definedName name="object4_prijsjaar1">'Ruimten werkdag'!$V$828</definedName>
    <definedName name="object4_urendag1">'Ruimten werkdag'!$R$828</definedName>
    <definedName name="object4_urendaghf1">'Ruimten werkdag'!$S$828</definedName>
    <definedName name="object4_urenjaar1">'Ruimten werkdag'!$U$828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prijsdag1">'Regulier werk'!$L$57</definedName>
    <definedName name="prijsjaar">'Regulier werk'!$N$62</definedName>
    <definedName name="prijsjaar1">'Regulier werk'!$N$57</definedName>
    <definedName name="prijsjaarglas">Glas!$K$12</definedName>
    <definedName name="prijsjaarglas1">Glas!$K$10</definedName>
    <definedName name="prijsjaarregie">Regiewerk!$K$11</definedName>
    <definedName name="prijsjaarregie1">Regiewerk!$K$9</definedName>
    <definedName name="prijsjaartotaal">Objecten!$L$13</definedName>
    <definedName name="prijsjaartotaal1">Objecten!$L$10</definedName>
    <definedName name="prijsjaartotaaloverzicht">'Totaalblad Objecten'!$B$13</definedName>
    <definedName name="prijsmaandtotaal1">Objecten!$M$10</definedName>
    <definedName name="prodnorm0">Glas!$H$9</definedName>
    <definedName name="prodnorm1">'Glas per locatie'!$I$24</definedName>
    <definedName name="prodnorm10">'Regulier werk'!$G$11</definedName>
    <definedName name="prodnorm11">'Regulier werk'!$G$12</definedName>
    <definedName name="prodnorm12">'Regulier werk'!$G$13</definedName>
    <definedName name="prodnorm13">'Regulier werk'!$G$14</definedName>
    <definedName name="prodnorm14">'Regulier werk'!$G$15</definedName>
    <definedName name="prodnorm15">'Regulier werk'!$G$16</definedName>
    <definedName name="prodnorm16">'Regulier werk'!$G$17</definedName>
    <definedName name="prodnorm17">'Regulier werk'!$G$18</definedName>
    <definedName name="prodnorm18">'Regulier werk'!$G$19</definedName>
    <definedName name="prodnorm19">'Regulier werk'!$G$20</definedName>
    <definedName name="prodnorm2">'Glas per locatie'!$I$25</definedName>
    <definedName name="prodnorm20">'Regulier werk'!$G$21</definedName>
    <definedName name="prodnorm21">'Regulier werk'!$G$22</definedName>
    <definedName name="prodnorm22">'Regulier werk'!$G$23</definedName>
    <definedName name="prodnorm23">'Regulier werk'!$G$24</definedName>
    <definedName name="prodnorm24">'Regulier werk'!$G$25</definedName>
    <definedName name="prodnorm25">'Regulier werk'!$G$26</definedName>
    <definedName name="prodnorm26">'Regulier werk'!$G$27</definedName>
    <definedName name="prodnorm27">'Regulier werk'!$G$28</definedName>
    <definedName name="prodnorm28">'Regulier werk'!$G$29</definedName>
    <definedName name="prodnorm29">'Regulier werk'!$G$30</definedName>
    <definedName name="prodnorm3">'Glas per locatie'!$I$26</definedName>
    <definedName name="prodnorm30">'Regulier werk'!$G$31</definedName>
    <definedName name="prodnorm31">'Regulier werk'!$G$32</definedName>
    <definedName name="prodnorm32">'Regulier werk'!$G$33</definedName>
    <definedName name="prodnorm33">'Regulier werk'!$G$34</definedName>
    <definedName name="prodnorm34">'Regulier werk'!$G$35</definedName>
    <definedName name="prodnorm35">'Regulier werk'!$G$36</definedName>
    <definedName name="prodnorm36">'Regulier werk'!$G$37</definedName>
    <definedName name="prodnorm37">'Regulier werk'!$G$38</definedName>
    <definedName name="prodnorm38">'Regulier werk'!$G$39</definedName>
    <definedName name="prodnorm39">'Regulier werk'!$G$40</definedName>
    <definedName name="prodnorm4">'Regulier werk'!$G$56</definedName>
    <definedName name="prodnorm40">'Regulier werk'!$G$41</definedName>
    <definedName name="prodnorm41">'Regulier werk'!$G$42</definedName>
    <definedName name="prodnorm42">'Regulier werk'!$G$43</definedName>
    <definedName name="prodnorm43">'Regulier werk'!$G$44</definedName>
    <definedName name="prodnorm44">'Regulier werk'!$G$45</definedName>
    <definedName name="prodnorm45">'Regulier werk'!$G$46</definedName>
    <definedName name="prodnorm46">'Regulier werk'!$G$47</definedName>
    <definedName name="prodnorm47">'Regulier werk'!$G$48</definedName>
    <definedName name="prodnorm48">'Regulier werk'!$G$49</definedName>
    <definedName name="prodnorm49">'Regulier werk'!$G$50</definedName>
    <definedName name="prodnorm5">'Regulier werk'!$G$6</definedName>
    <definedName name="prodnorm50">'Regulier werk'!$G$51</definedName>
    <definedName name="prodnorm51">'Regulier werk'!$G$52</definedName>
    <definedName name="prodnorm52">'Regulier werk'!$G$53</definedName>
    <definedName name="prodnorm53">'Regulier werk'!$G$54</definedName>
    <definedName name="prodnorm54">'Regulier werk'!$G$55</definedName>
    <definedName name="prodnorm6">'Regulier werk'!$G$7</definedName>
    <definedName name="prodnorm7">'Regulier werk'!$G$8</definedName>
    <definedName name="prodnorm8">'Regulier werk'!$G$9</definedName>
    <definedName name="prodnorm9">'Regulier werk'!$G$10</definedName>
    <definedName name="taakfreqtabel1">Objectinformatie!$E$5:$E$53</definedName>
    <definedName name="tabeltype">Omreken!$B$5:$B$5</definedName>
    <definedName name="Tariefopbouw1">Tariefopbouw!$B$54</definedName>
    <definedName name="Tariefopbouw2">Tariefopbouw!$D$54</definedName>
    <definedName name="Tariefopbouw3">Tariefopbouw!$B$62</definedName>
    <definedName name="Tariefopbouw4">Tariefopbouw!$D$62</definedName>
    <definedName name="Tariefopbouw5">Tariefopbouw!$F$62</definedName>
    <definedName name="Tariefopbouw6">Tariefopbouw!$F$54</definedName>
    <definedName name="Tariefopbouw7">Tariefopbouw!$H$54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Basisloon9">Tariefopbouw!$R$9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DirecteKosten9">Tariefopbouw!$R$26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Ervaring9">Tariefopbouw!$R$6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IndirecteKosten9">Tariefopbouw!$R$35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Naam9">Tariefopbouw!$R$5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9">Tariefopbouw!$S$37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RisicoWinstPercentage9">Tariefopbouw!$R$37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arief9">Tariefopbouw!$R$39</definedName>
    <definedName name="TariefOpbouwTarief9DN">Tariefopbouw!$S$41</definedName>
    <definedName name="TariefOpbouwTarief9W">Tariefopbouw!$S$42</definedName>
    <definedName name="TariefOpbouwTarief9X">Tariefopbouw!$S$43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TotaalLoonkosten9">Tariefopbouw!$R$19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9">Tariefopbouw!$R$12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OpbouwUurloonkosten9">Tariefopbouw!$R$14</definedName>
    <definedName name="tarieftabel1">Objectinformatie!$I$5:$I$53</definedName>
    <definedName name="TariefUitvoering1">Tariefopbouw!$C$51</definedName>
    <definedName name="TariefUitvoering2">Tariefopbouw!$E$51</definedName>
    <definedName name="TariefUitvoering3">Tariefopbouw!$C$60</definedName>
    <definedName name="TariefUitvoering4">Tariefopbouw!$E$60</definedName>
    <definedName name="TariefUitvoering5">Tariefopbouw!$G$60</definedName>
    <definedName name="TariefUitvoering6">Tariefopbouw!$G$51</definedName>
    <definedName name="TariefUitvoering7">Tariefopbouw!$I$51</definedName>
    <definedName name="urendag1">'Regulier werk'!$K$57</definedName>
    <definedName name="urenjaar">'Regulier werk'!$M$62</definedName>
    <definedName name="urenjaar1">'Regulier werk'!$M$57</definedName>
    <definedName name="urenjaartotaal">Objecten!$K$13</definedName>
    <definedName name="urenjaartotaal1">Objecten!$K$10</definedName>
    <definedName name="urenjaartotaalhf">Objecten!$J$13</definedName>
    <definedName name="urenjaartotaalhf1">Objecten!$J$10</definedName>
    <definedName name="urenjaartotaaloverzicht">'Totaalblad Objecten'!$B$11</definedName>
    <definedName name="urenjaartotaaloverzichthf">'Totaalblad Objecten'!$B$10</definedName>
    <definedName name="uurfactortabel1">Objectinformatie!$F$5:$F$53</definedName>
    <definedName name="uurtarief0">Glas!$I$9</definedName>
    <definedName name="uurtarief1">'Glas per locatie'!$J$24</definedName>
    <definedName name="uurtarief10">'Regulier werk'!$J$11</definedName>
    <definedName name="uurtarief11">'Regulier werk'!$J$12</definedName>
    <definedName name="uurtarief12">'Regulier werk'!$J$13</definedName>
    <definedName name="uurtarief13">'Regulier werk'!$J$14</definedName>
    <definedName name="uurtarief14">'Regulier werk'!$J$15</definedName>
    <definedName name="uurtarief15">'Regulier werk'!$J$16</definedName>
    <definedName name="uurtarief16">'Regulier werk'!$J$17</definedName>
    <definedName name="uurtarief17">'Regulier werk'!$J$18</definedName>
    <definedName name="uurtarief18">'Regulier werk'!$J$19</definedName>
    <definedName name="uurtarief19">'Regulier werk'!$J$20</definedName>
    <definedName name="uurtarief2">'Glas per locatie'!$J$25</definedName>
    <definedName name="uurtarief20">'Regulier werk'!$J$21</definedName>
    <definedName name="uurtarief21">'Regulier werk'!$J$22</definedName>
    <definedName name="uurtarief22">'Regulier werk'!$J$23</definedName>
    <definedName name="uurtarief23">'Regulier werk'!$J$24</definedName>
    <definedName name="uurtarief24">'Regulier werk'!$J$25</definedName>
    <definedName name="uurtarief25">'Regulier werk'!$J$26</definedName>
    <definedName name="uurtarief26">'Regulier werk'!$J$27</definedName>
    <definedName name="uurtarief27">'Regulier werk'!$J$28</definedName>
    <definedName name="uurtarief28">'Regulier werk'!$J$29</definedName>
    <definedName name="uurtarief29">'Regulier werk'!$J$30</definedName>
    <definedName name="uurtarief3">'Glas per locatie'!$J$26</definedName>
    <definedName name="uurtarief30">'Regulier werk'!$J$31</definedName>
    <definedName name="uurtarief31">'Regulier werk'!$J$32</definedName>
    <definedName name="uurtarief32">'Regulier werk'!$J$33</definedName>
    <definedName name="uurtarief33">'Regulier werk'!$J$34</definedName>
    <definedName name="uurtarief34">'Regulier werk'!$J$35</definedName>
    <definedName name="uurtarief35">'Regulier werk'!$J$36</definedName>
    <definedName name="uurtarief36">'Regulier werk'!$J$37</definedName>
    <definedName name="uurtarief37">'Regulier werk'!$J$38</definedName>
    <definedName name="uurtarief38">'Regulier werk'!$J$39</definedName>
    <definedName name="uurtarief39">'Regulier werk'!$J$40</definedName>
    <definedName name="uurtarief4">'Regulier werk'!$J$56</definedName>
    <definedName name="uurtarief40">'Regulier werk'!$J$41</definedName>
    <definedName name="uurtarief41">'Regulier werk'!$J$42</definedName>
    <definedName name="uurtarief42">'Regulier werk'!$J$43</definedName>
    <definedName name="uurtarief43">'Regulier werk'!$J$44</definedName>
    <definedName name="uurtarief44">'Regulier werk'!$J$45</definedName>
    <definedName name="uurtarief45">'Regulier werk'!$J$46</definedName>
    <definedName name="uurtarief46">'Regulier werk'!$J$47</definedName>
    <definedName name="uurtarief47">'Regulier werk'!$J$48</definedName>
    <definedName name="uurtarief48">'Regulier werk'!$J$49</definedName>
    <definedName name="uurtarief49">'Regulier werk'!$J$50</definedName>
    <definedName name="uurtarief5">'Regulier werk'!$J$6</definedName>
    <definedName name="uurtarief50">'Regulier werk'!$J$51</definedName>
    <definedName name="uurtarief51">'Regulier werk'!$J$52</definedName>
    <definedName name="uurtarief52">'Regulier werk'!$J$53</definedName>
    <definedName name="uurtarief53">'Regulier werk'!$J$54</definedName>
    <definedName name="uurtarief54">'Regulier werk'!$J$55</definedName>
    <definedName name="uurtarief6">'Regulier werk'!$J$7</definedName>
    <definedName name="uurtarief7">'Regulier werk'!$J$8</definedName>
    <definedName name="uurtarief8">'Regulier werk'!$J$9</definedName>
    <definedName name="uurtarief9">'Regulier werk'!$J$10</definedName>
    <definedName name="vp_glas">Totaal!$E$6</definedName>
    <definedName name="vp_regie">Totaal!$E$5</definedName>
    <definedName name="vp_regulier">Totaal!$E$4</definedName>
    <definedName name="vp_variant">Totaal!$E$11</definedName>
    <definedName name="vu_regulier">Totaal!$B$4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3" l="1"/>
  <c r="A1" i="13"/>
  <c r="J26" i="12"/>
  <c r="K26" i="12" s="1"/>
  <c r="H26" i="12"/>
  <c r="J25" i="12"/>
  <c r="K25" i="12" s="1"/>
  <c r="H25" i="12"/>
  <c r="J24" i="12"/>
  <c r="K24" i="12" s="1"/>
  <c r="K27" i="12" s="1"/>
  <c r="H24" i="12"/>
  <c r="J20" i="12"/>
  <c r="K20" i="12" s="1"/>
  <c r="H20" i="12"/>
  <c r="J19" i="12"/>
  <c r="K19" i="12" s="1"/>
  <c r="H19" i="12"/>
  <c r="J18" i="12"/>
  <c r="K18" i="12" s="1"/>
  <c r="K21" i="12" s="1"/>
  <c r="H18" i="12"/>
  <c r="J14" i="12"/>
  <c r="K14" i="12" s="1"/>
  <c r="H14" i="12"/>
  <c r="J13" i="12"/>
  <c r="K13" i="12" s="1"/>
  <c r="H13" i="12"/>
  <c r="J12" i="12"/>
  <c r="K12" i="12" s="1"/>
  <c r="K15" i="12" s="1"/>
  <c r="H12" i="12"/>
  <c r="J8" i="12"/>
  <c r="K8" i="12" s="1"/>
  <c r="H8" i="12"/>
  <c r="J7" i="12"/>
  <c r="K7" i="12" s="1"/>
  <c r="H7" i="12"/>
  <c r="J6" i="12"/>
  <c r="K6" i="12" s="1"/>
  <c r="K9" i="12" s="1"/>
  <c r="H6" i="12"/>
  <c r="A1" i="12"/>
  <c r="J9" i="11"/>
  <c r="J8" i="11"/>
  <c r="J7" i="11"/>
  <c r="J6" i="11"/>
  <c r="A1" i="11"/>
  <c r="A1" i="10"/>
  <c r="A1" i="9"/>
  <c r="B8" i="8"/>
  <c r="A1" i="8"/>
  <c r="A1" i="7"/>
  <c r="A1" i="5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J50" i="4"/>
  <c r="H50" i="4"/>
  <c r="G50" i="4"/>
  <c r="J49" i="4"/>
  <c r="H49" i="4"/>
  <c r="G49" i="4"/>
  <c r="J48" i="4"/>
  <c r="H48" i="4"/>
  <c r="G48" i="4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42" i="4"/>
  <c r="H42" i="4"/>
  <c r="G42" i="4"/>
  <c r="H41" i="4"/>
  <c r="G41" i="4"/>
  <c r="J40" i="4"/>
  <c r="H40" i="4"/>
  <c r="G40" i="4"/>
  <c r="J39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K13" i="4" s="1"/>
  <c r="M13" i="4" s="1"/>
  <c r="N13" i="4" s="1"/>
  <c r="J12" i="4"/>
  <c r="H12" i="4"/>
  <c r="G12" i="4"/>
  <c r="K12" i="4" s="1"/>
  <c r="M12" i="4" s="1"/>
  <c r="N12" i="4" s="1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61" i="2"/>
  <c r="F60" i="2"/>
  <c r="D60" i="2"/>
  <c r="B60" i="2"/>
  <c r="A59" i="2"/>
  <c r="A58" i="2"/>
  <c r="A53" i="2"/>
  <c r="A52" i="2"/>
  <c r="H51" i="2"/>
  <c r="F51" i="2"/>
  <c r="D51" i="2"/>
  <c r="B51" i="2"/>
  <c r="A50" i="2"/>
  <c r="A49" i="2"/>
  <c r="A48" i="2"/>
  <c r="A47" i="2"/>
  <c r="R9" i="2"/>
  <c r="P9" i="2"/>
  <c r="N9" i="2"/>
  <c r="L9" i="2"/>
  <c r="J9" i="2"/>
  <c r="H9" i="2"/>
  <c r="F9" i="2"/>
  <c r="D9" i="2"/>
  <c r="B9" i="2"/>
  <c r="K15" i="1"/>
  <c r="K14" i="1"/>
  <c r="K13" i="1"/>
  <c r="H24" i="1"/>
  <c r="H23" i="1"/>
  <c r="H22" i="1"/>
  <c r="H21" i="1"/>
  <c r="H20" i="1"/>
  <c r="H19" i="1"/>
  <c r="H18" i="1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52" i="6" l="1"/>
  <c r="E49" i="6"/>
  <c r="E47" i="6"/>
  <c r="E46" i="6"/>
  <c r="E45" i="6"/>
  <c r="E44" i="6"/>
  <c r="E43" i="6"/>
  <c r="E41" i="6"/>
  <c r="E40" i="6"/>
  <c r="E37" i="6"/>
  <c r="E36" i="6"/>
  <c r="E34" i="6"/>
  <c r="E33" i="6"/>
  <c r="E30" i="6"/>
  <c r="E29" i="6"/>
  <c r="E26" i="6"/>
  <c r="E25" i="6"/>
  <c r="E24" i="6"/>
  <c r="E23" i="6"/>
  <c r="E22" i="6"/>
  <c r="E21" i="6"/>
  <c r="E20" i="6"/>
  <c r="E19" i="6"/>
  <c r="E18" i="6"/>
  <c r="E17" i="6"/>
  <c r="E8" i="6"/>
  <c r="E6" i="6"/>
  <c r="M827" i="5"/>
  <c r="M826" i="5"/>
  <c r="M825" i="5"/>
  <c r="M824" i="5"/>
  <c r="M822" i="5"/>
  <c r="M821" i="5"/>
  <c r="M818" i="5"/>
  <c r="M817" i="5"/>
  <c r="M816" i="5"/>
  <c r="M812" i="5"/>
  <c r="M811" i="5"/>
  <c r="M809" i="5"/>
  <c r="M808" i="5"/>
  <c r="M807" i="5"/>
  <c r="M805" i="5"/>
  <c r="M804" i="5"/>
  <c r="M803" i="5"/>
  <c r="M802" i="5"/>
  <c r="M801" i="5"/>
  <c r="M800" i="5"/>
  <c r="M799" i="5"/>
  <c r="M798" i="5"/>
  <c r="M797" i="5"/>
  <c r="M792" i="5"/>
  <c r="M791" i="5"/>
  <c r="M790" i="5"/>
  <c r="M789" i="5"/>
  <c r="M788" i="5"/>
  <c r="M787" i="5"/>
  <c r="M786" i="5"/>
  <c r="M785" i="5"/>
  <c r="M784" i="5"/>
  <c r="M783" i="5"/>
  <c r="M782" i="5"/>
  <c r="M781" i="5"/>
  <c r="M780" i="5"/>
  <c r="M779" i="5"/>
  <c r="M777" i="5"/>
  <c r="M776" i="5"/>
  <c r="M774" i="5"/>
  <c r="M773" i="5"/>
  <c r="M772" i="5"/>
  <c r="M769" i="5"/>
  <c r="M768" i="5"/>
  <c r="M765" i="5"/>
  <c r="M764" i="5"/>
  <c r="M763" i="5"/>
  <c r="M761" i="5"/>
  <c r="M757" i="5"/>
  <c r="M755" i="5"/>
  <c r="M754" i="5"/>
  <c r="M753" i="5"/>
  <c r="M752" i="5"/>
  <c r="M751" i="5"/>
  <c r="M750" i="5"/>
  <c r="M748" i="5"/>
  <c r="M746" i="5"/>
  <c r="M745" i="5"/>
  <c r="M744" i="5"/>
  <c r="M742" i="5"/>
  <c r="M741" i="5"/>
  <c r="M740" i="5"/>
  <c r="M739" i="5"/>
  <c r="M738" i="5"/>
  <c r="M724" i="5"/>
  <c r="M722" i="5"/>
  <c r="M721" i="5"/>
  <c r="M718" i="5"/>
  <c r="M717" i="5"/>
  <c r="M716" i="5"/>
  <c r="M715" i="5"/>
  <c r="M710" i="5"/>
  <c r="M707" i="5"/>
  <c r="M704" i="5"/>
  <c r="M703" i="5"/>
  <c r="M700" i="5"/>
  <c r="M691" i="5"/>
  <c r="M690" i="5"/>
  <c r="M687" i="5"/>
  <c r="M685" i="5"/>
  <c r="M675" i="5"/>
  <c r="M672" i="5"/>
  <c r="M671" i="5"/>
  <c r="M670" i="5"/>
  <c r="M656" i="5"/>
  <c r="M649" i="5"/>
  <c r="M637" i="5"/>
  <c r="M630" i="5"/>
  <c r="M629" i="5"/>
  <c r="M626" i="5"/>
  <c r="M625" i="5"/>
  <c r="M624" i="5"/>
  <c r="M615" i="5"/>
  <c r="M614" i="5"/>
  <c r="M613" i="5"/>
  <c r="M612" i="5"/>
  <c r="M604" i="5"/>
  <c r="M598" i="5"/>
  <c r="M592" i="5"/>
  <c r="M589" i="5"/>
  <c r="M584" i="5"/>
  <c r="M578" i="5"/>
  <c r="M576" i="5"/>
  <c r="M575" i="5"/>
  <c r="M574" i="5"/>
  <c r="M573" i="5"/>
  <c r="M572" i="5"/>
  <c r="M571" i="5"/>
  <c r="M570" i="5"/>
  <c r="M569" i="5"/>
  <c r="M564" i="5"/>
  <c r="M563" i="5"/>
  <c r="M562" i="5"/>
  <c r="M559" i="5"/>
  <c r="M558" i="5"/>
  <c r="M555" i="5"/>
  <c r="M547" i="5"/>
  <c r="M546" i="5"/>
  <c r="M545" i="5"/>
  <c r="M544" i="5"/>
  <c r="M542" i="5"/>
  <c r="M541" i="5"/>
  <c r="M537" i="5"/>
  <c r="M536" i="5"/>
  <c r="M535" i="5"/>
  <c r="M534" i="5"/>
  <c r="M533" i="5"/>
  <c r="M532" i="5"/>
  <c r="M531" i="5"/>
  <c r="M530" i="5"/>
  <c r="M529" i="5"/>
  <c r="M528" i="5"/>
  <c r="M527" i="5"/>
  <c r="M525" i="5"/>
  <c r="M524" i="5"/>
  <c r="M523" i="5"/>
  <c r="M522" i="5"/>
  <c r="M521" i="5"/>
  <c r="M520" i="5"/>
  <c r="M519" i="5"/>
  <c r="M518" i="5"/>
  <c r="M517" i="5"/>
  <c r="M515" i="5"/>
  <c r="M514" i="5"/>
  <c r="M513" i="5"/>
  <c r="M512" i="5"/>
  <c r="M511" i="5"/>
  <c r="M508" i="5"/>
  <c r="M507" i="5"/>
  <c r="M506" i="5"/>
  <c r="M505" i="5"/>
  <c r="M504" i="5"/>
  <c r="M503" i="5"/>
  <c r="M502" i="5"/>
  <c r="M501" i="5"/>
  <c r="M500" i="5"/>
  <c r="M499" i="5"/>
  <c r="M498" i="5"/>
  <c r="M497" i="5"/>
  <c r="M489" i="5"/>
  <c r="M488" i="5"/>
  <c r="M487" i="5"/>
  <c r="M482" i="5"/>
  <c r="M475" i="5"/>
  <c r="M474" i="5"/>
  <c r="M473" i="5"/>
  <c r="M472" i="5"/>
  <c r="M471" i="5"/>
  <c r="M468" i="5"/>
  <c r="M463" i="5"/>
  <c r="M462" i="5"/>
  <c r="M461" i="5"/>
  <c r="M460" i="5"/>
  <c r="M459" i="5"/>
  <c r="M458" i="5"/>
  <c r="M455" i="5"/>
  <c r="M452" i="5"/>
  <c r="M451" i="5"/>
  <c r="M443" i="5"/>
  <c r="M442" i="5"/>
  <c r="M441" i="5"/>
  <c r="M440" i="5"/>
  <c r="M439" i="5"/>
  <c r="M438" i="5"/>
  <c r="M437" i="5"/>
  <c r="M436" i="5"/>
  <c r="M435" i="5"/>
  <c r="M434" i="5"/>
  <c r="M433" i="5"/>
  <c r="M432" i="5"/>
  <c r="M431" i="5"/>
  <c r="M430" i="5"/>
  <c r="M429" i="5"/>
  <c r="M428" i="5"/>
  <c r="M427" i="5"/>
  <c r="M426" i="5"/>
  <c r="M425" i="5"/>
  <c r="M424" i="5"/>
  <c r="M423" i="5"/>
  <c r="M422" i="5"/>
  <c r="M421" i="5"/>
  <c r="M420" i="5"/>
  <c r="M419" i="5"/>
  <c r="M418" i="5"/>
  <c r="M417" i="5"/>
  <c r="M416" i="5"/>
  <c r="M415" i="5"/>
  <c r="M414" i="5"/>
  <c r="M413" i="5"/>
  <c r="M412" i="5"/>
  <c r="M411" i="5"/>
  <c r="M410" i="5"/>
  <c r="M409" i="5"/>
  <c r="M408" i="5"/>
  <c r="M407" i="5"/>
  <c r="M406" i="5"/>
  <c r="M405" i="5"/>
  <c r="M404" i="5"/>
  <c r="M403" i="5"/>
  <c r="M398" i="5"/>
  <c r="M395" i="5"/>
  <c r="M394" i="5"/>
  <c r="M393" i="5"/>
  <c r="M391" i="5"/>
  <c r="M390" i="5"/>
  <c r="M389" i="5"/>
  <c r="M388" i="5"/>
  <c r="M386" i="5"/>
  <c r="M385" i="5"/>
  <c r="M383" i="5"/>
  <c r="M377" i="5"/>
  <c r="M375" i="5"/>
  <c r="M368" i="5"/>
  <c r="M365" i="5"/>
  <c r="M364" i="5"/>
  <c r="M361" i="5"/>
  <c r="M358" i="5"/>
  <c r="M356" i="5"/>
  <c r="M355" i="5"/>
  <c r="M354" i="5"/>
  <c r="M346" i="5"/>
  <c r="M345" i="5"/>
  <c r="M344" i="5"/>
  <c r="M343" i="5"/>
  <c r="M340" i="5"/>
  <c r="M339" i="5"/>
  <c r="M335" i="5"/>
  <c r="M334" i="5"/>
  <c r="M331" i="5"/>
  <c r="M322" i="5"/>
  <c r="M321" i="5"/>
  <c r="M310" i="5"/>
  <c r="M309" i="5"/>
  <c r="M308" i="5"/>
  <c r="M307" i="5"/>
  <c r="M306" i="5"/>
  <c r="M305" i="5"/>
  <c r="M304" i="5"/>
  <c r="M303" i="5"/>
  <c r="M302" i="5"/>
  <c r="M301" i="5"/>
  <c r="M285" i="5"/>
  <c r="M284" i="5"/>
  <c r="M283" i="5"/>
  <c r="M282" i="5"/>
  <c r="M281" i="5"/>
  <c r="M278" i="5"/>
  <c r="M277" i="5"/>
  <c r="M276" i="5"/>
  <c r="M275" i="5"/>
  <c r="M274" i="5"/>
  <c r="M273" i="5"/>
  <c r="M272" i="5"/>
  <c r="M271" i="5"/>
  <c r="M270" i="5"/>
  <c r="M269" i="5"/>
  <c r="M268" i="5"/>
  <c r="M267" i="5"/>
  <c r="M266" i="5"/>
  <c r="M265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26" i="5"/>
  <c r="M225" i="5"/>
  <c r="M221" i="5"/>
  <c r="M220" i="5"/>
  <c r="M219" i="5"/>
  <c r="M218" i="5"/>
  <c r="M211" i="5"/>
  <c r="M210" i="5"/>
  <c r="M209" i="5"/>
  <c r="M206" i="5"/>
  <c r="M205" i="5"/>
  <c r="M203" i="5"/>
  <c r="M202" i="5"/>
  <c r="M201" i="5"/>
  <c r="M200" i="5"/>
  <c r="M199" i="5"/>
  <c r="M197" i="5"/>
  <c r="M196" i="5"/>
  <c r="M195" i="5"/>
  <c r="M194" i="5"/>
  <c r="M193" i="5"/>
  <c r="M192" i="5"/>
  <c r="M191" i="5"/>
  <c r="M190" i="5"/>
  <c r="M189" i="5"/>
  <c r="M188" i="5"/>
  <c r="M187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59" i="5"/>
  <c r="M158" i="5"/>
  <c r="M157" i="5"/>
  <c r="M156" i="5"/>
  <c r="M155" i="5"/>
  <c r="M154" i="5"/>
  <c r="M152" i="5"/>
  <c r="M151" i="5"/>
  <c r="M150" i="5"/>
  <c r="M143" i="5"/>
  <c r="M140" i="5"/>
  <c r="M139" i="5"/>
  <c r="M138" i="5"/>
  <c r="M137" i="5"/>
  <c r="M136" i="5"/>
  <c r="M135" i="5"/>
  <c r="M134" i="5"/>
  <c r="M133" i="5"/>
  <c r="M132" i="5"/>
  <c r="M131" i="5"/>
  <c r="M130" i="5"/>
  <c r="M127" i="5"/>
  <c r="M126" i="5"/>
  <c r="M125" i="5"/>
  <c r="M95" i="5"/>
  <c r="M94" i="5"/>
  <c r="M93" i="5"/>
  <c r="M92" i="5"/>
  <c r="M91" i="5"/>
  <c r="M90" i="5"/>
  <c r="M89" i="5"/>
  <c r="M88" i="5"/>
  <c r="M87" i="5"/>
  <c r="M86" i="5"/>
  <c r="M85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5" i="5"/>
  <c r="M44" i="5"/>
  <c r="M43" i="5"/>
  <c r="M37" i="5"/>
  <c r="M31" i="5"/>
  <c r="M30" i="5"/>
  <c r="M29" i="5"/>
  <c r="M28" i="5"/>
  <c r="M27" i="5"/>
  <c r="M25" i="5"/>
  <c r="M22" i="5"/>
  <c r="M19" i="5"/>
  <c r="M16" i="5"/>
  <c r="M5" i="5"/>
  <c r="F55" i="4"/>
  <c r="F52" i="4"/>
  <c r="F50" i="4"/>
  <c r="F49" i="4"/>
  <c r="F48" i="4"/>
  <c r="F47" i="4"/>
  <c r="F46" i="4"/>
  <c r="F44" i="4"/>
  <c r="F43" i="4"/>
  <c r="F40" i="4"/>
  <c r="F39" i="4"/>
  <c r="F37" i="4"/>
  <c r="F36" i="4"/>
  <c r="F33" i="4"/>
  <c r="F32" i="4"/>
  <c r="F29" i="4"/>
  <c r="F28" i="4"/>
  <c r="F27" i="4"/>
  <c r="F26" i="4"/>
  <c r="F25" i="4"/>
  <c r="F24" i="4"/>
  <c r="F23" i="4"/>
  <c r="F22" i="4"/>
  <c r="F21" i="4"/>
  <c r="F20" i="4"/>
  <c r="F13" i="4"/>
  <c r="F12" i="4"/>
  <c r="F9" i="4"/>
  <c r="F7" i="4"/>
  <c r="E16" i="6"/>
  <c r="E5" i="6"/>
  <c r="M611" i="5"/>
  <c r="M509" i="5"/>
  <c r="M492" i="5"/>
  <c r="M490" i="5"/>
  <c r="M485" i="5"/>
  <c r="M483" i="5"/>
  <c r="M480" i="5"/>
  <c r="M476" i="5"/>
  <c r="M469" i="5"/>
  <c r="M466" i="5"/>
  <c r="M464" i="5"/>
  <c r="M456" i="5"/>
  <c r="M453" i="5"/>
  <c r="M446" i="5"/>
  <c r="M444" i="5"/>
  <c r="M372" i="5"/>
  <c r="M370" i="5"/>
  <c r="M366" i="5"/>
  <c r="M362" i="5"/>
  <c r="M359" i="5"/>
  <c r="M352" i="5"/>
  <c r="M329" i="5"/>
  <c r="M327" i="5"/>
  <c r="M325" i="5"/>
  <c r="M323" i="5"/>
  <c r="M319" i="5"/>
  <c r="M317" i="5"/>
  <c r="M315" i="5"/>
  <c r="M313" i="5"/>
  <c r="M311" i="5"/>
  <c r="M299" i="5"/>
  <c r="M297" i="5"/>
  <c r="M295" i="5"/>
  <c r="M293" i="5"/>
  <c r="M291" i="5"/>
  <c r="M289" i="5"/>
  <c r="M287" i="5"/>
  <c r="M229" i="5"/>
  <c r="M227" i="5"/>
  <c r="M212" i="5"/>
  <c r="M185" i="5"/>
  <c r="M183" i="5"/>
  <c r="M148" i="5"/>
  <c r="M146" i="5"/>
  <c r="M144" i="5"/>
  <c r="M141" i="5"/>
  <c r="M128" i="5"/>
  <c r="M122" i="5"/>
  <c r="M120" i="5"/>
  <c r="M118" i="5"/>
  <c r="M116" i="5"/>
  <c r="M114" i="5"/>
  <c r="M112" i="5"/>
  <c r="M110" i="5"/>
  <c r="M108" i="5"/>
  <c r="M106" i="5"/>
  <c r="M104" i="5"/>
  <c r="M102" i="5"/>
  <c r="M100" i="5"/>
  <c r="M98" i="5"/>
  <c r="M96" i="5"/>
  <c r="M83" i="5"/>
  <c r="M81" i="5"/>
  <c r="M78" i="5"/>
  <c r="M76" i="5"/>
  <c r="M74" i="5"/>
  <c r="M72" i="5"/>
  <c r="M48" i="5"/>
  <c r="M41" i="5"/>
  <c r="M39" i="5"/>
  <c r="M35" i="5"/>
  <c r="M33" i="5"/>
  <c r="M13" i="5"/>
  <c r="F19" i="4"/>
  <c r="F6" i="4"/>
  <c r="E50" i="6"/>
  <c r="E48" i="6"/>
  <c r="E42" i="6"/>
  <c r="E39" i="6"/>
  <c r="E35" i="6"/>
  <c r="E32" i="6"/>
  <c r="E31" i="6"/>
  <c r="E27" i="6"/>
  <c r="E15" i="6"/>
  <c r="E13" i="6"/>
  <c r="E11" i="6"/>
  <c r="E10" i="6"/>
  <c r="E7" i="6"/>
  <c r="M823" i="5"/>
  <c r="M819" i="5"/>
  <c r="M806" i="5"/>
  <c r="M796" i="5"/>
  <c r="M762" i="5"/>
  <c r="M760" i="5"/>
  <c r="M759" i="5"/>
  <c r="M758" i="5"/>
  <c r="M756" i="5"/>
  <c r="M735" i="5"/>
  <c r="M730" i="5"/>
  <c r="M726" i="5"/>
  <c r="M708" i="5"/>
  <c r="M693" i="5"/>
  <c r="M684" i="5"/>
  <c r="M682" i="5"/>
  <c r="M678" i="5"/>
  <c r="M668" i="5"/>
  <c r="M667" i="5"/>
  <c r="M666" i="5"/>
  <c r="M665" i="5"/>
  <c r="M664" i="5"/>
  <c r="M663" i="5"/>
  <c r="M662" i="5"/>
  <c r="M661" i="5"/>
  <c r="M660" i="5"/>
  <c r="M659" i="5"/>
  <c r="M658" i="5"/>
  <c r="M657" i="5"/>
  <c r="M653" i="5"/>
  <c r="M652" i="5"/>
  <c r="M644" i="5"/>
  <c r="M643" i="5"/>
  <c r="M634" i="5"/>
  <c r="M623" i="5"/>
  <c r="M620" i="5"/>
  <c r="M610" i="5"/>
  <c r="M608" i="5"/>
  <c r="M607" i="5"/>
  <c r="M605" i="5"/>
  <c r="M602" i="5"/>
  <c r="M601" i="5"/>
  <c r="M600" i="5"/>
  <c r="M599" i="5"/>
  <c r="M596" i="5"/>
  <c r="M595" i="5"/>
  <c r="M594" i="5"/>
  <c r="M588" i="5"/>
  <c r="M587" i="5"/>
  <c r="M586" i="5"/>
  <c r="M585" i="5"/>
  <c r="M582" i="5"/>
  <c r="M581" i="5"/>
  <c r="M580" i="5"/>
  <c r="M579" i="5"/>
  <c r="M577" i="5"/>
  <c r="M568" i="5"/>
  <c r="M566" i="5"/>
  <c r="M565" i="5"/>
  <c r="M561" i="5"/>
  <c r="M551" i="5"/>
  <c r="M548" i="5"/>
  <c r="M543" i="5"/>
  <c r="M510" i="5"/>
  <c r="M496" i="5"/>
  <c r="M493" i="5"/>
  <c r="M491" i="5"/>
  <c r="M486" i="5"/>
  <c r="M484" i="5"/>
  <c r="M481" i="5"/>
  <c r="M479" i="5"/>
  <c r="M478" i="5"/>
  <c r="M477" i="5"/>
  <c r="M470" i="5"/>
  <c r="M467" i="5"/>
  <c r="M465" i="5"/>
  <c r="M457" i="5"/>
  <c r="M454" i="5"/>
  <c r="M447" i="5"/>
  <c r="M445" i="5"/>
  <c r="M373" i="5"/>
  <c r="M371" i="5"/>
  <c r="M367" i="5"/>
  <c r="M363" i="5"/>
  <c r="M360" i="5"/>
  <c r="M353" i="5"/>
  <c r="M330" i="5"/>
  <c r="M328" i="5"/>
  <c r="M326" i="5"/>
  <c r="M324" i="5"/>
  <c r="M320" i="5"/>
  <c r="M318" i="5"/>
  <c r="M316" i="5"/>
  <c r="M314" i="5"/>
  <c r="M312" i="5"/>
  <c r="M300" i="5"/>
  <c r="M298" i="5"/>
  <c r="M296" i="5"/>
  <c r="M294" i="5"/>
  <c r="M292" i="5"/>
  <c r="M290" i="5"/>
  <c r="M288" i="5"/>
  <c r="M286" i="5"/>
  <c r="M280" i="5"/>
  <c r="M230" i="5"/>
  <c r="M228" i="5"/>
  <c r="M213" i="5"/>
  <c r="M186" i="5"/>
  <c r="M184" i="5"/>
  <c r="M149" i="5"/>
  <c r="M147" i="5"/>
  <c r="M145" i="5"/>
  <c r="M142" i="5"/>
  <c r="M129" i="5"/>
  <c r="M123" i="5"/>
  <c r="M121" i="5"/>
  <c r="M119" i="5"/>
  <c r="M117" i="5"/>
  <c r="M115" i="5"/>
  <c r="M113" i="5"/>
  <c r="M111" i="5"/>
  <c r="M109" i="5"/>
  <c r="M107" i="5"/>
  <c r="M105" i="5"/>
  <c r="M103" i="5"/>
  <c r="M101" i="5"/>
  <c r="M99" i="5"/>
  <c r="M97" i="5"/>
  <c r="M84" i="5"/>
  <c r="M82" i="5"/>
  <c r="M79" i="5"/>
  <c r="M77" i="5"/>
  <c r="M75" i="5"/>
  <c r="M73" i="5"/>
  <c r="M49" i="5"/>
  <c r="M42" i="5"/>
  <c r="M40" i="5"/>
  <c r="M36" i="5"/>
  <c r="M34" i="5"/>
  <c r="M14" i="5"/>
  <c r="F53" i="4"/>
  <c r="F51" i="4"/>
  <c r="F45" i="4"/>
  <c r="F42" i="4"/>
  <c r="F38" i="4"/>
  <c r="F35" i="4"/>
  <c r="F34" i="4"/>
  <c r="F30" i="4"/>
  <c r="F18" i="4"/>
  <c r="F16" i="4"/>
  <c r="F14" i="4"/>
  <c r="F11" i="4"/>
  <c r="F8" i="4"/>
  <c r="E38" i="6"/>
  <c r="E14" i="6"/>
  <c r="E9" i="6"/>
  <c r="M737" i="5"/>
  <c r="M733" i="5"/>
  <c r="M732" i="5"/>
  <c r="M727" i="5"/>
  <c r="M516" i="5"/>
  <c r="M208" i="5"/>
  <c r="M80" i="5"/>
  <c r="F41" i="4"/>
  <c r="F17" i="4"/>
  <c r="F10" i="4"/>
  <c r="E12" i="6"/>
  <c r="M794" i="5"/>
  <c r="M793" i="5"/>
  <c r="F15" i="4"/>
  <c r="E51" i="6"/>
  <c r="E28" i="6"/>
  <c r="M766" i="5"/>
  <c r="M650" i="5"/>
  <c r="M622" i="5"/>
  <c r="M618" i="5"/>
  <c r="M616" i="5"/>
  <c r="M609" i="5"/>
  <c r="M526" i="5"/>
  <c r="M397" i="5"/>
  <c r="M396" i="5"/>
  <c r="M351" i="5"/>
  <c r="M337" i="5"/>
  <c r="M332" i="5"/>
  <c r="M198" i="5"/>
  <c r="F54" i="4"/>
  <c r="F31" i="4"/>
  <c r="C26" i="12"/>
  <c r="L26" i="12" s="1"/>
  <c r="M26" i="12" s="1"/>
  <c r="C25" i="12"/>
  <c r="L25" i="12" s="1"/>
  <c r="M25" i="12" s="1"/>
  <c r="C24" i="12"/>
  <c r="L24" i="12" s="1"/>
  <c r="C20" i="12"/>
  <c r="L20" i="12" s="1"/>
  <c r="M20" i="12" s="1"/>
  <c r="C19" i="12"/>
  <c r="L19" i="12" s="1"/>
  <c r="M19" i="12" s="1"/>
  <c r="C18" i="12"/>
  <c r="L18" i="12" s="1"/>
  <c r="C14" i="12"/>
  <c r="L14" i="12" s="1"/>
  <c r="M14" i="12" s="1"/>
  <c r="C13" i="12"/>
  <c r="L13" i="12" s="1"/>
  <c r="M13" i="12" s="1"/>
  <c r="C12" i="12"/>
  <c r="L12" i="12" s="1"/>
  <c r="C8" i="12"/>
  <c r="L8" i="12" s="1"/>
  <c r="M8" i="12" s="1"/>
  <c r="C7" i="12"/>
  <c r="L7" i="12" s="1"/>
  <c r="M7" i="12" s="1"/>
  <c r="C6" i="12"/>
  <c r="L6" i="12" s="1"/>
  <c r="C9" i="11"/>
  <c r="K9" i="11" s="1"/>
  <c r="L9" i="11" s="1"/>
  <c r="C8" i="11"/>
  <c r="K8" i="11" s="1"/>
  <c r="L8" i="11" s="1"/>
  <c r="C7" i="11"/>
  <c r="K7" i="11" s="1"/>
  <c r="L7" i="11" s="1"/>
  <c r="C6" i="11"/>
  <c r="K6" i="11" s="1"/>
  <c r="E53" i="6"/>
  <c r="M795" i="5"/>
  <c r="M734" i="5"/>
  <c r="M729" i="5"/>
  <c r="M725" i="5"/>
  <c r="M495" i="5"/>
  <c r="M279" i="5"/>
  <c r="F56" i="4"/>
  <c r="C8" i="10"/>
  <c r="C7" i="10"/>
  <c r="C6" i="10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S11" i="2"/>
  <c r="S10" i="2"/>
  <c r="R12" i="2" s="1"/>
  <c r="G5" i="6"/>
  <c r="N509" i="5"/>
  <c r="N492" i="5"/>
  <c r="N490" i="5"/>
  <c r="N485" i="5"/>
  <c r="N483" i="5"/>
  <c r="N480" i="5"/>
  <c r="N476" i="5"/>
  <c r="N469" i="5"/>
  <c r="N466" i="5"/>
  <c r="N464" i="5"/>
  <c r="N456" i="5"/>
  <c r="N453" i="5"/>
  <c r="N446" i="5"/>
  <c r="N444" i="5"/>
  <c r="N372" i="5"/>
  <c r="N370" i="5"/>
  <c r="N366" i="5"/>
  <c r="N362" i="5"/>
  <c r="N359" i="5"/>
  <c r="N352" i="5"/>
  <c r="N329" i="5"/>
  <c r="N327" i="5"/>
  <c r="N325" i="5"/>
  <c r="N323" i="5"/>
  <c r="N319" i="5"/>
  <c r="N317" i="5"/>
  <c r="N315" i="5"/>
  <c r="N313" i="5"/>
  <c r="N311" i="5"/>
  <c r="N299" i="5"/>
  <c r="N297" i="5"/>
  <c r="N295" i="5"/>
  <c r="N293" i="5"/>
  <c r="N291" i="5"/>
  <c r="N289" i="5"/>
  <c r="N287" i="5"/>
  <c r="N229" i="5"/>
  <c r="N227" i="5"/>
  <c r="N212" i="5"/>
  <c r="N185" i="5"/>
  <c r="N183" i="5"/>
  <c r="N148" i="5"/>
  <c r="N146" i="5"/>
  <c r="N144" i="5"/>
  <c r="N141" i="5"/>
  <c r="N128" i="5"/>
  <c r="N122" i="5"/>
  <c r="N120" i="5"/>
  <c r="N118" i="5"/>
  <c r="N116" i="5"/>
  <c r="N114" i="5"/>
  <c r="N112" i="5"/>
  <c r="N110" i="5"/>
  <c r="N108" i="5"/>
  <c r="N106" i="5"/>
  <c r="N104" i="5"/>
  <c r="N102" i="5"/>
  <c r="N100" i="5"/>
  <c r="N98" i="5"/>
  <c r="N96" i="5"/>
  <c r="N83" i="5"/>
  <c r="N81" i="5"/>
  <c r="N78" i="5"/>
  <c r="N76" i="5"/>
  <c r="N74" i="5"/>
  <c r="N72" i="5"/>
  <c r="N48" i="5"/>
  <c r="N41" i="5"/>
  <c r="N39" i="5"/>
  <c r="N35" i="5"/>
  <c r="N33" i="5"/>
  <c r="N13" i="5"/>
  <c r="K6" i="4"/>
  <c r="H5" i="6"/>
  <c r="O509" i="5"/>
  <c r="O492" i="5"/>
  <c r="O490" i="5"/>
  <c r="O485" i="5"/>
  <c r="O483" i="5"/>
  <c r="O480" i="5"/>
  <c r="O476" i="5"/>
  <c r="O469" i="5"/>
  <c r="O466" i="5"/>
  <c r="O464" i="5"/>
  <c r="O456" i="5"/>
  <c r="O453" i="5"/>
  <c r="O446" i="5"/>
  <c r="O444" i="5"/>
  <c r="O372" i="5"/>
  <c r="O370" i="5"/>
  <c r="O366" i="5"/>
  <c r="O362" i="5"/>
  <c r="O359" i="5"/>
  <c r="O352" i="5"/>
  <c r="O329" i="5"/>
  <c r="O327" i="5"/>
  <c r="O325" i="5"/>
  <c r="O323" i="5"/>
  <c r="O319" i="5"/>
  <c r="O317" i="5"/>
  <c r="O315" i="5"/>
  <c r="O313" i="5"/>
  <c r="O311" i="5"/>
  <c r="O299" i="5"/>
  <c r="O297" i="5"/>
  <c r="O295" i="5"/>
  <c r="O293" i="5"/>
  <c r="O291" i="5"/>
  <c r="O289" i="5"/>
  <c r="O287" i="5"/>
  <c r="O229" i="5"/>
  <c r="O227" i="5"/>
  <c r="O212" i="5"/>
  <c r="O185" i="5"/>
  <c r="O183" i="5"/>
  <c r="O148" i="5"/>
  <c r="O146" i="5"/>
  <c r="O144" i="5"/>
  <c r="O141" i="5"/>
  <c r="O128" i="5"/>
  <c r="O122" i="5"/>
  <c r="O120" i="5"/>
  <c r="O118" i="5"/>
  <c r="O116" i="5"/>
  <c r="O114" i="5"/>
  <c r="O112" i="5"/>
  <c r="O110" i="5"/>
  <c r="O108" i="5"/>
  <c r="O106" i="5"/>
  <c r="O104" i="5"/>
  <c r="O102" i="5"/>
  <c r="O100" i="5"/>
  <c r="O98" i="5"/>
  <c r="O96" i="5"/>
  <c r="O83" i="5"/>
  <c r="O81" i="5"/>
  <c r="O78" i="5"/>
  <c r="O76" i="5"/>
  <c r="O74" i="5"/>
  <c r="O72" i="5"/>
  <c r="O48" i="5"/>
  <c r="O41" i="5"/>
  <c r="O39" i="5"/>
  <c r="O35" i="5"/>
  <c r="O33" i="5"/>
  <c r="O13" i="5"/>
  <c r="I5" i="6"/>
  <c r="Q509" i="5"/>
  <c r="Q492" i="5"/>
  <c r="Q490" i="5"/>
  <c r="Q485" i="5"/>
  <c r="Q483" i="5"/>
  <c r="Q480" i="5"/>
  <c r="Q476" i="5"/>
  <c r="Q469" i="5"/>
  <c r="Q466" i="5"/>
  <c r="Q464" i="5"/>
  <c r="Q456" i="5"/>
  <c r="Q453" i="5"/>
  <c r="Q446" i="5"/>
  <c r="Q444" i="5"/>
  <c r="Q372" i="5"/>
  <c r="Q370" i="5"/>
  <c r="Q366" i="5"/>
  <c r="Q362" i="5"/>
  <c r="Q359" i="5"/>
  <c r="Q352" i="5"/>
  <c r="Q329" i="5"/>
  <c r="Q327" i="5"/>
  <c r="Q325" i="5"/>
  <c r="Q323" i="5"/>
  <c r="Q319" i="5"/>
  <c r="Q317" i="5"/>
  <c r="Q315" i="5"/>
  <c r="Q313" i="5"/>
  <c r="Q311" i="5"/>
  <c r="Q299" i="5"/>
  <c r="Q297" i="5"/>
  <c r="Q295" i="5"/>
  <c r="Q293" i="5"/>
  <c r="Q291" i="5"/>
  <c r="Q289" i="5"/>
  <c r="Q287" i="5"/>
  <c r="Q229" i="5"/>
  <c r="Q227" i="5"/>
  <c r="Q212" i="5"/>
  <c r="Q185" i="5"/>
  <c r="Q183" i="5"/>
  <c r="Q148" i="5"/>
  <c r="Q146" i="5"/>
  <c r="Q144" i="5"/>
  <c r="Q141" i="5"/>
  <c r="Q128" i="5"/>
  <c r="Q122" i="5"/>
  <c r="Q120" i="5"/>
  <c r="Q118" i="5"/>
  <c r="Q116" i="5"/>
  <c r="Q114" i="5"/>
  <c r="Q112" i="5"/>
  <c r="Q110" i="5"/>
  <c r="Q108" i="5"/>
  <c r="Q106" i="5"/>
  <c r="Q104" i="5"/>
  <c r="Q102" i="5"/>
  <c r="Q100" i="5"/>
  <c r="Q98" i="5"/>
  <c r="Q96" i="5"/>
  <c r="Q83" i="5"/>
  <c r="Q81" i="5"/>
  <c r="Q78" i="5"/>
  <c r="Q76" i="5"/>
  <c r="Q74" i="5"/>
  <c r="Q72" i="5"/>
  <c r="Q48" i="5"/>
  <c r="Q41" i="5"/>
  <c r="Q39" i="5"/>
  <c r="Q35" i="5"/>
  <c r="Q33" i="5"/>
  <c r="Q13" i="5"/>
  <c r="L6" i="4"/>
  <c r="G6" i="6"/>
  <c r="N575" i="5"/>
  <c r="N574" i="5"/>
  <c r="N361" i="5"/>
  <c r="N307" i="5"/>
  <c r="K7" i="4"/>
  <c r="M7" i="4" s="1"/>
  <c r="N7" i="4" s="1"/>
  <c r="H6" i="6"/>
  <c r="O575" i="5"/>
  <c r="O574" i="5"/>
  <c r="O361" i="5"/>
  <c r="O307" i="5"/>
  <c r="I6" i="6"/>
  <c r="Q575" i="5"/>
  <c r="Q574" i="5"/>
  <c r="Q361" i="5"/>
  <c r="Q307" i="5"/>
  <c r="L7" i="4"/>
  <c r="G7" i="6"/>
  <c r="N823" i="5"/>
  <c r="N806" i="5"/>
  <c r="N762" i="5"/>
  <c r="N760" i="5"/>
  <c r="N759" i="5"/>
  <c r="N758" i="5"/>
  <c r="N756" i="5"/>
  <c r="N682" i="5"/>
  <c r="N660" i="5"/>
  <c r="N643" i="5"/>
  <c r="N602" i="5"/>
  <c r="N601" i="5"/>
  <c r="N600" i="5"/>
  <c r="N599" i="5"/>
  <c r="N596" i="5"/>
  <c r="N595" i="5"/>
  <c r="N594" i="5"/>
  <c r="N588" i="5"/>
  <c r="N587" i="5"/>
  <c r="N586" i="5"/>
  <c r="N585" i="5"/>
  <c r="N582" i="5"/>
  <c r="N581" i="5"/>
  <c r="N580" i="5"/>
  <c r="N568" i="5"/>
  <c r="N565" i="5"/>
  <c r="N561" i="5"/>
  <c r="N551" i="5"/>
  <c r="N543" i="5"/>
  <c r="N510" i="5"/>
  <c r="N479" i="5"/>
  <c r="N478" i="5"/>
  <c r="N477" i="5"/>
  <c r="N470" i="5"/>
  <c r="N467" i="5"/>
  <c r="N465" i="5"/>
  <c r="N330" i="5"/>
  <c r="N328" i="5"/>
  <c r="N314" i="5"/>
  <c r="N312" i="5"/>
  <c r="N49" i="5"/>
  <c r="K8" i="4"/>
  <c r="M8" i="4" s="1"/>
  <c r="N8" i="4" s="1"/>
  <c r="H7" i="6"/>
  <c r="O823" i="5"/>
  <c r="O806" i="5"/>
  <c r="O762" i="5"/>
  <c r="O760" i="5"/>
  <c r="O759" i="5"/>
  <c r="O758" i="5"/>
  <c r="O756" i="5"/>
  <c r="O682" i="5"/>
  <c r="O660" i="5"/>
  <c r="O643" i="5"/>
  <c r="O602" i="5"/>
  <c r="O601" i="5"/>
  <c r="O600" i="5"/>
  <c r="O599" i="5"/>
  <c r="O596" i="5"/>
  <c r="O595" i="5"/>
  <c r="O594" i="5"/>
  <c r="O588" i="5"/>
  <c r="O587" i="5"/>
  <c r="O586" i="5"/>
  <c r="O585" i="5"/>
  <c r="O582" i="5"/>
  <c r="O581" i="5"/>
  <c r="O580" i="5"/>
  <c r="O568" i="5"/>
  <c r="O565" i="5"/>
  <c r="O561" i="5"/>
  <c r="O551" i="5"/>
  <c r="O543" i="5"/>
  <c r="O510" i="5"/>
  <c r="O479" i="5"/>
  <c r="O478" i="5"/>
  <c r="O477" i="5"/>
  <c r="O470" i="5"/>
  <c r="O467" i="5"/>
  <c r="O465" i="5"/>
  <c r="O330" i="5"/>
  <c r="O328" i="5"/>
  <c r="O314" i="5"/>
  <c r="O312" i="5"/>
  <c r="O49" i="5"/>
  <c r="I7" i="6"/>
  <c r="Q823" i="5"/>
  <c r="Q806" i="5"/>
  <c r="Q762" i="5"/>
  <c r="Q760" i="5"/>
  <c r="Q759" i="5"/>
  <c r="Q758" i="5"/>
  <c r="Q756" i="5"/>
  <c r="Q682" i="5"/>
  <c r="Q660" i="5"/>
  <c r="Q643" i="5"/>
  <c r="Q602" i="5"/>
  <c r="Q601" i="5"/>
  <c r="Q600" i="5"/>
  <c r="Q599" i="5"/>
  <c r="Q596" i="5"/>
  <c r="Q595" i="5"/>
  <c r="Q594" i="5"/>
  <c r="Q588" i="5"/>
  <c r="Q587" i="5"/>
  <c r="Q586" i="5"/>
  <c r="Q585" i="5"/>
  <c r="Q582" i="5"/>
  <c r="Q581" i="5"/>
  <c r="Q580" i="5"/>
  <c r="Q568" i="5"/>
  <c r="Q565" i="5"/>
  <c r="Q561" i="5"/>
  <c r="Q551" i="5"/>
  <c r="Q543" i="5"/>
  <c r="Q510" i="5"/>
  <c r="Q479" i="5"/>
  <c r="Q478" i="5"/>
  <c r="Q477" i="5"/>
  <c r="Q470" i="5"/>
  <c r="Q467" i="5"/>
  <c r="Q465" i="5"/>
  <c r="Q330" i="5"/>
  <c r="Q328" i="5"/>
  <c r="Q314" i="5"/>
  <c r="Q312" i="5"/>
  <c r="Q49" i="5"/>
  <c r="L8" i="4"/>
  <c r="G8" i="6"/>
  <c r="N365" i="5"/>
  <c r="K9" i="4"/>
  <c r="M9" i="4" s="1"/>
  <c r="N9" i="4" s="1"/>
  <c r="H8" i="6"/>
  <c r="O365" i="5"/>
  <c r="I8" i="6"/>
  <c r="Q365" i="5"/>
  <c r="L9" i="4"/>
  <c r="G9" i="6"/>
  <c r="N80" i="5"/>
  <c r="K10" i="4"/>
  <c r="M10" i="4" s="1"/>
  <c r="N10" i="4" s="1"/>
  <c r="H9" i="6"/>
  <c r="O80" i="5"/>
  <c r="I9" i="6"/>
  <c r="Q80" i="5"/>
  <c r="L10" i="4"/>
  <c r="G10" i="6"/>
  <c r="N548" i="5"/>
  <c r="N493" i="5"/>
  <c r="N491" i="5"/>
  <c r="N486" i="5"/>
  <c r="N454" i="5"/>
  <c r="N445" i="5"/>
  <c r="N373" i="5"/>
  <c r="N371" i="5"/>
  <c r="N367" i="5"/>
  <c r="N363" i="5"/>
  <c r="N360" i="5"/>
  <c r="N353" i="5"/>
  <c r="N326" i="5"/>
  <c r="N324" i="5"/>
  <c r="N320" i="5"/>
  <c r="N298" i="5"/>
  <c r="N296" i="5"/>
  <c r="N292" i="5"/>
  <c r="N288" i="5"/>
  <c r="N286" i="5"/>
  <c r="N230" i="5"/>
  <c r="N228" i="5"/>
  <c r="N213" i="5"/>
  <c r="N186" i="5"/>
  <c r="N184" i="5"/>
  <c r="N149" i="5"/>
  <c r="N147" i="5"/>
  <c r="N145" i="5"/>
  <c r="N121" i="5"/>
  <c r="N119" i="5"/>
  <c r="N117" i="5"/>
  <c r="N115" i="5"/>
  <c r="N103" i="5"/>
  <c r="N101" i="5"/>
  <c r="N99" i="5"/>
  <c r="N97" i="5"/>
  <c r="N84" i="5"/>
  <c r="N82" i="5"/>
  <c r="N79" i="5"/>
  <c r="N77" i="5"/>
  <c r="N75" i="5"/>
  <c r="N73" i="5"/>
  <c r="N42" i="5"/>
  <c r="N40" i="5"/>
  <c r="N36" i="5"/>
  <c r="N34" i="5"/>
  <c r="N14" i="5"/>
  <c r="K11" i="4"/>
  <c r="M11" i="4" s="1"/>
  <c r="N11" i="4" s="1"/>
  <c r="H10" i="6"/>
  <c r="O548" i="5"/>
  <c r="O493" i="5"/>
  <c r="O491" i="5"/>
  <c r="O486" i="5"/>
  <c r="O454" i="5"/>
  <c r="O445" i="5"/>
  <c r="O373" i="5"/>
  <c r="O371" i="5"/>
  <c r="O367" i="5"/>
  <c r="O363" i="5"/>
  <c r="O360" i="5"/>
  <c r="O353" i="5"/>
  <c r="O326" i="5"/>
  <c r="O324" i="5"/>
  <c r="O320" i="5"/>
  <c r="O298" i="5"/>
  <c r="O296" i="5"/>
  <c r="O292" i="5"/>
  <c r="O288" i="5"/>
  <c r="O286" i="5"/>
  <c r="O230" i="5"/>
  <c r="O228" i="5"/>
  <c r="O213" i="5"/>
  <c r="O186" i="5"/>
  <c r="O184" i="5"/>
  <c r="O149" i="5"/>
  <c r="O147" i="5"/>
  <c r="O145" i="5"/>
  <c r="O121" i="5"/>
  <c r="O119" i="5"/>
  <c r="O117" i="5"/>
  <c r="O115" i="5"/>
  <c r="O103" i="5"/>
  <c r="O101" i="5"/>
  <c r="O99" i="5"/>
  <c r="O97" i="5"/>
  <c r="O84" i="5"/>
  <c r="O82" i="5"/>
  <c r="O79" i="5"/>
  <c r="O77" i="5"/>
  <c r="O75" i="5"/>
  <c r="O73" i="5"/>
  <c r="O42" i="5"/>
  <c r="O40" i="5"/>
  <c r="O36" i="5"/>
  <c r="O34" i="5"/>
  <c r="O14" i="5"/>
  <c r="I10" i="6"/>
  <c r="Q548" i="5"/>
  <c r="Q493" i="5"/>
  <c r="Q491" i="5"/>
  <c r="Q486" i="5"/>
  <c r="Q454" i="5"/>
  <c r="Q445" i="5"/>
  <c r="Q373" i="5"/>
  <c r="Q371" i="5"/>
  <c r="Q367" i="5"/>
  <c r="Q363" i="5"/>
  <c r="Q360" i="5"/>
  <c r="Q353" i="5"/>
  <c r="Q326" i="5"/>
  <c r="Q324" i="5"/>
  <c r="Q320" i="5"/>
  <c r="Q298" i="5"/>
  <c r="Q296" i="5"/>
  <c r="Q292" i="5"/>
  <c r="Q288" i="5"/>
  <c r="Q286" i="5"/>
  <c r="Q230" i="5"/>
  <c r="Q228" i="5"/>
  <c r="Q213" i="5"/>
  <c r="Q186" i="5"/>
  <c r="Q184" i="5"/>
  <c r="Q149" i="5"/>
  <c r="Q147" i="5"/>
  <c r="Q145" i="5"/>
  <c r="Q121" i="5"/>
  <c r="Q119" i="5"/>
  <c r="Q117" i="5"/>
  <c r="Q115" i="5"/>
  <c r="Q103" i="5"/>
  <c r="Q101" i="5"/>
  <c r="Q99" i="5"/>
  <c r="Q97" i="5"/>
  <c r="Q84" i="5"/>
  <c r="Q82" i="5"/>
  <c r="Q79" i="5"/>
  <c r="Q77" i="5"/>
  <c r="Q75" i="5"/>
  <c r="Q73" i="5"/>
  <c r="Q42" i="5"/>
  <c r="Q40" i="5"/>
  <c r="Q36" i="5"/>
  <c r="Q34" i="5"/>
  <c r="Q14" i="5"/>
  <c r="L11" i="4"/>
  <c r="L12" i="4"/>
  <c r="L13" i="4"/>
  <c r="G11" i="6"/>
  <c r="N484" i="5"/>
  <c r="N481" i="5"/>
  <c r="N457" i="5"/>
  <c r="N447" i="5"/>
  <c r="N318" i="5"/>
  <c r="N316" i="5"/>
  <c r="N300" i="5"/>
  <c r="N294" i="5"/>
  <c r="N290" i="5"/>
  <c r="N142" i="5"/>
  <c r="N129" i="5"/>
  <c r="N123" i="5"/>
  <c r="N113" i="5"/>
  <c r="N111" i="5"/>
  <c r="N109" i="5"/>
  <c r="N107" i="5"/>
  <c r="N105" i="5"/>
  <c r="K14" i="4"/>
  <c r="M14" i="4" s="1"/>
  <c r="N14" i="4" s="1"/>
  <c r="H11" i="6"/>
  <c r="O484" i="5"/>
  <c r="O481" i="5"/>
  <c r="O457" i="5"/>
  <c r="O447" i="5"/>
  <c r="O318" i="5"/>
  <c r="O316" i="5"/>
  <c r="O300" i="5"/>
  <c r="O294" i="5"/>
  <c r="O290" i="5"/>
  <c r="O142" i="5"/>
  <c r="O129" i="5"/>
  <c r="O123" i="5"/>
  <c r="O113" i="5"/>
  <c r="O111" i="5"/>
  <c r="O109" i="5"/>
  <c r="O107" i="5"/>
  <c r="O105" i="5"/>
  <c r="I11" i="6"/>
  <c r="Q484" i="5"/>
  <c r="Q481" i="5"/>
  <c r="Q457" i="5"/>
  <c r="Q447" i="5"/>
  <c r="Q318" i="5"/>
  <c r="Q316" i="5"/>
  <c r="Q300" i="5"/>
  <c r="Q294" i="5"/>
  <c r="Q290" i="5"/>
  <c r="Q142" i="5"/>
  <c r="Q129" i="5"/>
  <c r="Q123" i="5"/>
  <c r="Q113" i="5"/>
  <c r="Q111" i="5"/>
  <c r="Q109" i="5"/>
  <c r="Q107" i="5"/>
  <c r="Q105" i="5"/>
  <c r="L14" i="4"/>
  <c r="G12" i="6"/>
  <c r="N794" i="5"/>
  <c r="N793" i="5"/>
  <c r="K15" i="4"/>
  <c r="M15" i="4" s="1"/>
  <c r="N15" i="4" s="1"/>
  <c r="H12" i="6"/>
  <c r="O794" i="5"/>
  <c r="O793" i="5"/>
  <c r="I12" i="6"/>
  <c r="Q794" i="5"/>
  <c r="Q793" i="5"/>
  <c r="L15" i="4"/>
  <c r="G13" i="6"/>
  <c r="N566" i="5"/>
  <c r="K16" i="4"/>
  <c r="M16" i="4" s="1"/>
  <c r="N16" i="4" s="1"/>
  <c r="H13" i="6"/>
  <c r="O566" i="5"/>
  <c r="I13" i="6"/>
  <c r="Q566" i="5"/>
  <c r="L16" i="4"/>
  <c r="G14" i="6"/>
  <c r="N737" i="5"/>
  <c r="N733" i="5"/>
  <c r="N732" i="5"/>
  <c r="N727" i="5"/>
  <c r="N516" i="5"/>
  <c r="K17" i="4"/>
  <c r="M17" i="4" s="1"/>
  <c r="N17" i="4" s="1"/>
  <c r="H14" i="6"/>
  <c r="O737" i="5"/>
  <c r="O733" i="5"/>
  <c r="O732" i="5"/>
  <c r="O727" i="5"/>
  <c r="O516" i="5"/>
  <c r="I14" i="6"/>
  <c r="Q737" i="5"/>
  <c r="Q733" i="5"/>
  <c r="Q732" i="5"/>
  <c r="Q727" i="5"/>
  <c r="Q516" i="5"/>
  <c r="L17" i="4"/>
  <c r="G15" i="6"/>
  <c r="N796" i="5"/>
  <c r="N735" i="5"/>
  <c r="N730" i="5"/>
  <c r="N726" i="5"/>
  <c r="N496" i="5"/>
  <c r="N280" i="5"/>
  <c r="K18" i="4"/>
  <c r="M18" i="4" s="1"/>
  <c r="N18" i="4" s="1"/>
  <c r="H15" i="6"/>
  <c r="O796" i="5"/>
  <c r="O735" i="5"/>
  <c r="O730" i="5"/>
  <c r="O726" i="5"/>
  <c r="O496" i="5"/>
  <c r="O280" i="5"/>
  <c r="I15" i="6"/>
  <c r="Q796" i="5"/>
  <c r="Q735" i="5"/>
  <c r="Q730" i="5"/>
  <c r="Q726" i="5"/>
  <c r="Q496" i="5"/>
  <c r="Q280" i="5"/>
  <c r="L18" i="4"/>
  <c r="G16" i="6"/>
  <c r="N611" i="5"/>
  <c r="K19" i="4"/>
  <c r="M19" i="4" s="1"/>
  <c r="N19" i="4" s="1"/>
  <c r="H16" i="6"/>
  <c r="O611" i="5"/>
  <c r="I16" i="6"/>
  <c r="Q611" i="5"/>
  <c r="L19" i="4"/>
  <c r="G17" i="6"/>
  <c r="N542" i="5"/>
  <c r="N403" i="5"/>
  <c r="N310" i="5"/>
  <c r="N5" i="5"/>
  <c r="K20" i="4"/>
  <c r="M20" i="4" s="1"/>
  <c r="N20" i="4" s="1"/>
  <c r="H17" i="6"/>
  <c r="O542" i="5"/>
  <c r="O403" i="5"/>
  <c r="O310" i="5"/>
  <c r="O5" i="5"/>
  <c r="I17" i="6"/>
  <c r="Q542" i="5"/>
  <c r="Q403" i="5"/>
  <c r="Q310" i="5"/>
  <c r="Q5" i="5"/>
  <c r="L20" i="4"/>
  <c r="G18" i="6"/>
  <c r="N750" i="5"/>
  <c r="N573" i="5"/>
  <c r="N475" i="5"/>
  <c r="N388" i="5"/>
  <c r="N386" i="5"/>
  <c r="N284" i="5"/>
  <c r="N127" i="5"/>
  <c r="N126" i="5"/>
  <c r="K21" i="4"/>
  <c r="M21" i="4" s="1"/>
  <c r="N21" i="4" s="1"/>
  <c r="H18" i="6"/>
  <c r="O750" i="5"/>
  <c r="O573" i="5"/>
  <c r="O475" i="5"/>
  <c r="O388" i="5"/>
  <c r="O386" i="5"/>
  <c r="O284" i="5"/>
  <c r="O127" i="5"/>
  <c r="O126" i="5"/>
  <c r="I18" i="6"/>
  <c r="Q750" i="5"/>
  <c r="Q573" i="5"/>
  <c r="Q475" i="5"/>
  <c r="Q388" i="5"/>
  <c r="Q386" i="5"/>
  <c r="Q284" i="5"/>
  <c r="Q127" i="5"/>
  <c r="Q126" i="5"/>
  <c r="L21" i="4"/>
  <c r="G19" i="6"/>
  <c r="N125" i="5"/>
  <c r="K22" i="4"/>
  <c r="M22" i="4" s="1"/>
  <c r="N22" i="4" s="1"/>
  <c r="H19" i="6"/>
  <c r="O125" i="5"/>
  <c r="I19" i="6"/>
  <c r="Q125" i="5"/>
  <c r="L22" i="4"/>
  <c r="G20" i="6"/>
  <c r="N436" i="5"/>
  <c r="K23" i="4"/>
  <c r="M23" i="4" s="1"/>
  <c r="N23" i="4" s="1"/>
  <c r="H20" i="6"/>
  <c r="O436" i="5"/>
  <c r="I20" i="6"/>
  <c r="Q436" i="5"/>
  <c r="L23" i="4"/>
  <c r="G21" i="6"/>
  <c r="N219" i="5"/>
  <c r="N218" i="5"/>
  <c r="K24" i="4"/>
  <c r="M24" i="4" s="1"/>
  <c r="N24" i="4" s="1"/>
  <c r="H21" i="6"/>
  <c r="O219" i="5"/>
  <c r="O218" i="5"/>
  <c r="I21" i="6"/>
  <c r="Q219" i="5"/>
  <c r="Q218" i="5"/>
  <c r="L24" i="4"/>
  <c r="G22" i="6"/>
  <c r="N827" i="5"/>
  <c r="N826" i="5"/>
  <c r="N824" i="5"/>
  <c r="N822" i="5"/>
  <c r="N821" i="5"/>
  <c r="N818" i="5"/>
  <c r="N811" i="5"/>
  <c r="N808" i="5"/>
  <c r="N807" i="5"/>
  <c r="N805" i="5"/>
  <c r="N802" i="5"/>
  <c r="N791" i="5"/>
  <c r="N790" i="5"/>
  <c r="N788" i="5"/>
  <c r="N787" i="5"/>
  <c r="N786" i="5"/>
  <c r="N785" i="5"/>
  <c r="N784" i="5"/>
  <c r="N783" i="5"/>
  <c r="N782" i="5"/>
  <c r="N781" i="5"/>
  <c r="N780" i="5"/>
  <c r="N779" i="5"/>
  <c r="N777" i="5"/>
  <c r="N776" i="5"/>
  <c r="N761" i="5"/>
  <c r="N753" i="5"/>
  <c r="N710" i="5"/>
  <c r="N704" i="5"/>
  <c r="N685" i="5"/>
  <c r="N675" i="5"/>
  <c r="N672" i="5"/>
  <c r="N670" i="5"/>
  <c r="N649" i="5"/>
  <c r="N637" i="5"/>
  <c r="N592" i="5"/>
  <c r="N589" i="5"/>
  <c r="N559" i="5"/>
  <c r="N534" i="5"/>
  <c r="N530" i="5"/>
  <c r="N529" i="5"/>
  <c r="N474" i="5"/>
  <c r="N472" i="5"/>
  <c r="N471" i="5"/>
  <c r="N468" i="5"/>
  <c r="N463" i="5"/>
  <c r="N462" i="5"/>
  <c r="N461" i="5"/>
  <c r="N460" i="5"/>
  <c r="N459" i="5"/>
  <c r="N458" i="5"/>
  <c r="N452" i="5"/>
  <c r="N451" i="5"/>
  <c r="N427" i="5"/>
  <c r="N426" i="5"/>
  <c r="N425" i="5"/>
  <c r="N424" i="5"/>
  <c r="N423" i="5"/>
  <c r="N422" i="5"/>
  <c r="N421" i="5"/>
  <c r="N420" i="5"/>
  <c r="N419" i="5"/>
  <c r="N418" i="5"/>
  <c r="N417" i="5"/>
  <c r="N416" i="5"/>
  <c r="N415" i="5"/>
  <c r="N414" i="5"/>
  <c r="N413" i="5"/>
  <c r="N412" i="5"/>
  <c r="N411" i="5"/>
  <c r="N410" i="5"/>
  <c r="N409" i="5"/>
  <c r="N408" i="5"/>
  <c r="N407" i="5"/>
  <c r="N406" i="5"/>
  <c r="N405" i="5"/>
  <c r="N308" i="5"/>
  <c r="N278" i="5"/>
  <c r="N275" i="5"/>
  <c r="N274" i="5"/>
  <c r="N273" i="5"/>
  <c r="N271" i="5"/>
  <c r="N270" i="5"/>
  <c r="N268" i="5"/>
  <c r="N267" i="5"/>
  <c r="N266" i="5"/>
  <c r="N265" i="5"/>
  <c r="N264" i="5"/>
  <c r="N263" i="5"/>
  <c r="N262" i="5"/>
  <c r="N261" i="5"/>
  <c r="N260" i="5"/>
  <c r="N259" i="5"/>
  <c r="N258" i="5"/>
  <c r="N257" i="5"/>
  <c r="N256" i="5"/>
  <c r="N255" i="5"/>
  <c r="N254" i="5"/>
  <c r="N253" i="5"/>
  <c r="N252" i="5"/>
  <c r="N251" i="5"/>
  <c r="N250" i="5"/>
  <c r="N249" i="5"/>
  <c r="N140" i="5"/>
  <c r="K25" i="4"/>
  <c r="M25" i="4" s="1"/>
  <c r="N25" i="4" s="1"/>
  <c r="H22" i="6"/>
  <c r="O827" i="5"/>
  <c r="O826" i="5"/>
  <c r="O824" i="5"/>
  <c r="O822" i="5"/>
  <c r="O821" i="5"/>
  <c r="O818" i="5"/>
  <c r="O811" i="5"/>
  <c r="O808" i="5"/>
  <c r="O807" i="5"/>
  <c r="O805" i="5"/>
  <c r="O802" i="5"/>
  <c r="O791" i="5"/>
  <c r="O790" i="5"/>
  <c r="O788" i="5"/>
  <c r="O787" i="5"/>
  <c r="O786" i="5"/>
  <c r="O785" i="5"/>
  <c r="O784" i="5"/>
  <c r="O783" i="5"/>
  <c r="O782" i="5"/>
  <c r="O781" i="5"/>
  <c r="O780" i="5"/>
  <c r="O779" i="5"/>
  <c r="O777" i="5"/>
  <c r="O776" i="5"/>
  <c r="O761" i="5"/>
  <c r="O753" i="5"/>
  <c r="O710" i="5"/>
  <c r="O704" i="5"/>
  <c r="O685" i="5"/>
  <c r="O675" i="5"/>
  <c r="O672" i="5"/>
  <c r="O670" i="5"/>
  <c r="O649" i="5"/>
  <c r="O637" i="5"/>
  <c r="O592" i="5"/>
  <c r="O589" i="5"/>
  <c r="O559" i="5"/>
  <c r="O534" i="5"/>
  <c r="O530" i="5"/>
  <c r="O529" i="5"/>
  <c r="O474" i="5"/>
  <c r="O472" i="5"/>
  <c r="O471" i="5"/>
  <c r="O468" i="5"/>
  <c r="O463" i="5"/>
  <c r="O462" i="5"/>
  <c r="O461" i="5"/>
  <c r="O460" i="5"/>
  <c r="O459" i="5"/>
  <c r="O458" i="5"/>
  <c r="O452" i="5"/>
  <c r="O451" i="5"/>
  <c r="O427" i="5"/>
  <c r="O426" i="5"/>
  <c r="O425" i="5"/>
  <c r="O424" i="5"/>
  <c r="O423" i="5"/>
  <c r="O422" i="5"/>
  <c r="O421" i="5"/>
  <c r="O420" i="5"/>
  <c r="O419" i="5"/>
  <c r="O418" i="5"/>
  <c r="O417" i="5"/>
  <c r="O416" i="5"/>
  <c r="O415" i="5"/>
  <c r="O414" i="5"/>
  <c r="O413" i="5"/>
  <c r="O412" i="5"/>
  <c r="O411" i="5"/>
  <c r="O410" i="5"/>
  <c r="O409" i="5"/>
  <c r="O408" i="5"/>
  <c r="O407" i="5"/>
  <c r="O406" i="5"/>
  <c r="O405" i="5"/>
  <c r="O308" i="5"/>
  <c r="O278" i="5"/>
  <c r="O275" i="5"/>
  <c r="O274" i="5"/>
  <c r="O273" i="5"/>
  <c r="O271" i="5"/>
  <c r="O270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140" i="5"/>
  <c r="I22" i="6"/>
  <c r="Q827" i="5"/>
  <c r="Q826" i="5"/>
  <c r="Q824" i="5"/>
  <c r="Q822" i="5"/>
  <c r="Q821" i="5"/>
  <c r="Q818" i="5"/>
  <c r="Q811" i="5"/>
  <c r="Q808" i="5"/>
  <c r="Q807" i="5"/>
  <c r="Q805" i="5"/>
  <c r="Q802" i="5"/>
  <c r="Q791" i="5"/>
  <c r="Q790" i="5"/>
  <c r="Q788" i="5"/>
  <c r="Q787" i="5"/>
  <c r="Q786" i="5"/>
  <c r="Q785" i="5"/>
  <c r="Q784" i="5"/>
  <c r="Q783" i="5"/>
  <c r="Q782" i="5"/>
  <c r="Q781" i="5"/>
  <c r="Q780" i="5"/>
  <c r="Q779" i="5"/>
  <c r="Q777" i="5"/>
  <c r="Q776" i="5"/>
  <c r="Q761" i="5"/>
  <c r="Q753" i="5"/>
  <c r="Q710" i="5"/>
  <c r="Q704" i="5"/>
  <c r="Q685" i="5"/>
  <c r="Q675" i="5"/>
  <c r="Q672" i="5"/>
  <c r="Q670" i="5"/>
  <c r="Q649" i="5"/>
  <c r="Q637" i="5"/>
  <c r="Q592" i="5"/>
  <c r="Q589" i="5"/>
  <c r="Q559" i="5"/>
  <c r="Q534" i="5"/>
  <c r="Q530" i="5"/>
  <c r="Q529" i="5"/>
  <c r="Q474" i="5"/>
  <c r="Q472" i="5"/>
  <c r="Q471" i="5"/>
  <c r="Q468" i="5"/>
  <c r="Q463" i="5"/>
  <c r="Q462" i="5"/>
  <c r="Q461" i="5"/>
  <c r="Q460" i="5"/>
  <c r="Q459" i="5"/>
  <c r="Q458" i="5"/>
  <c r="Q452" i="5"/>
  <c r="Q451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308" i="5"/>
  <c r="Q278" i="5"/>
  <c r="Q275" i="5"/>
  <c r="Q274" i="5"/>
  <c r="Q273" i="5"/>
  <c r="Q271" i="5"/>
  <c r="Q270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140" i="5"/>
  <c r="L25" i="4"/>
  <c r="G23" i="6"/>
  <c r="N455" i="5"/>
  <c r="N272" i="5"/>
  <c r="N225" i="5"/>
  <c r="N211" i="5"/>
  <c r="N210" i="5"/>
  <c r="N209" i="5"/>
  <c r="N203" i="5"/>
  <c r="N202" i="5"/>
  <c r="N201" i="5"/>
  <c r="N200" i="5"/>
  <c r="N199" i="5"/>
  <c r="N176" i="5"/>
  <c r="N175" i="5"/>
  <c r="N174" i="5"/>
  <c r="N173" i="5"/>
  <c r="N172" i="5"/>
  <c r="N171" i="5"/>
  <c r="N170" i="5"/>
  <c r="N169" i="5"/>
  <c r="N168" i="5"/>
  <c r="N167" i="5"/>
  <c r="N166" i="5"/>
  <c r="N165" i="5"/>
  <c r="N164" i="5"/>
  <c r="N138" i="5"/>
  <c r="N137" i="5"/>
  <c r="N136" i="5"/>
  <c r="N135" i="5"/>
  <c r="N134" i="5"/>
  <c r="N133" i="5"/>
  <c r="N132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45" i="5"/>
  <c r="N44" i="5"/>
  <c r="N43" i="5"/>
  <c r="N30" i="5"/>
  <c r="N29" i="5"/>
  <c r="N28" i="5"/>
  <c r="N27" i="5"/>
  <c r="K26" i="4"/>
  <c r="M26" i="4" s="1"/>
  <c r="N26" i="4" s="1"/>
  <c r="H23" i="6"/>
  <c r="O455" i="5"/>
  <c r="O272" i="5"/>
  <c r="O225" i="5"/>
  <c r="O211" i="5"/>
  <c r="O210" i="5"/>
  <c r="O209" i="5"/>
  <c r="O203" i="5"/>
  <c r="O202" i="5"/>
  <c r="O201" i="5"/>
  <c r="O200" i="5"/>
  <c r="O199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38" i="5"/>
  <c r="O137" i="5"/>
  <c r="O136" i="5"/>
  <c r="O135" i="5"/>
  <c r="O134" i="5"/>
  <c r="O133" i="5"/>
  <c r="O132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45" i="5"/>
  <c r="O44" i="5"/>
  <c r="O43" i="5"/>
  <c r="O30" i="5"/>
  <c r="O29" i="5"/>
  <c r="O28" i="5"/>
  <c r="O27" i="5"/>
  <c r="I23" i="6"/>
  <c r="Q455" i="5"/>
  <c r="Q272" i="5"/>
  <c r="Q225" i="5"/>
  <c r="Q211" i="5"/>
  <c r="Q210" i="5"/>
  <c r="Q209" i="5"/>
  <c r="Q203" i="5"/>
  <c r="Q202" i="5"/>
  <c r="Q201" i="5"/>
  <c r="Q200" i="5"/>
  <c r="Q199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38" i="5"/>
  <c r="Q137" i="5"/>
  <c r="Q136" i="5"/>
  <c r="Q135" i="5"/>
  <c r="Q134" i="5"/>
  <c r="Q133" i="5"/>
  <c r="Q132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45" i="5"/>
  <c r="Q44" i="5"/>
  <c r="Q43" i="5"/>
  <c r="Q30" i="5"/>
  <c r="Q29" i="5"/>
  <c r="Q28" i="5"/>
  <c r="Q27" i="5"/>
  <c r="L26" i="4"/>
  <c r="G24" i="6"/>
  <c r="N626" i="5"/>
  <c r="N625" i="5"/>
  <c r="N508" i="5"/>
  <c r="N497" i="5"/>
  <c r="N356" i="5"/>
  <c r="N309" i="5"/>
  <c r="N305" i="5"/>
  <c r="N269" i="5"/>
  <c r="K27" i="4"/>
  <c r="M27" i="4" s="1"/>
  <c r="N27" i="4" s="1"/>
  <c r="H24" i="6"/>
  <c r="O626" i="5"/>
  <c r="O625" i="5"/>
  <c r="O508" i="5"/>
  <c r="O497" i="5"/>
  <c r="O356" i="5"/>
  <c r="O309" i="5"/>
  <c r="O305" i="5"/>
  <c r="O269" i="5"/>
  <c r="I24" i="6"/>
  <c r="Q626" i="5"/>
  <c r="Q625" i="5"/>
  <c r="Q508" i="5"/>
  <c r="Q497" i="5"/>
  <c r="Q356" i="5"/>
  <c r="Q309" i="5"/>
  <c r="Q305" i="5"/>
  <c r="Q269" i="5"/>
  <c r="L27" i="4"/>
  <c r="G25" i="6"/>
  <c r="N187" i="5"/>
  <c r="N177" i="5"/>
  <c r="N152" i="5"/>
  <c r="N151" i="5"/>
  <c r="N150" i="5"/>
  <c r="N143" i="5"/>
  <c r="N85" i="5"/>
  <c r="N71" i="5"/>
  <c r="N37" i="5"/>
  <c r="N31" i="5"/>
  <c r="K28" i="4"/>
  <c r="M28" i="4" s="1"/>
  <c r="N28" i="4" s="1"/>
  <c r="H25" i="6"/>
  <c r="O187" i="5"/>
  <c r="O177" i="5"/>
  <c r="O152" i="5"/>
  <c r="O151" i="5"/>
  <c r="O150" i="5"/>
  <c r="O143" i="5"/>
  <c r="O85" i="5"/>
  <c r="O71" i="5"/>
  <c r="O37" i="5"/>
  <c r="O31" i="5"/>
  <c r="I25" i="6"/>
  <c r="Q187" i="5"/>
  <c r="Q177" i="5"/>
  <c r="Q152" i="5"/>
  <c r="Q151" i="5"/>
  <c r="Q150" i="5"/>
  <c r="Q143" i="5"/>
  <c r="Q85" i="5"/>
  <c r="Q71" i="5"/>
  <c r="Q37" i="5"/>
  <c r="Q31" i="5"/>
  <c r="L28" i="4"/>
  <c r="G26" i="6"/>
  <c r="N809" i="5"/>
  <c r="K29" i="4"/>
  <c r="M29" i="4" s="1"/>
  <c r="N29" i="4" s="1"/>
  <c r="H26" i="6"/>
  <c r="O809" i="5"/>
  <c r="I26" i="6"/>
  <c r="Q809" i="5"/>
  <c r="L29" i="4"/>
  <c r="G27" i="6"/>
  <c r="N819" i="5"/>
  <c r="N623" i="5"/>
  <c r="K30" i="4"/>
  <c r="M30" i="4" s="1"/>
  <c r="N30" i="4" s="1"/>
  <c r="H27" i="6"/>
  <c r="O819" i="5"/>
  <c r="O623" i="5"/>
  <c r="I27" i="6"/>
  <c r="Q819" i="5"/>
  <c r="Q623" i="5"/>
  <c r="L30" i="4"/>
  <c r="G28" i="6"/>
  <c r="N766" i="5"/>
  <c r="N650" i="5"/>
  <c r="N622" i="5"/>
  <c r="N618" i="5"/>
  <c r="N616" i="5"/>
  <c r="N609" i="5"/>
  <c r="N397" i="5"/>
  <c r="N396" i="5"/>
  <c r="N351" i="5"/>
  <c r="N337" i="5"/>
  <c r="N332" i="5"/>
  <c r="N198" i="5"/>
  <c r="K31" i="4"/>
  <c r="M31" i="4" s="1"/>
  <c r="N31" i="4" s="1"/>
  <c r="H28" i="6"/>
  <c r="O766" i="5"/>
  <c r="O650" i="5"/>
  <c r="O622" i="5"/>
  <c r="O618" i="5"/>
  <c r="O616" i="5"/>
  <c r="O609" i="5"/>
  <c r="O397" i="5"/>
  <c r="O396" i="5"/>
  <c r="O351" i="5"/>
  <c r="O337" i="5"/>
  <c r="O332" i="5"/>
  <c r="O198" i="5"/>
  <c r="I28" i="6"/>
  <c r="Q766" i="5"/>
  <c r="Q650" i="5"/>
  <c r="Q622" i="5"/>
  <c r="Q618" i="5"/>
  <c r="Q616" i="5"/>
  <c r="Q609" i="5"/>
  <c r="Q397" i="5"/>
  <c r="Q396" i="5"/>
  <c r="Q351" i="5"/>
  <c r="Q337" i="5"/>
  <c r="Q332" i="5"/>
  <c r="Q198" i="5"/>
  <c r="L31" i="4"/>
  <c r="G29" i="6"/>
  <c r="N345" i="5"/>
  <c r="N343" i="5"/>
  <c r="K32" i="4"/>
  <c r="M32" i="4" s="1"/>
  <c r="N32" i="4" s="1"/>
  <c r="H29" i="6"/>
  <c r="O345" i="5"/>
  <c r="O343" i="5"/>
  <c r="I29" i="6"/>
  <c r="Q345" i="5"/>
  <c r="Q343" i="5"/>
  <c r="L32" i="4"/>
  <c r="G30" i="6"/>
  <c r="N428" i="5"/>
  <c r="N276" i="5"/>
  <c r="K33" i="4"/>
  <c r="M33" i="4" s="1"/>
  <c r="N33" i="4" s="1"/>
  <c r="H30" i="6"/>
  <c r="O428" i="5"/>
  <c r="O276" i="5"/>
  <c r="I30" i="6"/>
  <c r="Q428" i="5"/>
  <c r="Q276" i="5"/>
  <c r="L33" i="4"/>
  <c r="G31" i="6"/>
  <c r="N652" i="5"/>
  <c r="K34" i="4"/>
  <c r="M34" i="4" s="1"/>
  <c r="N34" i="4" s="1"/>
  <c r="H31" i="6"/>
  <c r="O652" i="5"/>
  <c r="I31" i="6"/>
  <c r="Q652" i="5"/>
  <c r="L34" i="4"/>
  <c r="G32" i="6"/>
  <c r="N667" i="5"/>
  <c r="N658" i="5"/>
  <c r="N657" i="5"/>
  <c r="N620" i="5"/>
  <c r="N610" i="5"/>
  <c r="N605" i="5"/>
  <c r="K35" i="4"/>
  <c r="M35" i="4" s="1"/>
  <c r="N35" i="4" s="1"/>
  <c r="H32" i="6"/>
  <c r="O667" i="5"/>
  <c r="O658" i="5"/>
  <c r="O657" i="5"/>
  <c r="O620" i="5"/>
  <c r="O610" i="5"/>
  <c r="O605" i="5"/>
  <c r="I32" i="6"/>
  <c r="Q667" i="5"/>
  <c r="Q658" i="5"/>
  <c r="Q657" i="5"/>
  <c r="Q620" i="5"/>
  <c r="Q610" i="5"/>
  <c r="Q605" i="5"/>
  <c r="L35" i="4"/>
  <c r="G33" i="6"/>
  <c r="N773" i="5"/>
  <c r="N768" i="5"/>
  <c r="N765" i="5"/>
  <c r="N764" i="5"/>
  <c r="N763" i="5"/>
  <c r="N533" i="5"/>
  <c r="N532" i="5"/>
  <c r="N531" i="5"/>
  <c r="N528" i="5"/>
  <c r="N438" i="5"/>
  <c r="N437" i="5"/>
  <c r="N433" i="5"/>
  <c r="N239" i="5"/>
  <c r="N238" i="5"/>
  <c r="N237" i="5"/>
  <c r="N236" i="5"/>
  <c r="N235" i="5"/>
  <c r="N234" i="5"/>
  <c r="N233" i="5"/>
  <c r="N232" i="5"/>
  <c r="N231" i="5"/>
  <c r="N226" i="5"/>
  <c r="K36" i="4"/>
  <c r="M36" i="4" s="1"/>
  <c r="N36" i="4" s="1"/>
  <c r="H33" i="6"/>
  <c r="O773" i="5"/>
  <c r="O768" i="5"/>
  <c r="O765" i="5"/>
  <c r="O764" i="5"/>
  <c r="O763" i="5"/>
  <c r="O533" i="5"/>
  <c r="O532" i="5"/>
  <c r="O531" i="5"/>
  <c r="O528" i="5"/>
  <c r="O438" i="5"/>
  <c r="O437" i="5"/>
  <c r="O433" i="5"/>
  <c r="O239" i="5"/>
  <c r="O238" i="5"/>
  <c r="O237" i="5"/>
  <c r="O236" i="5"/>
  <c r="O235" i="5"/>
  <c r="O234" i="5"/>
  <c r="O233" i="5"/>
  <c r="O232" i="5"/>
  <c r="O231" i="5"/>
  <c r="O226" i="5"/>
  <c r="I33" i="6"/>
  <c r="Q773" i="5"/>
  <c r="Q768" i="5"/>
  <c r="Q765" i="5"/>
  <c r="Q764" i="5"/>
  <c r="Q763" i="5"/>
  <c r="Q533" i="5"/>
  <c r="Q532" i="5"/>
  <c r="Q531" i="5"/>
  <c r="Q528" i="5"/>
  <c r="Q438" i="5"/>
  <c r="Q437" i="5"/>
  <c r="Q433" i="5"/>
  <c r="Q239" i="5"/>
  <c r="Q238" i="5"/>
  <c r="Q237" i="5"/>
  <c r="Q236" i="5"/>
  <c r="Q235" i="5"/>
  <c r="Q234" i="5"/>
  <c r="Q233" i="5"/>
  <c r="Q232" i="5"/>
  <c r="Q231" i="5"/>
  <c r="Q226" i="5"/>
  <c r="L36" i="4"/>
  <c r="G34" i="6"/>
  <c r="N139" i="5"/>
  <c r="K37" i="4"/>
  <c r="M37" i="4" s="1"/>
  <c r="N37" i="4" s="1"/>
  <c r="H34" i="6"/>
  <c r="O139" i="5"/>
  <c r="I34" i="6"/>
  <c r="Q139" i="5"/>
  <c r="L37" i="4"/>
  <c r="G35" i="6"/>
  <c r="N708" i="5"/>
  <c r="N666" i="5"/>
  <c r="N665" i="5"/>
  <c r="N664" i="5"/>
  <c r="N663" i="5"/>
  <c r="N662" i="5"/>
  <c r="N661" i="5"/>
  <c r="N659" i="5"/>
  <c r="N653" i="5"/>
  <c r="K38" i="4"/>
  <c r="M38" i="4" s="1"/>
  <c r="N38" i="4" s="1"/>
  <c r="H35" i="6"/>
  <c r="O708" i="5"/>
  <c r="O666" i="5"/>
  <c r="O665" i="5"/>
  <c r="O664" i="5"/>
  <c r="O663" i="5"/>
  <c r="O662" i="5"/>
  <c r="O661" i="5"/>
  <c r="O659" i="5"/>
  <c r="O653" i="5"/>
  <c r="I35" i="6"/>
  <c r="Q708" i="5"/>
  <c r="Q666" i="5"/>
  <c r="Q665" i="5"/>
  <c r="Q664" i="5"/>
  <c r="Q663" i="5"/>
  <c r="Q662" i="5"/>
  <c r="Q661" i="5"/>
  <c r="Q659" i="5"/>
  <c r="Q653" i="5"/>
  <c r="L38" i="4"/>
  <c r="G36" i="6"/>
  <c r="N16" i="5"/>
  <c r="K39" i="4"/>
  <c r="M39" i="4" s="1"/>
  <c r="N39" i="4" s="1"/>
  <c r="H36" i="6"/>
  <c r="O16" i="5"/>
  <c r="I36" i="6"/>
  <c r="Q16" i="5"/>
  <c r="L39" i="4"/>
  <c r="G37" i="6"/>
  <c r="N430" i="5"/>
  <c r="N404" i="5"/>
  <c r="N391" i="5"/>
  <c r="N277" i="5"/>
  <c r="N197" i="5"/>
  <c r="K40" i="4"/>
  <c r="M40" i="4" s="1"/>
  <c r="N40" i="4" s="1"/>
  <c r="H37" i="6"/>
  <c r="O430" i="5"/>
  <c r="O404" i="5"/>
  <c r="O391" i="5"/>
  <c r="O277" i="5"/>
  <c r="O197" i="5"/>
  <c r="I37" i="6"/>
  <c r="Q430" i="5"/>
  <c r="Q404" i="5"/>
  <c r="Q391" i="5"/>
  <c r="Q277" i="5"/>
  <c r="Q197" i="5"/>
  <c r="L40" i="4"/>
  <c r="G38" i="6"/>
  <c r="N208" i="5"/>
  <c r="K41" i="4"/>
  <c r="M41" i="4" s="1"/>
  <c r="H38" i="6"/>
  <c r="O208" i="5"/>
  <c r="G39" i="6"/>
  <c r="N693" i="5"/>
  <c r="N684" i="5"/>
  <c r="N678" i="5"/>
  <c r="N668" i="5"/>
  <c r="N644" i="5"/>
  <c r="N634" i="5"/>
  <c r="K42" i="4"/>
  <c r="M42" i="4" s="1"/>
  <c r="N42" i="4" s="1"/>
  <c r="H39" i="6"/>
  <c r="O693" i="5"/>
  <c r="O684" i="5"/>
  <c r="O678" i="5"/>
  <c r="O668" i="5"/>
  <c r="O644" i="5"/>
  <c r="O634" i="5"/>
  <c r="I39" i="6"/>
  <c r="Q693" i="5"/>
  <c r="Q684" i="5"/>
  <c r="Q678" i="5"/>
  <c r="Q668" i="5"/>
  <c r="Q644" i="5"/>
  <c r="Q634" i="5"/>
  <c r="L42" i="4"/>
  <c r="G40" i="6"/>
  <c r="N741" i="5"/>
  <c r="N739" i="5"/>
  <c r="N161" i="5"/>
  <c r="K43" i="4"/>
  <c r="M43" i="4" s="1"/>
  <c r="N43" i="4" s="1"/>
  <c r="H40" i="6"/>
  <c r="O741" i="5"/>
  <c r="O739" i="5"/>
  <c r="O161" i="5"/>
  <c r="I40" i="6"/>
  <c r="Q741" i="5"/>
  <c r="Q739" i="5"/>
  <c r="Q161" i="5"/>
  <c r="L43" i="4"/>
  <c r="G41" i="6"/>
  <c r="N799" i="5"/>
  <c r="N798" i="5"/>
  <c r="N748" i="5"/>
  <c r="N746" i="5"/>
  <c r="N745" i="5"/>
  <c r="N744" i="5"/>
  <c r="N740" i="5"/>
  <c r="N738" i="5"/>
  <c r="N724" i="5"/>
  <c r="N722" i="5"/>
  <c r="N703" i="5"/>
  <c r="N700" i="5"/>
  <c r="N690" i="5"/>
  <c r="N515" i="5"/>
  <c r="N514" i="5"/>
  <c r="N385" i="5"/>
  <c r="N377" i="5"/>
  <c r="K44" i="4"/>
  <c r="M44" i="4" s="1"/>
  <c r="N44" i="4" s="1"/>
  <c r="H41" i="6"/>
  <c r="O799" i="5"/>
  <c r="O798" i="5"/>
  <c r="O748" i="5"/>
  <c r="O746" i="5"/>
  <c r="O745" i="5"/>
  <c r="O744" i="5"/>
  <c r="O740" i="5"/>
  <c r="O738" i="5"/>
  <c r="O724" i="5"/>
  <c r="O722" i="5"/>
  <c r="O703" i="5"/>
  <c r="O700" i="5"/>
  <c r="O690" i="5"/>
  <c r="O515" i="5"/>
  <c r="O514" i="5"/>
  <c r="O385" i="5"/>
  <c r="O377" i="5"/>
  <c r="I41" i="6"/>
  <c r="Q799" i="5"/>
  <c r="Q798" i="5"/>
  <c r="Q748" i="5"/>
  <c r="Q746" i="5"/>
  <c r="Q745" i="5"/>
  <c r="Q744" i="5"/>
  <c r="Q740" i="5"/>
  <c r="Q738" i="5"/>
  <c r="Q724" i="5"/>
  <c r="Q722" i="5"/>
  <c r="Q703" i="5"/>
  <c r="Q700" i="5"/>
  <c r="Q690" i="5"/>
  <c r="Q515" i="5"/>
  <c r="Q514" i="5"/>
  <c r="Q385" i="5"/>
  <c r="Q377" i="5"/>
  <c r="L44" i="4"/>
  <c r="G42" i="6"/>
  <c r="N608" i="5"/>
  <c r="N607" i="5"/>
  <c r="K45" i="4"/>
  <c r="M45" i="4" s="1"/>
  <c r="N45" i="4" s="1"/>
  <c r="H42" i="6"/>
  <c r="O608" i="5"/>
  <c r="O607" i="5"/>
  <c r="I42" i="6"/>
  <c r="Q608" i="5"/>
  <c r="Q607" i="5"/>
  <c r="L45" i="4"/>
  <c r="G43" i="6"/>
  <c r="N816" i="5"/>
  <c r="N812" i="5"/>
  <c r="N803" i="5"/>
  <c r="N772" i="5"/>
  <c r="N769" i="5"/>
  <c r="N754" i="5"/>
  <c r="N718" i="5"/>
  <c r="N691" i="5"/>
  <c r="N687" i="5"/>
  <c r="N656" i="5"/>
  <c r="N630" i="5"/>
  <c r="N629" i="5"/>
  <c r="N615" i="5"/>
  <c r="N614" i="5"/>
  <c r="N578" i="5"/>
  <c r="N576" i="5"/>
  <c r="N571" i="5"/>
  <c r="N569" i="5"/>
  <c r="N562" i="5"/>
  <c r="N555" i="5"/>
  <c r="N537" i="5"/>
  <c r="N536" i="5"/>
  <c r="N522" i="5"/>
  <c r="N521" i="5"/>
  <c r="N520" i="5"/>
  <c r="N519" i="5"/>
  <c r="N518" i="5"/>
  <c r="N504" i="5"/>
  <c r="N503" i="5"/>
  <c r="N502" i="5"/>
  <c r="N499" i="5"/>
  <c r="N498" i="5"/>
  <c r="N489" i="5"/>
  <c r="N488" i="5"/>
  <c r="N487" i="5"/>
  <c r="N473" i="5"/>
  <c r="N442" i="5"/>
  <c r="N439" i="5"/>
  <c r="N435" i="5"/>
  <c r="N394" i="5"/>
  <c r="N393" i="5"/>
  <c r="N383" i="5"/>
  <c r="N368" i="5"/>
  <c r="N358" i="5"/>
  <c r="N355" i="5"/>
  <c r="N354" i="5"/>
  <c r="N340" i="5"/>
  <c r="N339" i="5"/>
  <c r="N322" i="5"/>
  <c r="N321" i="5"/>
  <c r="N306" i="5"/>
  <c r="N283" i="5"/>
  <c r="N282" i="5"/>
  <c r="N246" i="5"/>
  <c r="N245" i="5"/>
  <c r="N244" i="5"/>
  <c r="N243" i="5"/>
  <c r="N221" i="5"/>
  <c r="N220" i="5"/>
  <c r="N196" i="5"/>
  <c r="N195" i="5"/>
  <c r="N194" i="5"/>
  <c r="N193" i="5"/>
  <c r="N192" i="5"/>
  <c r="N191" i="5"/>
  <c r="N163" i="5"/>
  <c r="N162" i="5"/>
  <c r="N159" i="5"/>
  <c r="N158" i="5"/>
  <c r="N157" i="5"/>
  <c r="N95" i="5"/>
  <c r="N94" i="5"/>
  <c r="N93" i="5"/>
  <c r="N92" i="5"/>
  <c r="N91" i="5"/>
  <c r="N90" i="5"/>
  <c r="N89" i="5"/>
  <c r="N57" i="5"/>
  <c r="N56" i="5"/>
  <c r="N55" i="5"/>
  <c r="N54" i="5"/>
  <c r="N53" i="5"/>
  <c r="K46" i="4"/>
  <c r="M46" i="4" s="1"/>
  <c r="N46" i="4" s="1"/>
  <c r="H43" i="6"/>
  <c r="O816" i="5"/>
  <c r="O812" i="5"/>
  <c r="O803" i="5"/>
  <c r="O772" i="5"/>
  <c r="O769" i="5"/>
  <c r="O754" i="5"/>
  <c r="O718" i="5"/>
  <c r="O691" i="5"/>
  <c r="O687" i="5"/>
  <c r="O656" i="5"/>
  <c r="O630" i="5"/>
  <c r="O629" i="5"/>
  <c r="O615" i="5"/>
  <c r="O614" i="5"/>
  <c r="O578" i="5"/>
  <c r="O576" i="5"/>
  <c r="O571" i="5"/>
  <c r="O569" i="5"/>
  <c r="O562" i="5"/>
  <c r="O555" i="5"/>
  <c r="O537" i="5"/>
  <c r="O536" i="5"/>
  <c r="O522" i="5"/>
  <c r="O521" i="5"/>
  <c r="O520" i="5"/>
  <c r="O519" i="5"/>
  <c r="O518" i="5"/>
  <c r="O504" i="5"/>
  <c r="O503" i="5"/>
  <c r="O502" i="5"/>
  <c r="O499" i="5"/>
  <c r="O498" i="5"/>
  <c r="O489" i="5"/>
  <c r="O488" i="5"/>
  <c r="O487" i="5"/>
  <c r="O473" i="5"/>
  <c r="O442" i="5"/>
  <c r="O439" i="5"/>
  <c r="O435" i="5"/>
  <c r="O394" i="5"/>
  <c r="O393" i="5"/>
  <c r="O383" i="5"/>
  <c r="O368" i="5"/>
  <c r="O358" i="5"/>
  <c r="O355" i="5"/>
  <c r="O354" i="5"/>
  <c r="O340" i="5"/>
  <c r="O339" i="5"/>
  <c r="O322" i="5"/>
  <c r="O321" i="5"/>
  <c r="O306" i="5"/>
  <c r="O283" i="5"/>
  <c r="O282" i="5"/>
  <c r="O246" i="5"/>
  <c r="O245" i="5"/>
  <c r="O244" i="5"/>
  <c r="O243" i="5"/>
  <c r="O221" i="5"/>
  <c r="O220" i="5"/>
  <c r="O196" i="5"/>
  <c r="O195" i="5"/>
  <c r="O194" i="5"/>
  <c r="O193" i="5"/>
  <c r="O192" i="5"/>
  <c r="O191" i="5"/>
  <c r="O163" i="5"/>
  <c r="O162" i="5"/>
  <c r="O159" i="5"/>
  <c r="O158" i="5"/>
  <c r="O157" i="5"/>
  <c r="O95" i="5"/>
  <c r="O94" i="5"/>
  <c r="O93" i="5"/>
  <c r="O92" i="5"/>
  <c r="O91" i="5"/>
  <c r="O90" i="5"/>
  <c r="O89" i="5"/>
  <c r="O57" i="5"/>
  <c r="O56" i="5"/>
  <c r="O55" i="5"/>
  <c r="O54" i="5"/>
  <c r="O53" i="5"/>
  <c r="I43" i="6"/>
  <c r="Q816" i="5"/>
  <c r="Q812" i="5"/>
  <c r="Q803" i="5"/>
  <c r="Q772" i="5"/>
  <c r="Q769" i="5"/>
  <c r="Q754" i="5"/>
  <c r="Q718" i="5"/>
  <c r="Q691" i="5"/>
  <c r="Q687" i="5"/>
  <c r="Q656" i="5"/>
  <c r="Q630" i="5"/>
  <c r="Q629" i="5"/>
  <c r="Q615" i="5"/>
  <c r="Q614" i="5"/>
  <c r="Q578" i="5"/>
  <c r="Q576" i="5"/>
  <c r="Q571" i="5"/>
  <c r="Q569" i="5"/>
  <c r="Q562" i="5"/>
  <c r="Q555" i="5"/>
  <c r="Q537" i="5"/>
  <c r="Q536" i="5"/>
  <c r="Q522" i="5"/>
  <c r="Q521" i="5"/>
  <c r="Q520" i="5"/>
  <c r="Q519" i="5"/>
  <c r="Q518" i="5"/>
  <c r="Q504" i="5"/>
  <c r="Q503" i="5"/>
  <c r="Q502" i="5"/>
  <c r="Q499" i="5"/>
  <c r="Q498" i="5"/>
  <c r="Q489" i="5"/>
  <c r="Q488" i="5"/>
  <c r="Q487" i="5"/>
  <c r="Q473" i="5"/>
  <c r="Q442" i="5"/>
  <c r="Q439" i="5"/>
  <c r="Q435" i="5"/>
  <c r="Q394" i="5"/>
  <c r="Q393" i="5"/>
  <c r="Q383" i="5"/>
  <c r="Q368" i="5"/>
  <c r="Q358" i="5"/>
  <c r="Q355" i="5"/>
  <c r="Q354" i="5"/>
  <c r="Q340" i="5"/>
  <c r="Q339" i="5"/>
  <c r="Q322" i="5"/>
  <c r="Q321" i="5"/>
  <c r="Q306" i="5"/>
  <c r="Q283" i="5"/>
  <c r="Q282" i="5"/>
  <c r="Q246" i="5"/>
  <c r="Q245" i="5"/>
  <c r="Q244" i="5"/>
  <c r="Q243" i="5"/>
  <c r="Q221" i="5"/>
  <c r="Q220" i="5"/>
  <c r="Q196" i="5"/>
  <c r="Q195" i="5"/>
  <c r="Q194" i="5"/>
  <c r="Q193" i="5"/>
  <c r="Q192" i="5"/>
  <c r="Q191" i="5"/>
  <c r="Q163" i="5"/>
  <c r="Q162" i="5"/>
  <c r="Q159" i="5"/>
  <c r="Q158" i="5"/>
  <c r="Q157" i="5"/>
  <c r="Q95" i="5"/>
  <c r="Q94" i="5"/>
  <c r="Q93" i="5"/>
  <c r="Q92" i="5"/>
  <c r="Q91" i="5"/>
  <c r="Q90" i="5"/>
  <c r="Q89" i="5"/>
  <c r="Q57" i="5"/>
  <c r="Q56" i="5"/>
  <c r="Q55" i="5"/>
  <c r="Q54" i="5"/>
  <c r="Q53" i="5"/>
  <c r="L46" i="4"/>
  <c r="G44" i="6"/>
  <c r="N817" i="5"/>
  <c r="N801" i="5"/>
  <c r="N800" i="5"/>
  <c r="N797" i="5"/>
  <c r="N774" i="5"/>
  <c r="N757" i="5"/>
  <c r="N752" i="5"/>
  <c r="N751" i="5"/>
  <c r="N742" i="5"/>
  <c r="N721" i="5"/>
  <c r="N717" i="5"/>
  <c r="N707" i="5"/>
  <c r="N671" i="5"/>
  <c r="N624" i="5"/>
  <c r="N604" i="5"/>
  <c r="N584" i="5"/>
  <c r="N572" i="5"/>
  <c r="N563" i="5"/>
  <c r="N558" i="5"/>
  <c r="N546" i="5"/>
  <c r="N544" i="5"/>
  <c r="N535" i="5"/>
  <c r="N527" i="5"/>
  <c r="N525" i="5"/>
  <c r="N524" i="5"/>
  <c r="N523" i="5"/>
  <c r="N517" i="5"/>
  <c r="N513" i="5"/>
  <c r="N512" i="5"/>
  <c r="N511" i="5"/>
  <c r="N506" i="5"/>
  <c r="N500" i="5"/>
  <c r="N482" i="5"/>
  <c r="N443" i="5"/>
  <c r="N441" i="5"/>
  <c r="N440" i="5"/>
  <c r="N434" i="5"/>
  <c r="N432" i="5"/>
  <c r="N431" i="5"/>
  <c r="N429" i="5"/>
  <c r="N395" i="5"/>
  <c r="N375" i="5"/>
  <c r="N346" i="5"/>
  <c r="N344" i="5"/>
  <c r="N335" i="5"/>
  <c r="N304" i="5"/>
  <c r="N302" i="5"/>
  <c r="N281" i="5"/>
  <c r="N240" i="5"/>
  <c r="N206" i="5"/>
  <c r="N205" i="5"/>
  <c r="N188" i="5"/>
  <c r="N154" i="5"/>
  <c r="N130" i="5"/>
  <c r="N86" i="5"/>
  <c r="N25" i="5"/>
  <c r="N22" i="5"/>
  <c r="N19" i="5"/>
  <c r="K47" i="4"/>
  <c r="M47" i="4" s="1"/>
  <c r="N47" i="4" s="1"/>
  <c r="H44" i="6"/>
  <c r="O817" i="5"/>
  <c r="O801" i="5"/>
  <c r="O800" i="5"/>
  <c r="O797" i="5"/>
  <c r="O774" i="5"/>
  <c r="O757" i="5"/>
  <c r="O752" i="5"/>
  <c r="O751" i="5"/>
  <c r="O742" i="5"/>
  <c r="O721" i="5"/>
  <c r="O717" i="5"/>
  <c r="O707" i="5"/>
  <c r="O671" i="5"/>
  <c r="O624" i="5"/>
  <c r="O604" i="5"/>
  <c r="O584" i="5"/>
  <c r="O572" i="5"/>
  <c r="O563" i="5"/>
  <c r="O558" i="5"/>
  <c r="O546" i="5"/>
  <c r="O544" i="5"/>
  <c r="O535" i="5"/>
  <c r="O527" i="5"/>
  <c r="O525" i="5"/>
  <c r="O524" i="5"/>
  <c r="O523" i="5"/>
  <c r="O517" i="5"/>
  <c r="O513" i="5"/>
  <c r="O512" i="5"/>
  <c r="O511" i="5"/>
  <c r="O506" i="5"/>
  <c r="O500" i="5"/>
  <c r="O482" i="5"/>
  <c r="O443" i="5"/>
  <c r="O441" i="5"/>
  <c r="O440" i="5"/>
  <c r="O434" i="5"/>
  <c r="O432" i="5"/>
  <c r="O431" i="5"/>
  <c r="O429" i="5"/>
  <c r="O395" i="5"/>
  <c r="O375" i="5"/>
  <c r="O346" i="5"/>
  <c r="O344" i="5"/>
  <c r="O335" i="5"/>
  <c r="O304" i="5"/>
  <c r="O302" i="5"/>
  <c r="O281" i="5"/>
  <c r="O240" i="5"/>
  <c r="O206" i="5"/>
  <c r="O205" i="5"/>
  <c r="O188" i="5"/>
  <c r="O154" i="5"/>
  <c r="O130" i="5"/>
  <c r="O86" i="5"/>
  <c r="O25" i="5"/>
  <c r="O22" i="5"/>
  <c r="O19" i="5"/>
  <c r="I44" i="6"/>
  <c r="Q817" i="5"/>
  <c r="Q801" i="5"/>
  <c r="Q800" i="5"/>
  <c r="Q797" i="5"/>
  <c r="Q774" i="5"/>
  <c r="Q757" i="5"/>
  <c r="Q752" i="5"/>
  <c r="Q751" i="5"/>
  <c r="Q742" i="5"/>
  <c r="Q721" i="5"/>
  <c r="Q717" i="5"/>
  <c r="Q707" i="5"/>
  <c r="Q671" i="5"/>
  <c r="Q624" i="5"/>
  <c r="Q604" i="5"/>
  <c r="Q584" i="5"/>
  <c r="Q572" i="5"/>
  <c r="Q563" i="5"/>
  <c r="Q558" i="5"/>
  <c r="Q546" i="5"/>
  <c r="Q544" i="5"/>
  <c r="Q535" i="5"/>
  <c r="Q527" i="5"/>
  <c r="Q525" i="5"/>
  <c r="Q524" i="5"/>
  <c r="Q523" i="5"/>
  <c r="Q517" i="5"/>
  <c r="Q513" i="5"/>
  <c r="Q512" i="5"/>
  <c r="Q511" i="5"/>
  <c r="Q506" i="5"/>
  <c r="Q500" i="5"/>
  <c r="Q482" i="5"/>
  <c r="Q443" i="5"/>
  <c r="Q441" i="5"/>
  <c r="Q440" i="5"/>
  <c r="Q434" i="5"/>
  <c r="Q432" i="5"/>
  <c r="Q431" i="5"/>
  <c r="Q429" i="5"/>
  <c r="Q395" i="5"/>
  <c r="Q375" i="5"/>
  <c r="Q346" i="5"/>
  <c r="Q344" i="5"/>
  <c r="Q335" i="5"/>
  <c r="Q304" i="5"/>
  <c r="Q302" i="5"/>
  <c r="Q281" i="5"/>
  <c r="Q240" i="5"/>
  <c r="Q206" i="5"/>
  <c r="Q205" i="5"/>
  <c r="Q188" i="5"/>
  <c r="Q154" i="5"/>
  <c r="Q130" i="5"/>
  <c r="Q86" i="5"/>
  <c r="Q25" i="5"/>
  <c r="Q22" i="5"/>
  <c r="Q19" i="5"/>
  <c r="L47" i="4"/>
  <c r="G45" i="6"/>
  <c r="N501" i="5"/>
  <c r="K48" i="4"/>
  <c r="M48" i="4" s="1"/>
  <c r="N48" i="4" s="1"/>
  <c r="H45" i="6"/>
  <c r="O501" i="5"/>
  <c r="I45" i="6"/>
  <c r="Q501" i="5"/>
  <c r="L48" i="4"/>
  <c r="G46" i="6"/>
  <c r="N613" i="5"/>
  <c r="N541" i="5"/>
  <c r="N507" i="5"/>
  <c r="N364" i="5"/>
  <c r="N334" i="5"/>
  <c r="N331" i="5"/>
  <c r="N301" i="5"/>
  <c r="K49" i="4"/>
  <c r="M49" i="4" s="1"/>
  <c r="N49" i="4" s="1"/>
  <c r="H46" i="6"/>
  <c r="O613" i="5"/>
  <c r="O541" i="5"/>
  <c r="O507" i="5"/>
  <c r="O364" i="5"/>
  <c r="O334" i="5"/>
  <c r="O331" i="5"/>
  <c r="O301" i="5"/>
  <c r="I46" i="6"/>
  <c r="Q613" i="5"/>
  <c r="Q541" i="5"/>
  <c r="Q507" i="5"/>
  <c r="Q364" i="5"/>
  <c r="Q334" i="5"/>
  <c r="Q331" i="5"/>
  <c r="Q301" i="5"/>
  <c r="L49" i="4"/>
  <c r="G47" i="6"/>
  <c r="N716" i="5"/>
  <c r="N547" i="5"/>
  <c r="N505" i="5"/>
  <c r="K50" i="4"/>
  <c r="M50" i="4" s="1"/>
  <c r="N50" i="4" s="1"/>
  <c r="H47" i="6"/>
  <c r="O716" i="5"/>
  <c r="O547" i="5"/>
  <c r="O505" i="5"/>
  <c r="I47" i="6"/>
  <c r="Q716" i="5"/>
  <c r="Q547" i="5"/>
  <c r="Q505" i="5"/>
  <c r="L50" i="4"/>
  <c r="G48" i="6"/>
  <c r="N577" i="5"/>
  <c r="K51" i="4"/>
  <c r="M51" i="4" s="1"/>
  <c r="N51" i="4" s="1"/>
  <c r="H48" i="6"/>
  <c r="O577" i="5"/>
  <c r="I48" i="6"/>
  <c r="Q577" i="5"/>
  <c r="L51" i="4"/>
  <c r="G49" i="6"/>
  <c r="N612" i="5"/>
  <c r="N570" i="5"/>
  <c r="N398" i="5"/>
  <c r="N390" i="5"/>
  <c r="N389" i="5"/>
  <c r="N131" i="5"/>
  <c r="N50" i="5"/>
  <c r="K52" i="4"/>
  <c r="M52" i="4" s="1"/>
  <c r="N52" i="4" s="1"/>
  <c r="H49" i="6"/>
  <c r="O612" i="5"/>
  <c r="O570" i="5"/>
  <c r="O398" i="5"/>
  <c r="O390" i="5"/>
  <c r="O389" i="5"/>
  <c r="O131" i="5"/>
  <c r="O50" i="5"/>
  <c r="I49" i="6"/>
  <c r="Q612" i="5"/>
  <c r="Q570" i="5"/>
  <c r="Q398" i="5"/>
  <c r="Q390" i="5"/>
  <c r="Q389" i="5"/>
  <c r="Q131" i="5"/>
  <c r="Q50" i="5"/>
  <c r="L52" i="4"/>
  <c r="G50" i="6"/>
  <c r="N579" i="5"/>
  <c r="K53" i="4"/>
  <c r="M53" i="4" s="1"/>
  <c r="N53" i="4" s="1"/>
  <c r="H50" i="6"/>
  <c r="O579" i="5"/>
  <c r="I50" i="6"/>
  <c r="Q579" i="5"/>
  <c r="L53" i="4"/>
  <c r="G51" i="6"/>
  <c r="N526" i="5"/>
  <c r="K54" i="4"/>
  <c r="M54" i="4" s="1"/>
  <c r="N54" i="4" s="1"/>
  <c r="H51" i="6"/>
  <c r="O526" i="5"/>
  <c r="I51" i="6"/>
  <c r="Q526" i="5"/>
  <c r="L54" i="4"/>
  <c r="G52" i="6"/>
  <c r="N825" i="5"/>
  <c r="N804" i="5"/>
  <c r="N792" i="5"/>
  <c r="N789" i="5"/>
  <c r="N755" i="5"/>
  <c r="N715" i="5"/>
  <c r="N598" i="5"/>
  <c r="N564" i="5"/>
  <c r="N545" i="5"/>
  <c r="N303" i="5"/>
  <c r="N285" i="5"/>
  <c r="N242" i="5"/>
  <c r="N241" i="5"/>
  <c r="N190" i="5"/>
  <c r="N189" i="5"/>
  <c r="N156" i="5"/>
  <c r="N155" i="5"/>
  <c r="N88" i="5"/>
  <c r="N87" i="5"/>
  <c r="N52" i="5"/>
  <c r="N51" i="5"/>
  <c r="K55" i="4"/>
  <c r="M55" i="4" s="1"/>
  <c r="N55" i="4" s="1"/>
  <c r="H52" i="6"/>
  <c r="O825" i="5"/>
  <c r="O804" i="5"/>
  <c r="O792" i="5"/>
  <c r="O789" i="5"/>
  <c r="O755" i="5"/>
  <c r="O715" i="5"/>
  <c r="O598" i="5"/>
  <c r="O564" i="5"/>
  <c r="O545" i="5"/>
  <c r="O303" i="5"/>
  <c r="O285" i="5"/>
  <c r="O242" i="5"/>
  <c r="O241" i="5"/>
  <c r="O190" i="5"/>
  <c r="O189" i="5"/>
  <c r="O156" i="5"/>
  <c r="O155" i="5"/>
  <c r="O88" i="5"/>
  <c r="O87" i="5"/>
  <c r="O52" i="5"/>
  <c r="O51" i="5"/>
  <c r="I52" i="6"/>
  <c r="Q825" i="5"/>
  <c r="Q804" i="5"/>
  <c r="Q792" i="5"/>
  <c r="Q789" i="5"/>
  <c r="Q755" i="5"/>
  <c r="Q715" i="5"/>
  <c r="Q598" i="5"/>
  <c r="Q564" i="5"/>
  <c r="Q545" i="5"/>
  <c r="Q303" i="5"/>
  <c r="Q285" i="5"/>
  <c r="Q242" i="5"/>
  <c r="Q241" i="5"/>
  <c r="Q190" i="5"/>
  <c r="Q189" i="5"/>
  <c r="Q156" i="5"/>
  <c r="Q155" i="5"/>
  <c r="Q88" i="5"/>
  <c r="Q87" i="5"/>
  <c r="Q52" i="5"/>
  <c r="Q51" i="5"/>
  <c r="L55" i="4"/>
  <c r="G53" i="6"/>
  <c r="N795" i="5"/>
  <c r="N734" i="5"/>
  <c r="N729" i="5"/>
  <c r="N725" i="5"/>
  <c r="N495" i="5"/>
  <c r="N279" i="5"/>
  <c r="K56" i="4"/>
  <c r="M56" i="4" s="1"/>
  <c r="H53" i="6"/>
  <c r="O795" i="5"/>
  <c r="O734" i="5"/>
  <c r="O729" i="5"/>
  <c r="O725" i="5"/>
  <c r="O495" i="5"/>
  <c r="O279" i="5"/>
  <c r="R279" i="5" l="1"/>
  <c r="R495" i="5"/>
  <c r="R725" i="5"/>
  <c r="R729" i="5"/>
  <c r="R734" i="5"/>
  <c r="R795" i="5"/>
  <c r="R51" i="5"/>
  <c r="R52" i="5"/>
  <c r="R87" i="5"/>
  <c r="R88" i="5"/>
  <c r="R155" i="5"/>
  <c r="R156" i="5"/>
  <c r="R189" i="5"/>
  <c r="R190" i="5"/>
  <c r="R241" i="5"/>
  <c r="R242" i="5"/>
  <c r="R285" i="5"/>
  <c r="R303" i="5"/>
  <c r="R545" i="5"/>
  <c r="R564" i="5"/>
  <c r="R598" i="5"/>
  <c r="R715" i="5"/>
  <c r="R755" i="5"/>
  <c r="R789" i="5"/>
  <c r="R792" i="5"/>
  <c r="R804" i="5"/>
  <c r="R825" i="5"/>
  <c r="R526" i="5"/>
  <c r="R579" i="5"/>
  <c r="R50" i="5"/>
  <c r="R131" i="5"/>
  <c r="R389" i="5"/>
  <c r="R390" i="5"/>
  <c r="R398" i="5"/>
  <c r="R570" i="5"/>
  <c r="R612" i="5"/>
  <c r="R577" i="5"/>
  <c r="R505" i="5"/>
  <c r="R547" i="5"/>
  <c r="R716" i="5"/>
  <c r="R301" i="5"/>
  <c r="R331" i="5"/>
  <c r="R334" i="5"/>
  <c r="R364" i="5"/>
  <c r="R507" i="5"/>
  <c r="R541" i="5"/>
  <c r="R613" i="5"/>
  <c r="R501" i="5"/>
  <c r="R19" i="5"/>
  <c r="R22" i="5"/>
  <c r="R25" i="5"/>
  <c r="R86" i="5"/>
  <c r="R130" i="5"/>
  <c r="R154" i="5"/>
  <c r="R188" i="5"/>
  <c r="R205" i="5"/>
  <c r="R206" i="5"/>
  <c r="R240" i="5"/>
  <c r="R281" i="5"/>
  <c r="R302" i="5"/>
  <c r="R304" i="5"/>
  <c r="R335" i="5"/>
  <c r="R344" i="5"/>
  <c r="R346" i="5"/>
  <c r="R375" i="5"/>
  <c r="R395" i="5"/>
  <c r="R429" i="5"/>
  <c r="R431" i="5"/>
  <c r="R432" i="5"/>
  <c r="R434" i="5"/>
  <c r="R440" i="5"/>
  <c r="R441" i="5"/>
  <c r="R443" i="5"/>
  <c r="R482" i="5"/>
  <c r="R500" i="5"/>
  <c r="R506" i="5"/>
  <c r="R511" i="5"/>
  <c r="R512" i="5"/>
  <c r="R513" i="5"/>
  <c r="R517" i="5"/>
  <c r="R523" i="5"/>
  <c r="R524" i="5"/>
  <c r="R525" i="5"/>
  <c r="R527" i="5"/>
  <c r="R535" i="5"/>
  <c r="R544" i="5"/>
  <c r="R546" i="5"/>
  <c r="R558" i="5"/>
  <c r="R563" i="5"/>
  <c r="R572" i="5"/>
  <c r="R584" i="5"/>
  <c r="R604" i="5"/>
  <c r="R624" i="5"/>
  <c r="R671" i="5"/>
  <c r="R707" i="5"/>
  <c r="R717" i="5"/>
  <c r="R721" i="5"/>
  <c r="R742" i="5"/>
  <c r="R751" i="5"/>
  <c r="R752" i="5"/>
  <c r="R757" i="5"/>
  <c r="R774" i="5"/>
  <c r="R797" i="5"/>
  <c r="R800" i="5"/>
  <c r="R801" i="5"/>
  <c r="R817" i="5"/>
  <c r="R53" i="5"/>
  <c r="R54" i="5"/>
  <c r="R55" i="5"/>
  <c r="R56" i="5"/>
  <c r="R57" i="5"/>
  <c r="R89" i="5"/>
  <c r="R90" i="5"/>
  <c r="R91" i="5"/>
  <c r="R92" i="5"/>
  <c r="R93" i="5"/>
  <c r="R94" i="5"/>
  <c r="R95" i="5"/>
  <c r="R157" i="5"/>
  <c r="R158" i="5"/>
  <c r="R159" i="5"/>
  <c r="R162" i="5"/>
  <c r="R163" i="5"/>
  <c r="R191" i="5"/>
  <c r="R192" i="5"/>
  <c r="R193" i="5"/>
  <c r="R194" i="5"/>
  <c r="R195" i="5"/>
  <c r="R196" i="5"/>
  <c r="R220" i="5"/>
  <c r="R221" i="5"/>
  <c r="R243" i="5"/>
  <c r="R244" i="5"/>
  <c r="R245" i="5"/>
  <c r="R246" i="5"/>
  <c r="R282" i="5"/>
  <c r="R283" i="5"/>
  <c r="R306" i="5"/>
  <c r="R321" i="5"/>
  <c r="R322" i="5"/>
  <c r="R339" i="5"/>
  <c r="R340" i="5"/>
  <c r="R354" i="5"/>
  <c r="R355" i="5"/>
  <c r="R358" i="5"/>
  <c r="R368" i="5"/>
  <c r="R383" i="5"/>
  <c r="R393" i="5"/>
  <c r="R394" i="5"/>
  <c r="R435" i="5"/>
  <c r="R439" i="5"/>
  <c r="R442" i="5"/>
  <c r="R473" i="5"/>
  <c r="R487" i="5"/>
  <c r="R488" i="5"/>
  <c r="R489" i="5"/>
  <c r="R498" i="5"/>
  <c r="R499" i="5"/>
  <c r="R502" i="5"/>
  <c r="R503" i="5"/>
  <c r="R504" i="5"/>
  <c r="R518" i="5"/>
  <c r="R519" i="5"/>
  <c r="R520" i="5"/>
  <c r="R521" i="5"/>
  <c r="R522" i="5"/>
  <c r="R536" i="5"/>
  <c r="R537" i="5"/>
  <c r="R555" i="5"/>
  <c r="R562" i="5"/>
  <c r="R569" i="5"/>
  <c r="R571" i="5"/>
  <c r="R576" i="5"/>
  <c r="R578" i="5"/>
  <c r="R614" i="5"/>
  <c r="R615" i="5"/>
  <c r="R629" i="5"/>
  <c r="R630" i="5"/>
  <c r="R656" i="5"/>
  <c r="R687" i="5"/>
  <c r="R691" i="5"/>
  <c r="R718" i="5"/>
  <c r="R754" i="5"/>
  <c r="R769" i="5"/>
  <c r="R772" i="5"/>
  <c r="R803" i="5"/>
  <c r="R812" i="5"/>
  <c r="R816" i="5"/>
  <c r="R607" i="5"/>
  <c r="R608" i="5"/>
  <c r="R377" i="5"/>
  <c r="R385" i="5"/>
  <c r="R514" i="5"/>
  <c r="R515" i="5"/>
  <c r="R690" i="5"/>
  <c r="R700" i="5"/>
  <c r="R703" i="5"/>
  <c r="R722" i="5"/>
  <c r="R724" i="5"/>
  <c r="R738" i="5"/>
  <c r="R740" i="5"/>
  <c r="R744" i="5"/>
  <c r="R745" i="5"/>
  <c r="R746" i="5"/>
  <c r="R748" i="5"/>
  <c r="R798" i="5"/>
  <c r="R799" i="5"/>
  <c r="R161" i="5"/>
  <c r="R739" i="5"/>
  <c r="R741" i="5"/>
  <c r="R634" i="5"/>
  <c r="R644" i="5"/>
  <c r="R668" i="5"/>
  <c r="R678" i="5"/>
  <c r="R684" i="5"/>
  <c r="R693" i="5"/>
  <c r="R208" i="5"/>
  <c r="R197" i="5"/>
  <c r="R277" i="5"/>
  <c r="R391" i="5"/>
  <c r="R404" i="5"/>
  <c r="R430" i="5"/>
  <c r="R16" i="5"/>
  <c r="R653" i="5"/>
  <c r="R659" i="5"/>
  <c r="R661" i="5"/>
  <c r="R662" i="5"/>
  <c r="R663" i="5"/>
  <c r="R664" i="5"/>
  <c r="R665" i="5"/>
  <c r="R666" i="5"/>
  <c r="R708" i="5"/>
  <c r="R139" i="5"/>
  <c r="R226" i="5"/>
  <c r="R231" i="5"/>
  <c r="R232" i="5"/>
  <c r="R233" i="5"/>
  <c r="R234" i="5"/>
  <c r="R235" i="5"/>
  <c r="R236" i="5"/>
  <c r="R237" i="5"/>
  <c r="R238" i="5"/>
  <c r="R239" i="5"/>
  <c r="R433" i="5"/>
  <c r="R437" i="5"/>
  <c r="R438" i="5"/>
  <c r="R528" i="5"/>
  <c r="R531" i="5"/>
  <c r="R532" i="5"/>
  <c r="R533" i="5"/>
  <c r="R763" i="5"/>
  <c r="R764" i="5"/>
  <c r="R765" i="5"/>
  <c r="R768" i="5"/>
  <c r="R773" i="5"/>
  <c r="R605" i="5"/>
  <c r="R610" i="5"/>
  <c r="R620" i="5"/>
  <c r="R657" i="5"/>
  <c r="R658" i="5"/>
  <c r="R667" i="5"/>
  <c r="R652" i="5"/>
  <c r="R276" i="5"/>
  <c r="R428" i="5"/>
  <c r="R343" i="5"/>
  <c r="R345" i="5"/>
  <c r="R198" i="5"/>
  <c r="R332" i="5"/>
  <c r="R337" i="5"/>
  <c r="R351" i="5"/>
  <c r="R396" i="5"/>
  <c r="R397" i="5"/>
  <c r="R609" i="5"/>
  <c r="R616" i="5"/>
  <c r="R618" i="5"/>
  <c r="R622" i="5"/>
  <c r="R650" i="5"/>
  <c r="R766" i="5"/>
  <c r="R623" i="5"/>
  <c r="R819" i="5"/>
  <c r="R809" i="5"/>
  <c r="R31" i="5"/>
  <c r="R37" i="5"/>
  <c r="R71" i="5"/>
  <c r="R85" i="5"/>
  <c r="R143" i="5"/>
  <c r="R150" i="5"/>
  <c r="R151" i="5"/>
  <c r="R152" i="5"/>
  <c r="R177" i="5"/>
  <c r="R187" i="5"/>
  <c r="R269" i="5"/>
  <c r="R305" i="5"/>
  <c r="R309" i="5"/>
  <c r="R356" i="5"/>
  <c r="R497" i="5"/>
  <c r="R508" i="5"/>
  <c r="R625" i="5"/>
  <c r="R626" i="5"/>
  <c r="R27" i="5"/>
  <c r="R28" i="5"/>
  <c r="R29" i="5"/>
  <c r="R30" i="5"/>
  <c r="R43" i="5"/>
  <c r="R44" i="5"/>
  <c r="R45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132" i="5"/>
  <c r="R133" i="5"/>
  <c r="R134" i="5"/>
  <c r="R135" i="5"/>
  <c r="R136" i="5"/>
  <c r="R137" i="5"/>
  <c r="R138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99" i="5"/>
  <c r="R200" i="5"/>
  <c r="R201" i="5"/>
  <c r="R202" i="5"/>
  <c r="R203" i="5"/>
  <c r="R209" i="5"/>
  <c r="R210" i="5"/>
  <c r="R211" i="5"/>
  <c r="R225" i="5"/>
  <c r="R272" i="5"/>
  <c r="R455" i="5"/>
  <c r="R140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R270" i="5"/>
  <c r="R271" i="5"/>
  <c r="R273" i="5"/>
  <c r="R274" i="5"/>
  <c r="R275" i="5"/>
  <c r="R278" i="5"/>
  <c r="R308" i="5"/>
  <c r="R405" i="5"/>
  <c r="R406" i="5"/>
  <c r="R407" i="5"/>
  <c r="R408" i="5"/>
  <c r="R409" i="5"/>
  <c r="R410" i="5"/>
  <c r="R411" i="5"/>
  <c r="R412" i="5"/>
  <c r="R413" i="5"/>
  <c r="R414" i="5"/>
  <c r="R415" i="5"/>
  <c r="R416" i="5"/>
  <c r="R417" i="5"/>
  <c r="R418" i="5"/>
  <c r="R419" i="5"/>
  <c r="R420" i="5"/>
  <c r="R421" i="5"/>
  <c r="R422" i="5"/>
  <c r="R423" i="5"/>
  <c r="R424" i="5"/>
  <c r="R425" i="5"/>
  <c r="R426" i="5"/>
  <c r="R427" i="5"/>
  <c r="R451" i="5"/>
  <c r="R452" i="5"/>
  <c r="R458" i="5"/>
  <c r="R459" i="5"/>
  <c r="R460" i="5"/>
  <c r="R461" i="5"/>
  <c r="R462" i="5"/>
  <c r="R463" i="5"/>
  <c r="R468" i="5"/>
  <c r="R471" i="5"/>
  <c r="R472" i="5"/>
  <c r="R474" i="5"/>
  <c r="R529" i="5"/>
  <c r="R530" i="5"/>
  <c r="R534" i="5"/>
  <c r="R559" i="5"/>
  <c r="R589" i="5"/>
  <c r="R592" i="5"/>
  <c r="R637" i="5"/>
  <c r="R649" i="5"/>
  <c r="R670" i="5"/>
  <c r="R672" i="5"/>
  <c r="R675" i="5"/>
  <c r="R685" i="5"/>
  <c r="R704" i="5"/>
  <c r="R710" i="5"/>
  <c r="R753" i="5"/>
  <c r="R761" i="5"/>
  <c r="R776" i="5"/>
  <c r="R777" i="5"/>
  <c r="R779" i="5"/>
  <c r="R780" i="5"/>
  <c r="R781" i="5"/>
  <c r="R782" i="5"/>
  <c r="R783" i="5"/>
  <c r="R784" i="5"/>
  <c r="R785" i="5"/>
  <c r="R786" i="5"/>
  <c r="R787" i="5"/>
  <c r="R788" i="5"/>
  <c r="R790" i="5"/>
  <c r="R791" i="5"/>
  <c r="R802" i="5"/>
  <c r="R805" i="5"/>
  <c r="R807" i="5"/>
  <c r="R808" i="5"/>
  <c r="R811" i="5"/>
  <c r="R818" i="5"/>
  <c r="R821" i="5"/>
  <c r="R822" i="5"/>
  <c r="R824" i="5"/>
  <c r="R826" i="5"/>
  <c r="R827" i="5"/>
  <c r="R218" i="5"/>
  <c r="R219" i="5"/>
  <c r="R436" i="5"/>
  <c r="R125" i="5"/>
  <c r="R126" i="5"/>
  <c r="R127" i="5"/>
  <c r="R284" i="5"/>
  <c r="R386" i="5"/>
  <c r="R388" i="5"/>
  <c r="R475" i="5"/>
  <c r="R573" i="5"/>
  <c r="R750" i="5"/>
  <c r="R5" i="5"/>
  <c r="R310" i="5"/>
  <c r="R403" i="5"/>
  <c r="R542" i="5"/>
  <c r="R611" i="5"/>
  <c r="R280" i="5"/>
  <c r="R496" i="5"/>
  <c r="R726" i="5"/>
  <c r="R730" i="5"/>
  <c r="R735" i="5"/>
  <c r="R796" i="5"/>
  <c r="R516" i="5"/>
  <c r="R727" i="5"/>
  <c r="R732" i="5"/>
  <c r="R733" i="5"/>
  <c r="R737" i="5"/>
  <c r="R566" i="5"/>
  <c r="R793" i="5"/>
  <c r="R794" i="5"/>
  <c r="R105" i="5"/>
  <c r="R107" i="5"/>
  <c r="R109" i="5"/>
  <c r="R111" i="5"/>
  <c r="R113" i="5"/>
  <c r="R123" i="5"/>
  <c r="R129" i="5"/>
  <c r="R142" i="5"/>
  <c r="R290" i="5"/>
  <c r="R294" i="5"/>
  <c r="R300" i="5"/>
  <c r="R316" i="5"/>
  <c r="R318" i="5"/>
  <c r="R447" i="5"/>
  <c r="R457" i="5"/>
  <c r="R481" i="5"/>
  <c r="R484" i="5"/>
  <c r="R14" i="5"/>
  <c r="R34" i="5"/>
  <c r="R36" i="5"/>
  <c r="R40" i="5"/>
  <c r="R42" i="5"/>
  <c r="R73" i="5"/>
  <c r="R75" i="5"/>
  <c r="R77" i="5"/>
  <c r="R79" i="5"/>
  <c r="R82" i="5"/>
  <c r="R84" i="5"/>
  <c r="R97" i="5"/>
  <c r="R99" i="5"/>
  <c r="R101" i="5"/>
  <c r="R103" i="5"/>
  <c r="R115" i="5"/>
  <c r="R117" i="5"/>
  <c r="R119" i="5"/>
  <c r="R121" i="5"/>
  <c r="R145" i="5"/>
  <c r="R147" i="5"/>
  <c r="R149" i="5"/>
  <c r="R184" i="5"/>
  <c r="R186" i="5"/>
  <c r="R213" i="5"/>
  <c r="R228" i="5"/>
  <c r="R230" i="5"/>
  <c r="R286" i="5"/>
  <c r="R288" i="5"/>
  <c r="R292" i="5"/>
  <c r="R296" i="5"/>
  <c r="R298" i="5"/>
  <c r="R320" i="5"/>
  <c r="R324" i="5"/>
  <c r="R326" i="5"/>
  <c r="R353" i="5"/>
  <c r="R360" i="5"/>
  <c r="R363" i="5"/>
  <c r="R367" i="5"/>
  <c r="R371" i="5"/>
  <c r="R373" i="5"/>
  <c r="R445" i="5"/>
  <c r="R454" i="5"/>
  <c r="R486" i="5"/>
  <c r="R491" i="5"/>
  <c r="R493" i="5"/>
  <c r="R548" i="5"/>
  <c r="R80" i="5"/>
  <c r="R365" i="5"/>
  <c r="R49" i="5"/>
  <c r="R312" i="5"/>
  <c r="R314" i="5"/>
  <c r="R328" i="5"/>
  <c r="R330" i="5"/>
  <c r="R465" i="5"/>
  <c r="R467" i="5"/>
  <c r="R470" i="5"/>
  <c r="R477" i="5"/>
  <c r="R478" i="5"/>
  <c r="R479" i="5"/>
  <c r="R510" i="5"/>
  <c r="R543" i="5"/>
  <c r="R551" i="5"/>
  <c r="R561" i="5"/>
  <c r="R565" i="5"/>
  <c r="R568" i="5"/>
  <c r="R580" i="5"/>
  <c r="R581" i="5"/>
  <c r="R582" i="5"/>
  <c r="R585" i="5"/>
  <c r="R586" i="5"/>
  <c r="R587" i="5"/>
  <c r="R588" i="5"/>
  <c r="R594" i="5"/>
  <c r="R595" i="5"/>
  <c r="R596" i="5"/>
  <c r="R599" i="5"/>
  <c r="R600" i="5"/>
  <c r="R601" i="5"/>
  <c r="R602" i="5"/>
  <c r="R643" i="5"/>
  <c r="R660" i="5"/>
  <c r="R682" i="5"/>
  <c r="R756" i="5"/>
  <c r="R758" i="5"/>
  <c r="R759" i="5"/>
  <c r="R760" i="5"/>
  <c r="R762" i="5"/>
  <c r="R806" i="5"/>
  <c r="R823" i="5"/>
  <c r="R307" i="5"/>
  <c r="R361" i="5"/>
  <c r="R574" i="5"/>
  <c r="R575" i="5"/>
  <c r="K57" i="4"/>
  <c r="M6" i="4"/>
  <c r="R13" i="5"/>
  <c r="R33" i="5"/>
  <c r="R35" i="5"/>
  <c r="R39" i="5"/>
  <c r="R41" i="5"/>
  <c r="R48" i="5"/>
  <c r="R72" i="5"/>
  <c r="R74" i="5"/>
  <c r="R76" i="5"/>
  <c r="R78" i="5"/>
  <c r="R81" i="5"/>
  <c r="R83" i="5"/>
  <c r="R96" i="5"/>
  <c r="R98" i="5"/>
  <c r="R100" i="5"/>
  <c r="R102" i="5"/>
  <c r="R104" i="5"/>
  <c r="R106" i="5"/>
  <c r="R108" i="5"/>
  <c r="R110" i="5"/>
  <c r="R112" i="5"/>
  <c r="R114" i="5"/>
  <c r="R116" i="5"/>
  <c r="R118" i="5"/>
  <c r="R120" i="5"/>
  <c r="R122" i="5"/>
  <c r="R128" i="5"/>
  <c r="R141" i="5"/>
  <c r="R144" i="5"/>
  <c r="R146" i="5"/>
  <c r="R148" i="5"/>
  <c r="R183" i="5"/>
  <c r="R185" i="5"/>
  <c r="R212" i="5"/>
  <c r="R227" i="5"/>
  <c r="R229" i="5"/>
  <c r="R287" i="5"/>
  <c r="R289" i="5"/>
  <c r="R291" i="5"/>
  <c r="R293" i="5"/>
  <c r="R295" i="5"/>
  <c r="R297" i="5"/>
  <c r="R299" i="5"/>
  <c r="R311" i="5"/>
  <c r="R313" i="5"/>
  <c r="R315" i="5"/>
  <c r="R317" i="5"/>
  <c r="R319" i="5"/>
  <c r="R323" i="5"/>
  <c r="R325" i="5"/>
  <c r="R327" i="5"/>
  <c r="R329" i="5"/>
  <c r="R352" i="5"/>
  <c r="R359" i="5"/>
  <c r="R362" i="5"/>
  <c r="R366" i="5"/>
  <c r="R370" i="5"/>
  <c r="R372" i="5"/>
  <c r="R444" i="5"/>
  <c r="R446" i="5"/>
  <c r="R453" i="5"/>
  <c r="R456" i="5"/>
  <c r="R464" i="5"/>
  <c r="R466" i="5"/>
  <c r="R469" i="5"/>
  <c r="R476" i="5"/>
  <c r="R480" i="5"/>
  <c r="R483" i="5"/>
  <c r="R485" i="5"/>
  <c r="R490" i="5"/>
  <c r="R492" i="5"/>
  <c r="R509" i="5"/>
  <c r="S13" i="2"/>
  <c r="R14" i="2" s="1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0" i="11"/>
  <c r="L6" i="11"/>
  <c r="L9" i="12"/>
  <c r="M9" i="12" s="1"/>
  <c r="M6" i="12"/>
  <c r="L15" i="12"/>
  <c r="M15" i="12" s="1"/>
  <c r="M12" i="12"/>
  <c r="L21" i="12"/>
  <c r="M21" i="12" s="1"/>
  <c r="M18" i="12"/>
  <c r="L27" i="12"/>
  <c r="M27" i="12" s="1"/>
  <c r="M24" i="12"/>
  <c r="K12" i="11" l="1"/>
  <c r="L10" i="11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S18" i="2"/>
  <c r="S17" i="2"/>
  <c r="S16" i="2"/>
  <c r="S15" i="2"/>
  <c r="R19" i="2" s="1"/>
  <c r="U509" i="5"/>
  <c r="V509" i="5" s="1"/>
  <c r="T509" i="5"/>
  <c r="S509" i="5"/>
  <c r="U492" i="5"/>
  <c r="V492" i="5" s="1"/>
  <c r="T492" i="5"/>
  <c r="S492" i="5"/>
  <c r="U490" i="5"/>
  <c r="V490" i="5" s="1"/>
  <c r="T490" i="5"/>
  <c r="S490" i="5"/>
  <c r="U485" i="5"/>
  <c r="V485" i="5" s="1"/>
  <c r="T485" i="5"/>
  <c r="S485" i="5"/>
  <c r="U483" i="5"/>
  <c r="V483" i="5" s="1"/>
  <c r="T483" i="5"/>
  <c r="S483" i="5"/>
  <c r="U480" i="5"/>
  <c r="V480" i="5" s="1"/>
  <c r="T480" i="5"/>
  <c r="S480" i="5"/>
  <c r="U476" i="5"/>
  <c r="V476" i="5" s="1"/>
  <c r="T476" i="5"/>
  <c r="S476" i="5"/>
  <c r="U469" i="5"/>
  <c r="V469" i="5" s="1"/>
  <c r="T469" i="5"/>
  <c r="S469" i="5"/>
  <c r="U466" i="5"/>
  <c r="V466" i="5" s="1"/>
  <c r="T466" i="5"/>
  <c r="S466" i="5"/>
  <c r="U464" i="5"/>
  <c r="V464" i="5" s="1"/>
  <c r="T464" i="5"/>
  <c r="S464" i="5"/>
  <c r="U456" i="5"/>
  <c r="V456" i="5" s="1"/>
  <c r="T456" i="5"/>
  <c r="S456" i="5"/>
  <c r="U453" i="5"/>
  <c r="V453" i="5" s="1"/>
  <c r="T453" i="5"/>
  <c r="S453" i="5"/>
  <c r="U446" i="5"/>
  <c r="V446" i="5" s="1"/>
  <c r="T446" i="5"/>
  <c r="S446" i="5"/>
  <c r="U444" i="5"/>
  <c r="V444" i="5" s="1"/>
  <c r="T444" i="5"/>
  <c r="S444" i="5"/>
  <c r="U372" i="5"/>
  <c r="V372" i="5" s="1"/>
  <c r="T372" i="5"/>
  <c r="S372" i="5"/>
  <c r="U370" i="5"/>
  <c r="V370" i="5" s="1"/>
  <c r="T370" i="5"/>
  <c r="S370" i="5"/>
  <c r="U366" i="5"/>
  <c r="V366" i="5" s="1"/>
  <c r="T366" i="5"/>
  <c r="S366" i="5"/>
  <c r="U362" i="5"/>
  <c r="V362" i="5" s="1"/>
  <c r="T362" i="5"/>
  <c r="S362" i="5"/>
  <c r="U359" i="5"/>
  <c r="V359" i="5" s="1"/>
  <c r="T359" i="5"/>
  <c r="S359" i="5"/>
  <c r="U352" i="5"/>
  <c r="V352" i="5" s="1"/>
  <c r="T352" i="5"/>
  <c r="S352" i="5"/>
  <c r="U329" i="5"/>
  <c r="V329" i="5" s="1"/>
  <c r="T329" i="5"/>
  <c r="S329" i="5"/>
  <c r="U327" i="5"/>
  <c r="V327" i="5" s="1"/>
  <c r="T327" i="5"/>
  <c r="S327" i="5"/>
  <c r="U325" i="5"/>
  <c r="V325" i="5" s="1"/>
  <c r="T325" i="5"/>
  <c r="S325" i="5"/>
  <c r="U323" i="5"/>
  <c r="V323" i="5" s="1"/>
  <c r="T323" i="5"/>
  <c r="S323" i="5"/>
  <c r="U319" i="5"/>
  <c r="V319" i="5" s="1"/>
  <c r="T319" i="5"/>
  <c r="S319" i="5"/>
  <c r="U317" i="5"/>
  <c r="V317" i="5" s="1"/>
  <c r="T317" i="5"/>
  <c r="S317" i="5"/>
  <c r="U315" i="5"/>
  <c r="V315" i="5" s="1"/>
  <c r="T315" i="5"/>
  <c r="S315" i="5"/>
  <c r="U313" i="5"/>
  <c r="V313" i="5" s="1"/>
  <c r="T313" i="5"/>
  <c r="S313" i="5"/>
  <c r="U311" i="5"/>
  <c r="V311" i="5" s="1"/>
  <c r="T311" i="5"/>
  <c r="S311" i="5"/>
  <c r="U299" i="5"/>
  <c r="V299" i="5" s="1"/>
  <c r="T299" i="5"/>
  <c r="S299" i="5"/>
  <c r="U297" i="5"/>
  <c r="V297" i="5" s="1"/>
  <c r="T297" i="5"/>
  <c r="S297" i="5"/>
  <c r="U295" i="5"/>
  <c r="V295" i="5" s="1"/>
  <c r="T295" i="5"/>
  <c r="S295" i="5"/>
  <c r="U293" i="5"/>
  <c r="V293" i="5" s="1"/>
  <c r="T293" i="5"/>
  <c r="S293" i="5"/>
  <c r="U291" i="5"/>
  <c r="V291" i="5" s="1"/>
  <c r="T291" i="5"/>
  <c r="S291" i="5"/>
  <c r="U289" i="5"/>
  <c r="V289" i="5" s="1"/>
  <c r="T289" i="5"/>
  <c r="S289" i="5"/>
  <c r="U287" i="5"/>
  <c r="V287" i="5" s="1"/>
  <c r="T287" i="5"/>
  <c r="S287" i="5"/>
  <c r="U229" i="5"/>
  <c r="V229" i="5" s="1"/>
  <c r="T229" i="5"/>
  <c r="S229" i="5"/>
  <c r="U227" i="5"/>
  <c r="V227" i="5" s="1"/>
  <c r="T227" i="5"/>
  <c r="S227" i="5"/>
  <c r="U212" i="5"/>
  <c r="V212" i="5" s="1"/>
  <c r="T212" i="5"/>
  <c r="S212" i="5"/>
  <c r="U185" i="5"/>
  <c r="V185" i="5" s="1"/>
  <c r="T185" i="5"/>
  <c r="S185" i="5"/>
  <c r="U183" i="5"/>
  <c r="V183" i="5" s="1"/>
  <c r="T183" i="5"/>
  <c r="S183" i="5"/>
  <c r="U148" i="5"/>
  <c r="V148" i="5" s="1"/>
  <c r="T148" i="5"/>
  <c r="S148" i="5"/>
  <c r="U146" i="5"/>
  <c r="V146" i="5" s="1"/>
  <c r="T146" i="5"/>
  <c r="S146" i="5"/>
  <c r="U144" i="5"/>
  <c r="V144" i="5" s="1"/>
  <c r="T144" i="5"/>
  <c r="S144" i="5"/>
  <c r="U141" i="5"/>
  <c r="V141" i="5" s="1"/>
  <c r="T141" i="5"/>
  <c r="S141" i="5"/>
  <c r="U128" i="5"/>
  <c r="V128" i="5" s="1"/>
  <c r="T128" i="5"/>
  <c r="S128" i="5"/>
  <c r="U122" i="5"/>
  <c r="V122" i="5" s="1"/>
  <c r="T122" i="5"/>
  <c r="S122" i="5"/>
  <c r="U120" i="5"/>
  <c r="V120" i="5" s="1"/>
  <c r="T120" i="5"/>
  <c r="S120" i="5"/>
  <c r="U118" i="5"/>
  <c r="V118" i="5" s="1"/>
  <c r="T118" i="5"/>
  <c r="S118" i="5"/>
  <c r="U116" i="5"/>
  <c r="V116" i="5" s="1"/>
  <c r="T116" i="5"/>
  <c r="S116" i="5"/>
  <c r="U114" i="5"/>
  <c r="V114" i="5" s="1"/>
  <c r="T114" i="5"/>
  <c r="S114" i="5"/>
  <c r="U112" i="5"/>
  <c r="V112" i="5" s="1"/>
  <c r="T112" i="5"/>
  <c r="S112" i="5"/>
  <c r="U110" i="5"/>
  <c r="V110" i="5" s="1"/>
  <c r="T110" i="5"/>
  <c r="S110" i="5"/>
  <c r="U108" i="5"/>
  <c r="V108" i="5" s="1"/>
  <c r="T108" i="5"/>
  <c r="S108" i="5"/>
  <c r="U106" i="5"/>
  <c r="V106" i="5" s="1"/>
  <c r="T106" i="5"/>
  <c r="S106" i="5"/>
  <c r="U104" i="5"/>
  <c r="V104" i="5" s="1"/>
  <c r="T104" i="5"/>
  <c r="S104" i="5"/>
  <c r="U102" i="5"/>
  <c r="V102" i="5" s="1"/>
  <c r="T102" i="5"/>
  <c r="S102" i="5"/>
  <c r="U100" i="5"/>
  <c r="V100" i="5" s="1"/>
  <c r="T100" i="5"/>
  <c r="S100" i="5"/>
  <c r="U98" i="5"/>
  <c r="V98" i="5" s="1"/>
  <c r="T98" i="5"/>
  <c r="S98" i="5"/>
  <c r="U96" i="5"/>
  <c r="V96" i="5" s="1"/>
  <c r="T96" i="5"/>
  <c r="S96" i="5"/>
  <c r="U83" i="5"/>
  <c r="V83" i="5" s="1"/>
  <c r="T83" i="5"/>
  <c r="S83" i="5"/>
  <c r="U81" i="5"/>
  <c r="V81" i="5" s="1"/>
  <c r="T81" i="5"/>
  <c r="S81" i="5"/>
  <c r="U78" i="5"/>
  <c r="V78" i="5" s="1"/>
  <c r="T78" i="5"/>
  <c r="S78" i="5"/>
  <c r="U76" i="5"/>
  <c r="V76" i="5" s="1"/>
  <c r="T76" i="5"/>
  <c r="S76" i="5"/>
  <c r="U74" i="5"/>
  <c r="V74" i="5" s="1"/>
  <c r="T74" i="5"/>
  <c r="S74" i="5"/>
  <c r="U72" i="5"/>
  <c r="V72" i="5" s="1"/>
  <c r="T72" i="5"/>
  <c r="S72" i="5"/>
  <c r="U48" i="5"/>
  <c r="V48" i="5" s="1"/>
  <c r="T48" i="5"/>
  <c r="S48" i="5"/>
  <c r="U41" i="5"/>
  <c r="V41" i="5" s="1"/>
  <c r="T41" i="5"/>
  <c r="S41" i="5"/>
  <c r="U39" i="5"/>
  <c r="V39" i="5" s="1"/>
  <c r="T39" i="5"/>
  <c r="S39" i="5"/>
  <c r="U35" i="5"/>
  <c r="V35" i="5" s="1"/>
  <c r="T35" i="5"/>
  <c r="S35" i="5"/>
  <c r="U33" i="5"/>
  <c r="V33" i="5" s="1"/>
  <c r="T33" i="5"/>
  <c r="S33" i="5"/>
  <c r="U13" i="5"/>
  <c r="V13" i="5" s="1"/>
  <c r="T13" i="5"/>
  <c r="S13" i="5"/>
  <c r="M57" i="4"/>
  <c r="N6" i="4"/>
  <c r="U575" i="5"/>
  <c r="V575" i="5" s="1"/>
  <c r="T575" i="5"/>
  <c r="S575" i="5"/>
  <c r="U574" i="5"/>
  <c r="V574" i="5" s="1"/>
  <c r="T574" i="5"/>
  <c r="S574" i="5"/>
  <c r="U361" i="5"/>
  <c r="V361" i="5" s="1"/>
  <c r="T361" i="5"/>
  <c r="S361" i="5"/>
  <c r="U307" i="5"/>
  <c r="V307" i="5" s="1"/>
  <c r="T307" i="5"/>
  <c r="S307" i="5"/>
  <c r="U823" i="5"/>
  <c r="V823" i="5" s="1"/>
  <c r="T823" i="5"/>
  <c r="S823" i="5"/>
  <c r="U806" i="5"/>
  <c r="V806" i="5" s="1"/>
  <c r="T806" i="5"/>
  <c r="S806" i="5"/>
  <c r="U762" i="5"/>
  <c r="V762" i="5" s="1"/>
  <c r="T762" i="5"/>
  <c r="S762" i="5"/>
  <c r="U760" i="5"/>
  <c r="V760" i="5" s="1"/>
  <c r="T760" i="5"/>
  <c r="S760" i="5"/>
  <c r="U759" i="5"/>
  <c r="V759" i="5" s="1"/>
  <c r="T759" i="5"/>
  <c r="S759" i="5"/>
  <c r="U758" i="5"/>
  <c r="V758" i="5" s="1"/>
  <c r="T758" i="5"/>
  <c r="S758" i="5"/>
  <c r="U756" i="5"/>
  <c r="V756" i="5" s="1"/>
  <c r="T756" i="5"/>
  <c r="S756" i="5"/>
  <c r="U682" i="5"/>
  <c r="V682" i="5" s="1"/>
  <c r="T682" i="5"/>
  <c r="S682" i="5"/>
  <c r="U660" i="5"/>
  <c r="V660" i="5" s="1"/>
  <c r="T660" i="5"/>
  <c r="S660" i="5"/>
  <c r="U643" i="5"/>
  <c r="V643" i="5" s="1"/>
  <c r="T643" i="5"/>
  <c r="S643" i="5"/>
  <c r="U602" i="5"/>
  <c r="V602" i="5" s="1"/>
  <c r="T602" i="5"/>
  <c r="S602" i="5"/>
  <c r="U601" i="5"/>
  <c r="V601" i="5" s="1"/>
  <c r="T601" i="5"/>
  <c r="S601" i="5"/>
  <c r="U600" i="5"/>
  <c r="V600" i="5" s="1"/>
  <c r="T600" i="5"/>
  <c r="S600" i="5"/>
  <c r="U599" i="5"/>
  <c r="V599" i="5" s="1"/>
  <c r="T599" i="5"/>
  <c r="S599" i="5"/>
  <c r="U596" i="5"/>
  <c r="V596" i="5" s="1"/>
  <c r="T596" i="5"/>
  <c r="S596" i="5"/>
  <c r="U595" i="5"/>
  <c r="V595" i="5" s="1"/>
  <c r="T595" i="5"/>
  <c r="S595" i="5"/>
  <c r="U594" i="5"/>
  <c r="V594" i="5" s="1"/>
  <c r="T594" i="5"/>
  <c r="S594" i="5"/>
  <c r="U588" i="5"/>
  <c r="V588" i="5" s="1"/>
  <c r="T588" i="5"/>
  <c r="S588" i="5"/>
  <c r="U587" i="5"/>
  <c r="V587" i="5" s="1"/>
  <c r="T587" i="5"/>
  <c r="S587" i="5"/>
  <c r="U586" i="5"/>
  <c r="V586" i="5" s="1"/>
  <c r="T586" i="5"/>
  <c r="S586" i="5"/>
  <c r="U585" i="5"/>
  <c r="V585" i="5" s="1"/>
  <c r="T585" i="5"/>
  <c r="S585" i="5"/>
  <c r="U582" i="5"/>
  <c r="V582" i="5" s="1"/>
  <c r="T582" i="5"/>
  <c r="S582" i="5"/>
  <c r="U581" i="5"/>
  <c r="V581" i="5" s="1"/>
  <c r="T581" i="5"/>
  <c r="S581" i="5"/>
  <c r="U580" i="5"/>
  <c r="V580" i="5" s="1"/>
  <c r="T580" i="5"/>
  <c r="S580" i="5"/>
  <c r="U568" i="5"/>
  <c r="V568" i="5" s="1"/>
  <c r="T568" i="5"/>
  <c r="S568" i="5"/>
  <c r="U565" i="5"/>
  <c r="V565" i="5" s="1"/>
  <c r="T565" i="5"/>
  <c r="S565" i="5"/>
  <c r="U561" i="5"/>
  <c r="V561" i="5" s="1"/>
  <c r="T561" i="5"/>
  <c r="S561" i="5"/>
  <c r="U551" i="5"/>
  <c r="V551" i="5" s="1"/>
  <c r="T551" i="5"/>
  <c r="S551" i="5"/>
  <c r="U543" i="5"/>
  <c r="V543" i="5" s="1"/>
  <c r="T543" i="5"/>
  <c r="S543" i="5"/>
  <c r="U510" i="5"/>
  <c r="V510" i="5" s="1"/>
  <c r="T510" i="5"/>
  <c r="S510" i="5"/>
  <c r="U479" i="5"/>
  <c r="V479" i="5" s="1"/>
  <c r="T479" i="5"/>
  <c r="S479" i="5"/>
  <c r="U478" i="5"/>
  <c r="V478" i="5" s="1"/>
  <c r="T478" i="5"/>
  <c r="S478" i="5"/>
  <c r="U477" i="5"/>
  <c r="V477" i="5" s="1"/>
  <c r="T477" i="5"/>
  <c r="S477" i="5"/>
  <c r="U470" i="5"/>
  <c r="V470" i="5" s="1"/>
  <c r="T470" i="5"/>
  <c r="S470" i="5"/>
  <c r="U467" i="5"/>
  <c r="V467" i="5" s="1"/>
  <c r="T467" i="5"/>
  <c r="S467" i="5"/>
  <c r="U465" i="5"/>
  <c r="V465" i="5" s="1"/>
  <c r="T465" i="5"/>
  <c r="S465" i="5"/>
  <c r="U330" i="5"/>
  <c r="V330" i="5" s="1"/>
  <c r="T330" i="5"/>
  <c r="S330" i="5"/>
  <c r="U328" i="5"/>
  <c r="V328" i="5" s="1"/>
  <c r="T328" i="5"/>
  <c r="S328" i="5"/>
  <c r="U314" i="5"/>
  <c r="V314" i="5" s="1"/>
  <c r="T314" i="5"/>
  <c r="S314" i="5"/>
  <c r="U312" i="5"/>
  <c r="V312" i="5" s="1"/>
  <c r="T312" i="5"/>
  <c r="S312" i="5"/>
  <c r="U49" i="5"/>
  <c r="V49" i="5" s="1"/>
  <c r="T49" i="5"/>
  <c r="S49" i="5"/>
  <c r="U365" i="5"/>
  <c r="V365" i="5" s="1"/>
  <c r="T365" i="5"/>
  <c r="S365" i="5"/>
  <c r="U80" i="5"/>
  <c r="V80" i="5" s="1"/>
  <c r="T80" i="5"/>
  <c r="S80" i="5"/>
  <c r="U548" i="5"/>
  <c r="V548" i="5" s="1"/>
  <c r="T548" i="5"/>
  <c r="S548" i="5"/>
  <c r="U493" i="5"/>
  <c r="V493" i="5" s="1"/>
  <c r="T493" i="5"/>
  <c r="S493" i="5"/>
  <c r="U491" i="5"/>
  <c r="V491" i="5" s="1"/>
  <c r="T491" i="5"/>
  <c r="S491" i="5"/>
  <c r="U486" i="5"/>
  <c r="V486" i="5" s="1"/>
  <c r="T486" i="5"/>
  <c r="S486" i="5"/>
  <c r="U454" i="5"/>
  <c r="V454" i="5" s="1"/>
  <c r="T454" i="5"/>
  <c r="S454" i="5"/>
  <c r="U445" i="5"/>
  <c r="V445" i="5" s="1"/>
  <c r="T445" i="5"/>
  <c r="S445" i="5"/>
  <c r="U373" i="5"/>
  <c r="V373" i="5" s="1"/>
  <c r="T373" i="5"/>
  <c r="S373" i="5"/>
  <c r="U371" i="5"/>
  <c r="V371" i="5" s="1"/>
  <c r="T371" i="5"/>
  <c r="S371" i="5"/>
  <c r="U367" i="5"/>
  <c r="V367" i="5" s="1"/>
  <c r="T367" i="5"/>
  <c r="S367" i="5"/>
  <c r="U363" i="5"/>
  <c r="V363" i="5" s="1"/>
  <c r="T363" i="5"/>
  <c r="S363" i="5"/>
  <c r="U360" i="5"/>
  <c r="V360" i="5" s="1"/>
  <c r="T360" i="5"/>
  <c r="S360" i="5"/>
  <c r="U353" i="5"/>
  <c r="V353" i="5" s="1"/>
  <c r="T353" i="5"/>
  <c r="S353" i="5"/>
  <c r="U326" i="5"/>
  <c r="V326" i="5" s="1"/>
  <c r="T326" i="5"/>
  <c r="S326" i="5"/>
  <c r="U324" i="5"/>
  <c r="V324" i="5" s="1"/>
  <c r="T324" i="5"/>
  <c r="S324" i="5"/>
  <c r="U320" i="5"/>
  <c r="V320" i="5" s="1"/>
  <c r="T320" i="5"/>
  <c r="S320" i="5"/>
  <c r="U298" i="5"/>
  <c r="V298" i="5" s="1"/>
  <c r="T298" i="5"/>
  <c r="S298" i="5"/>
  <c r="U296" i="5"/>
  <c r="V296" i="5" s="1"/>
  <c r="T296" i="5"/>
  <c r="S296" i="5"/>
  <c r="U292" i="5"/>
  <c r="V292" i="5" s="1"/>
  <c r="T292" i="5"/>
  <c r="S292" i="5"/>
  <c r="U288" i="5"/>
  <c r="V288" i="5" s="1"/>
  <c r="T288" i="5"/>
  <c r="S288" i="5"/>
  <c r="U286" i="5"/>
  <c r="V286" i="5" s="1"/>
  <c r="T286" i="5"/>
  <c r="S286" i="5"/>
  <c r="U230" i="5"/>
  <c r="V230" i="5" s="1"/>
  <c r="T230" i="5"/>
  <c r="S230" i="5"/>
  <c r="U228" i="5"/>
  <c r="V228" i="5" s="1"/>
  <c r="T228" i="5"/>
  <c r="S228" i="5"/>
  <c r="U213" i="5"/>
  <c r="V213" i="5" s="1"/>
  <c r="T213" i="5"/>
  <c r="S213" i="5"/>
  <c r="U186" i="5"/>
  <c r="V186" i="5" s="1"/>
  <c r="T186" i="5"/>
  <c r="S186" i="5"/>
  <c r="U184" i="5"/>
  <c r="V184" i="5" s="1"/>
  <c r="T184" i="5"/>
  <c r="S184" i="5"/>
  <c r="U149" i="5"/>
  <c r="V149" i="5" s="1"/>
  <c r="T149" i="5"/>
  <c r="S149" i="5"/>
  <c r="U147" i="5"/>
  <c r="V147" i="5" s="1"/>
  <c r="T147" i="5"/>
  <c r="S147" i="5"/>
  <c r="U145" i="5"/>
  <c r="V145" i="5" s="1"/>
  <c r="T145" i="5"/>
  <c r="S145" i="5"/>
  <c r="U121" i="5"/>
  <c r="V121" i="5" s="1"/>
  <c r="T121" i="5"/>
  <c r="S121" i="5"/>
  <c r="U119" i="5"/>
  <c r="V119" i="5" s="1"/>
  <c r="T119" i="5"/>
  <c r="S119" i="5"/>
  <c r="U117" i="5"/>
  <c r="V117" i="5" s="1"/>
  <c r="T117" i="5"/>
  <c r="S117" i="5"/>
  <c r="U115" i="5"/>
  <c r="V115" i="5" s="1"/>
  <c r="T115" i="5"/>
  <c r="S115" i="5"/>
  <c r="U103" i="5"/>
  <c r="V103" i="5" s="1"/>
  <c r="T103" i="5"/>
  <c r="S103" i="5"/>
  <c r="U101" i="5"/>
  <c r="V101" i="5" s="1"/>
  <c r="T101" i="5"/>
  <c r="S101" i="5"/>
  <c r="U99" i="5"/>
  <c r="V99" i="5" s="1"/>
  <c r="T99" i="5"/>
  <c r="S99" i="5"/>
  <c r="U97" i="5"/>
  <c r="V97" i="5" s="1"/>
  <c r="T97" i="5"/>
  <c r="S97" i="5"/>
  <c r="U84" i="5"/>
  <c r="V84" i="5" s="1"/>
  <c r="T84" i="5"/>
  <c r="S84" i="5"/>
  <c r="U82" i="5"/>
  <c r="V82" i="5" s="1"/>
  <c r="T82" i="5"/>
  <c r="S82" i="5"/>
  <c r="U79" i="5"/>
  <c r="V79" i="5" s="1"/>
  <c r="T79" i="5"/>
  <c r="S79" i="5"/>
  <c r="U77" i="5"/>
  <c r="V77" i="5" s="1"/>
  <c r="T77" i="5"/>
  <c r="S77" i="5"/>
  <c r="U75" i="5"/>
  <c r="V75" i="5" s="1"/>
  <c r="T75" i="5"/>
  <c r="S75" i="5"/>
  <c r="U73" i="5"/>
  <c r="V73" i="5" s="1"/>
  <c r="T73" i="5"/>
  <c r="S73" i="5"/>
  <c r="U42" i="5"/>
  <c r="V42" i="5" s="1"/>
  <c r="T42" i="5"/>
  <c r="S42" i="5"/>
  <c r="U40" i="5"/>
  <c r="V40" i="5" s="1"/>
  <c r="T40" i="5"/>
  <c r="S40" i="5"/>
  <c r="U36" i="5"/>
  <c r="V36" i="5" s="1"/>
  <c r="T36" i="5"/>
  <c r="S36" i="5"/>
  <c r="U34" i="5"/>
  <c r="V34" i="5" s="1"/>
  <c r="T34" i="5"/>
  <c r="S34" i="5"/>
  <c r="U14" i="5"/>
  <c r="V14" i="5" s="1"/>
  <c r="T14" i="5"/>
  <c r="S14" i="5"/>
  <c r="U484" i="5"/>
  <c r="V484" i="5" s="1"/>
  <c r="T484" i="5"/>
  <c r="S484" i="5"/>
  <c r="U481" i="5"/>
  <c r="V481" i="5" s="1"/>
  <c r="T481" i="5"/>
  <c r="S481" i="5"/>
  <c r="U457" i="5"/>
  <c r="V457" i="5" s="1"/>
  <c r="T457" i="5"/>
  <c r="S457" i="5"/>
  <c r="U447" i="5"/>
  <c r="V447" i="5" s="1"/>
  <c r="T447" i="5"/>
  <c r="S447" i="5"/>
  <c r="U318" i="5"/>
  <c r="V318" i="5" s="1"/>
  <c r="T318" i="5"/>
  <c r="S318" i="5"/>
  <c r="U316" i="5"/>
  <c r="V316" i="5" s="1"/>
  <c r="T316" i="5"/>
  <c r="S316" i="5"/>
  <c r="U300" i="5"/>
  <c r="V300" i="5" s="1"/>
  <c r="T300" i="5"/>
  <c r="S300" i="5"/>
  <c r="U294" i="5"/>
  <c r="V294" i="5" s="1"/>
  <c r="T294" i="5"/>
  <c r="S294" i="5"/>
  <c r="U290" i="5"/>
  <c r="V290" i="5" s="1"/>
  <c r="T290" i="5"/>
  <c r="S290" i="5"/>
  <c r="U142" i="5"/>
  <c r="V142" i="5" s="1"/>
  <c r="T142" i="5"/>
  <c r="S142" i="5"/>
  <c r="U129" i="5"/>
  <c r="V129" i="5" s="1"/>
  <c r="T129" i="5"/>
  <c r="S129" i="5"/>
  <c r="U123" i="5"/>
  <c r="V123" i="5" s="1"/>
  <c r="T123" i="5"/>
  <c r="S123" i="5"/>
  <c r="U113" i="5"/>
  <c r="V113" i="5" s="1"/>
  <c r="T113" i="5"/>
  <c r="S113" i="5"/>
  <c r="U111" i="5"/>
  <c r="V111" i="5" s="1"/>
  <c r="T111" i="5"/>
  <c r="S111" i="5"/>
  <c r="U109" i="5"/>
  <c r="V109" i="5" s="1"/>
  <c r="T109" i="5"/>
  <c r="S109" i="5"/>
  <c r="U107" i="5"/>
  <c r="V107" i="5" s="1"/>
  <c r="T107" i="5"/>
  <c r="S107" i="5"/>
  <c r="U105" i="5"/>
  <c r="V105" i="5" s="1"/>
  <c r="T105" i="5"/>
  <c r="S105" i="5"/>
  <c r="U794" i="5"/>
  <c r="V794" i="5" s="1"/>
  <c r="T794" i="5"/>
  <c r="S794" i="5"/>
  <c r="U793" i="5"/>
  <c r="V793" i="5" s="1"/>
  <c r="T793" i="5"/>
  <c r="S793" i="5"/>
  <c r="U566" i="5"/>
  <c r="V566" i="5" s="1"/>
  <c r="T566" i="5"/>
  <c r="S566" i="5"/>
  <c r="U737" i="5"/>
  <c r="V737" i="5" s="1"/>
  <c r="T737" i="5"/>
  <c r="S737" i="5"/>
  <c r="U733" i="5"/>
  <c r="V733" i="5" s="1"/>
  <c r="T733" i="5"/>
  <c r="S733" i="5"/>
  <c r="U732" i="5"/>
  <c r="V732" i="5" s="1"/>
  <c r="T732" i="5"/>
  <c r="S732" i="5"/>
  <c r="U727" i="5"/>
  <c r="V727" i="5" s="1"/>
  <c r="T727" i="5"/>
  <c r="S727" i="5"/>
  <c r="U516" i="5"/>
  <c r="V516" i="5" s="1"/>
  <c r="T516" i="5"/>
  <c r="S516" i="5"/>
  <c r="U796" i="5"/>
  <c r="V796" i="5" s="1"/>
  <c r="T796" i="5"/>
  <c r="S796" i="5"/>
  <c r="U735" i="5"/>
  <c r="V735" i="5" s="1"/>
  <c r="T735" i="5"/>
  <c r="S735" i="5"/>
  <c r="U730" i="5"/>
  <c r="V730" i="5" s="1"/>
  <c r="T730" i="5"/>
  <c r="S730" i="5"/>
  <c r="U726" i="5"/>
  <c r="V726" i="5" s="1"/>
  <c r="T726" i="5"/>
  <c r="S726" i="5"/>
  <c r="U496" i="5"/>
  <c r="V496" i="5" s="1"/>
  <c r="T496" i="5"/>
  <c r="S496" i="5"/>
  <c r="U280" i="5"/>
  <c r="V280" i="5" s="1"/>
  <c r="T280" i="5"/>
  <c r="S280" i="5"/>
  <c r="U611" i="5"/>
  <c r="V611" i="5" s="1"/>
  <c r="T611" i="5"/>
  <c r="S611" i="5"/>
  <c r="U542" i="5"/>
  <c r="V542" i="5" s="1"/>
  <c r="T542" i="5"/>
  <c r="S542" i="5"/>
  <c r="U403" i="5"/>
  <c r="V403" i="5" s="1"/>
  <c r="T403" i="5"/>
  <c r="S403" i="5"/>
  <c r="U310" i="5"/>
  <c r="V310" i="5" s="1"/>
  <c r="T310" i="5"/>
  <c r="S310" i="5"/>
  <c r="R247" i="5"/>
  <c r="U5" i="5"/>
  <c r="T5" i="5"/>
  <c r="T247" i="5" s="1"/>
  <c r="S5" i="5"/>
  <c r="S247" i="5" s="1"/>
  <c r="U750" i="5"/>
  <c r="V750" i="5" s="1"/>
  <c r="T750" i="5"/>
  <c r="S750" i="5"/>
  <c r="U573" i="5"/>
  <c r="V573" i="5" s="1"/>
  <c r="T573" i="5"/>
  <c r="S573" i="5"/>
  <c r="U475" i="5"/>
  <c r="V475" i="5" s="1"/>
  <c r="T475" i="5"/>
  <c r="S475" i="5"/>
  <c r="U388" i="5"/>
  <c r="V388" i="5" s="1"/>
  <c r="T388" i="5"/>
  <c r="S388" i="5"/>
  <c r="U386" i="5"/>
  <c r="V386" i="5" s="1"/>
  <c r="T386" i="5"/>
  <c r="S386" i="5"/>
  <c r="U284" i="5"/>
  <c r="V284" i="5" s="1"/>
  <c r="T284" i="5"/>
  <c r="S284" i="5"/>
  <c r="U127" i="5"/>
  <c r="V127" i="5" s="1"/>
  <c r="T127" i="5"/>
  <c r="S127" i="5"/>
  <c r="U126" i="5"/>
  <c r="V126" i="5" s="1"/>
  <c r="T126" i="5"/>
  <c r="S126" i="5"/>
  <c r="U125" i="5"/>
  <c r="V125" i="5" s="1"/>
  <c r="T125" i="5"/>
  <c r="S125" i="5"/>
  <c r="U436" i="5"/>
  <c r="V436" i="5" s="1"/>
  <c r="T436" i="5"/>
  <c r="S436" i="5"/>
  <c r="U219" i="5"/>
  <c r="V219" i="5" s="1"/>
  <c r="T219" i="5"/>
  <c r="S219" i="5"/>
  <c r="U218" i="5"/>
  <c r="V218" i="5" s="1"/>
  <c r="T218" i="5"/>
  <c r="S218" i="5"/>
  <c r="U827" i="5"/>
  <c r="V827" i="5" s="1"/>
  <c r="T827" i="5"/>
  <c r="S827" i="5"/>
  <c r="U826" i="5"/>
  <c r="V826" i="5" s="1"/>
  <c r="T826" i="5"/>
  <c r="S826" i="5"/>
  <c r="U824" i="5"/>
  <c r="V824" i="5" s="1"/>
  <c r="T824" i="5"/>
  <c r="S824" i="5"/>
  <c r="U822" i="5"/>
  <c r="V822" i="5" s="1"/>
  <c r="T822" i="5"/>
  <c r="S822" i="5"/>
  <c r="U821" i="5"/>
  <c r="V821" i="5" s="1"/>
  <c r="T821" i="5"/>
  <c r="S821" i="5"/>
  <c r="U818" i="5"/>
  <c r="V818" i="5" s="1"/>
  <c r="T818" i="5"/>
  <c r="S818" i="5"/>
  <c r="U811" i="5"/>
  <c r="V811" i="5" s="1"/>
  <c r="T811" i="5"/>
  <c r="S811" i="5"/>
  <c r="U808" i="5"/>
  <c r="V808" i="5" s="1"/>
  <c r="T808" i="5"/>
  <c r="S808" i="5"/>
  <c r="U807" i="5"/>
  <c r="V807" i="5" s="1"/>
  <c r="T807" i="5"/>
  <c r="S807" i="5"/>
  <c r="U805" i="5"/>
  <c r="V805" i="5" s="1"/>
  <c r="T805" i="5"/>
  <c r="S805" i="5"/>
  <c r="U802" i="5"/>
  <c r="V802" i="5" s="1"/>
  <c r="T802" i="5"/>
  <c r="S802" i="5"/>
  <c r="U791" i="5"/>
  <c r="V791" i="5" s="1"/>
  <c r="T791" i="5"/>
  <c r="S791" i="5"/>
  <c r="U790" i="5"/>
  <c r="V790" i="5" s="1"/>
  <c r="T790" i="5"/>
  <c r="S790" i="5"/>
  <c r="U788" i="5"/>
  <c r="V788" i="5" s="1"/>
  <c r="T788" i="5"/>
  <c r="S788" i="5"/>
  <c r="U787" i="5"/>
  <c r="V787" i="5" s="1"/>
  <c r="T787" i="5"/>
  <c r="S787" i="5"/>
  <c r="U786" i="5"/>
  <c r="V786" i="5" s="1"/>
  <c r="T786" i="5"/>
  <c r="S786" i="5"/>
  <c r="U785" i="5"/>
  <c r="V785" i="5" s="1"/>
  <c r="T785" i="5"/>
  <c r="S785" i="5"/>
  <c r="U784" i="5"/>
  <c r="V784" i="5" s="1"/>
  <c r="T784" i="5"/>
  <c r="S784" i="5"/>
  <c r="U783" i="5"/>
  <c r="V783" i="5" s="1"/>
  <c r="T783" i="5"/>
  <c r="S783" i="5"/>
  <c r="U782" i="5"/>
  <c r="V782" i="5" s="1"/>
  <c r="T782" i="5"/>
  <c r="S782" i="5"/>
  <c r="U781" i="5"/>
  <c r="V781" i="5" s="1"/>
  <c r="T781" i="5"/>
  <c r="S781" i="5"/>
  <c r="U780" i="5"/>
  <c r="V780" i="5" s="1"/>
  <c r="T780" i="5"/>
  <c r="S780" i="5"/>
  <c r="U779" i="5"/>
  <c r="V779" i="5" s="1"/>
  <c r="T779" i="5"/>
  <c r="S779" i="5"/>
  <c r="U777" i="5"/>
  <c r="V777" i="5" s="1"/>
  <c r="T777" i="5"/>
  <c r="S777" i="5"/>
  <c r="U776" i="5"/>
  <c r="V776" i="5" s="1"/>
  <c r="T776" i="5"/>
  <c r="S776" i="5"/>
  <c r="U761" i="5"/>
  <c r="V761" i="5" s="1"/>
  <c r="T761" i="5"/>
  <c r="S761" i="5"/>
  <c r="U753" i="5"/>
  <c r="V753" i="5" s="1"/>
  <c r="T753" i="5"/>
  <c r="S753" i="5"/>
  <c r="U710" i="5"/>
  <c r="V710" i="5" s="1"/>
  <c r="T710" i="5"/>
  <c r="S710" i="5"/>
  <c r="U704" i="5"/>
  <c r="V704" i="5" s="1"/>
  <c r="T704" i="5"/>
  <c r="S704" i="5"/>
  <c r="U685" i="5"/>
  <c r="V685" i="5" s="1"/>
  <c r="T685" i="5"/>
  <c r="S685" i="5"/>
  <c r="U675" i="5"/>
  <c r="V675" i="5" s="1"/>
  <c r="T675" i="5"/>
  <c r="S675" i="5"/>
  <c r="U672" i="5"/>
  <c r="V672" i="5" s="1"/>
  <c r="T672" i="5"/>
  <c r="S672" i="5"/>
  <c r="U670" i="5"/>
  <c r="V670" i="5" s="1"/>
  <c r="T670" i="5"/>
  <c r="S670" i="5"/>
  <c r="U649" i="5"/>
  <c r="V649" i="5" s="1"/>
  <c r="T649" i="5"/>
  <c r="S649" i="5"/>
  <c r="U637" i="5"/>
  <c r="V637" i="5" s="1"/>
  <c r="T637" i="5"/>
  <c r="S637" i="5"/>
  <c r="U592" i="5"/>
  <c r="V592" i="5" s="1"/>
  <c r="T592" i="5"/>
  <c r="S592" i="5"/>
  <c r="U589" i="5"/>
  <c r="V589" i="5" s="1"/>
  <c r="T589" i="5"/>
  <c r="S589" i="5"/>
  <c r="U559" i="5"/>
  <c r="V559" i="5" s="1"/>
  <c r="T559" i="5"/>
  <c r="S559" i="5"/>
  <c r="U534" i="5"/>
  <c r="V534" i="5" s="1"/>
  <c r="T534" i="5"/>
  <c r="S534" i="5"/>
  <c r="U530" i="5"/>
  <c r="V530" i="5" s="1"/>
  <c r="T530" i="5"/>
  <c r="S530" i="5"/>
  <c r="U529" i="5"/>
  <c r="V529" i="5" s="1"/>
  <c r="T529" i="5"/>
  <c r="S529" i="5"/>
  <c r="U474" i="5"/>
  <c r="V474" i="5" s="1"/>
  <c r="T474" i="5"/>
  <c r="S474" i="5"/>
  <c r="U472" i="5"/>
  <c r="V472" i="5" s="1"/>
  <c r="T472" i="5"/>
  <c r="S472" i="5"/>
  <c r="U471" i="5"/>
  <c r="V471" i="5" s="1"/>
  <c r="T471" i="5"/>
  <c r="S471" i="5"/>
  <c r="U468" i="5"/>
  <c r="V468" i="5" s="1"/>
  <c r="T468" i="5"/>
  <c r="S468" i="5"/>
  <c r="U463" i="5"/>
  <c r="V463" i="5" s="1"/>
  <c r="T463" i="5"/>
  <c r="S463" i="5"/>
  <c r="U462" i="5"/>
  <c r="V462" i="5" s="1"/>
  <c r="T462" i="5"/>
  <c r="S462" i="5"/>
  <c r="U461" i="5"/>
  <c r="V461" i="5" s="1"/>
  <c r="T461" i="5"/>
  <c r="S461" i="5"/>
  <c r="U460" i="5"/>
  <c r="V460" i="5" s="1"/>
  <c r="T460" i="5"/>
  <c r="S460" i="5"/>
  <c r="U459" i="5"/>
  <c r="V459" i="5" s="1"/>
  <c r="T459" i="5"/>
  <c r="S459" i="5"/>
  <c r="U458" i="5"/>
  <c r="V458" i="5" s="1"/>
  <c r="T458" i="5"/>
  <c r="S458" i="5"/>
  <c r="U452" i="5"/>
  <c r="V452" i="5" s="1"/>
  <c r="T452" i="5"/>
  <c r="S452" i="5"/>
  <c r="R538" i="5"/>
  <c r="U451" i="5"/>
  <c r="T451" i="5"/>
  <c r="T538" i="5" s="1"/>
  <c r="S451" i="5"/>
  <c r="S538" i="5" s="1"/>
  <c r="U427" i="5"/>
  <c r="V427" i="5" s="1"/>
  <c r="T427" i="5"/>
  <c r="S427" i="5"/>
  <c r="U426" i="5"/>
  <c r="V426" i="5" s="1"/>
  <c r="T426" i="5"/>
  <c r="S426" i="5"/>
  <c r="U425" i="5"/>
  <c r="V425" i="5" s="1"/>
  <c r="T425" i="5"/>
  <c r="S425" i="5"/>
  <c r="U424" i="5"/>
  <c r="V424" i="5" s="1"/>
  <c r="T424" i="5"/>
  <c r="S424" i="5"/>
  <c r="U423" i="5"/>
  <c r="V423" i="5" s="1"/>
  <c r="T423" i="5"/>
  <c r="S423" i="5"/>
  <c r="U422" i="5"/>
  <c r="V422" i="5" s="1"/>
  <c r="T422" i="5"/>
  <c r="S422" i="5"/>
  <c r="U421" i="5"/>
  <c r="V421" i="5" s="1"/>
  <c r="T421" i="5"/>
  <c r="S421" i="5"/>
  <c r="U420" i="5"/>
  <c r="V420" i="5" s="1"/>
  <c r="T420" i="5"/>
  <c r="S420" i="5"/>
  <c r="U419" i="5"/>
  <c r="V419" i="5" s="1"/>
  <c r="T419" i="5"/>
  <c r="S419" i="5"/>
  <c r="U418" i="5"/>
  <c r="V418" i="5" s="1"/>
  <c r="T418" i="5"/>
  <c r="S418" i="5"/>
  <c r="U417" i="5"/>
  <c r="V417" i="5" s="1"/>
  <c r="T417" i="5"/>
  <c r="S417" i="5"/>
  <c r="U416" i="5"/>
  <c r="V416" i="5" s="1"/>
  <c r="T416" i="5"/>
  <c r="S416" i="5"/>
  <c r="U415" i="5"/>
  <c r="V415" i="5" s="1"/>
  <c r="T415" i="5"/>
  <c r="S415" i="5"/>
  <c r="U414" i="5"/>
  <c r="V414" i="5" s="1"/>
  <c r="T414" i="5"/>
  <c r="S414" i="5"/>
  <c r="U413" i="5"/>
  <c r="V413" i="5" s="1"/>
  <c r="T413" i="5"/>
  <c r="S413" i="5"/>
  <c r="U412" i="5"/>
  <c r="V412" i="5" s="1"/>
  <c r="T412" i="5"/>
  <c r="S412" i="5"/>
  <c r="U411" i="5"/>
  <c r="V411" i="5" s="1"/>
  <c r="T411" i="5"/>
  <c r="S411" i="5"/>
  <c r="U410" i="5"/>
  <c r="V410" i="5" s="1"/>
  <c r="T410" i="5"/>
  <c r="S410" i="5"/>
  <c r="U409" i="5"/>
  <c r="V409" i="5" s="1"/>
  <c r="T409" i="5"/>
  <c r="S409" i="5"/>
  <c r="U408" i="5"/>
  <c r="V408" i="5" s="1"/>
  <c r="T408" i="5"/>
  <c r="S408" i="5"/>
  <c r="U407" i="5"/>
  <c r="V407" i="5" s="1"/>
  <c r="T407" i="5"/>
  <c r="S407" i="5"/>
  <c r="U406" i="5"/>
  <c r="V406" i="5" s="1"/>
  <c r="T406" i="5"/>
  <c r="S406" i="5"/>
  <c r="U405" i="5"/>
  <c r="V405" i="5" s="1"/>
  <c r="T405" i="5"/>
  <c r="S405" i="5"/>
  <c r="U308" i="5"/>
  <c r="V308" i="5" s="1"/>
  <c r="T308" i="5"/>
  <c r="S308" i="5"/>
  <c r="U278" i="5"/>
  <c r="V278" i="5" s="1"/>
  <c r="T278" i="5"/>
  <c r="S278" i="5"/>
  <c r="U275" i="5"/>
  <c r="V275" i="5" s="1"/>
  <c r="T275" i="5"/>
  <c r="S275" i="5"/>
  <c r="U274" i="5"/>
  <c r="V274" i="5" s="1"/>
  <c r="T274" i="5"/>
  <c r="S274" i="5"/>
  <c r="U273" i="5"/>
  <c r="V273" i="5" s="1"/>
  <c r="T273" i="5"/>
  <c r="S273" i="5"/>
  <c r="U271" i="5"/>
  <c r="V271" i="5" s="1"/>
  <c r="T271" i="5"/>
  <c r="S271" i="5"/>
  <c r="U270" i="5"/>
  <c r="V270" i="5" s="1"/>
  <c r="T270" i="5"/>
  <c r="S270" i="5"/>
  <c r="U268" i="5"/>
  <c r="V268" i="5" s="1"/>
  <c r="T268" i="5"/>
  <c r="S268" i="5"/>
  <c r="U267" i="5"/>
  <c r="V267" i="5" s="1"/>
  <c r="T267" i="5"/>
  <c r="S267" i="5"/>
  <c r="U266" i="5"/>
  <c r="V266" i="5" s="1"/>
  <c r="T266" i="5"/>
  <c r="S266" i="5"/>
  <c r="U265" i="5"/>
  <c r="V265" i="5" s="1"/>
  <c r="T265" i="5"/>
  <c r="S265" i="5"/>
  <c r="U264" i="5"/>
  <c r="V264" i="5" s="1"/>
  <c r="T264" i="5"/>
  <c r="S264" i="5"/>
  <c r="U263" i="5"/>
  <c r="V263" i="5" s="1"/>
  <c r="T263" i="5"/>
  <c r="S263" i="5"/>
  <c r="U262" i="5"/>
  <c r="V262" i="5" s="1"/>
  <c r="T262" i="5"/>
  <c r="S262" i="5"/>
  <c r="U261" i="5"/>
  <c r="V261" i="5" s="1"/>
  <c r="T261" i="5"/>
  <c r="S261" i="5"/>
  <c r="U260" i="5"/>
  <c r="V260" i="5" s="1"/>
  <c r="T260" i="5"/>
  <c r="S260" i="5"/>
  <c r="U259" i="5"/>
  <c r="V259" i="5" s="1"/>
  <c r="T259" i="5"/>
  <c r="S259" i="5"/>
  <c r="U258" i="5"/>
  <c r="V258" i="5" s="1"/>
  <c r="T258" i="5"/>
  <c r="S258" i="5"/>
  <c r="U257" i="5"/>
  <c r="V257" i="5" s="1"/>
  <c r="T257" i="5"/>
  <c r="S257" i="5"/>
  <c r="U256" i="5"/>
  <c r="V256" i="5" s="1"/>
  <c r="T256" i="5"/>
  <c r="S256" i="5"/>
  <c r="U255" i="5"/>
  <c r="V255" i="5" s="1"/>
  <c r="T255" i="5"/>
  <c r="S255" i="5"/>
  <c r="U254" i="5"/>
  <c r="V254" i="5" s="1"/>
  <c r="T254" i="5"/>
  <c r="S254" i="5"/>
  <c r="U253" i="5"/>
  <c r="V253" i="5" s="1"/>
  <c r="T253" i="5"/>
  <c r="S253" i="5"/>
  <c r="U252" i="5"/>
  <c r="V252" i="5" s="1"/>
  <c r="T252" i="5"/>
  <c r="S252" i="5"/>
  <c r="U251" i="5"/>
  <c r="V251" i="5" s="1"/>
  <c r="T251" i="5"/>
  <c r="S251" i="5"/>
  <c r="U250" i="5"/>
  <c r="V250" i="5" s="1"/>
  <c r="T250" i="5"/>
  <c r="S250" i="5"/>
  <c r="R449" i="5"/>
  <c r="U249" i="5"/>
  <c r="T249" i="5"/>
  <c r="T449" i="5" s="1"/>
  <c r="S249" i="5"/>
  <c r="S449" i="5" s="1"/>
  <c r="U140" i="5"/>
  <c r="V140" i="5" s="1"/>
  <c r="T140" i="5"/>
  <c r="S140" i="5"/>
  <c r="U455" i="5"/>
  <c r="V455" i="5" s="1"/>
  <c r="T455" i="5"/>
  <c r="S455" i="5"/>
  <c r="U272" i="5"/>
  <c r="V272" i="5" s="1"/>
  <c r="T272" i="5"/>
  <c r="S272" i="5"/>
  <c r="U225" i="5"/>
  <c r="V225" i="5" s="1"/>
  <c r="T225" i="5"/>
  <c r="S225" i="5"/>
  <c r="U211" i="5"/>
  <c r="V211" i="5" s="1"/>
  <c r="T211" i="5"/>
  <c r="S211" i="5"/>
  <c r="U210" i="5"/>
  <c r="V210" i="5" s="1"/>
  <c r="T210" i="5"/>
  <c r="S210" i="5"/>
  <c r="U209" i="5"/>
  <c r="V209" i="5" s="1"/>
  <c r="T209" i="5"/>
  <c r="S209" i="5"/>
  <c r="U203" i="5"/>
  <c r="V203" i="5" s="1"/>
  <c r="T203" i="5"/>
  <c r="S203" i="5"/>
  <c r="U202" i="5"/>
  <c r="V202" i="5" s="1"/>
  <c r="T202" i="5"/>
  <c r="S202" i="5"/>
  <c r="U201" i="5"/>
  <c r="V201" i="5" s="1"/>
  <c r="T201" i="5"/>
  <c r="S201" i="5"/>
  <c r="U200" i="5"/>
  <c r="V200" i="5" s="1"/>
  <c r="T200" i="5"/>
  <c r="S200" i="5"/>
  <c r="U199" i="5"/>
  <c r="V199" i="5" s="1"/>
  <c r="T199" i="5"/>
  <c r="S199" i="5"/>
  <c r="U176" i="5"/>
  <c r="V176" i="5" s="1"/>
  <c r="T176" i="5"/>
  <c r="S176" i="5"/>
  <c r="U175" i="5"/>
  <c r="V175" i="5" s="1"/>
  <c r="T175" i="5"/>
  <c r="S175" i="5"/>
  <c r="U174" i="5"/>
  <c r="V174" i="5" s="1"/>
  <c r="T174" i="5"/>
  <c r="S174" i="5"/>
  <c r="U173" i="5"/>
  <c r="V173" i="5" s="1"/>
  <c r="T173" i="5"/>
  <c r="S173" i="5"/>
  <c r="U172" i="5"/>
  <c r="V172" i="5" s="1"/>
  <c r="T172" i="5"/>
  <c r="S172" i="5"/>
  <c r="U171" i="5"/>
  <c r="V171" i="5" s="1"/>
  <c r="T171" i="5"/>
  <c r="S171" i="5"/>
  <c r="U170" i="5"/>
  <c r="V170" i="5" s="1"/>
  <c r="T170" i="5"/>
  <c r="S170" i="5"/>
  <c r="U169" i="5"/>
  <c r="V169" i="5" s="1"/>
  <c r="T169" i="5"/>
  <c r="S169" i="5"/>
  <c r="U168" i="5"/>
  <c r="V168" i="5" s="1"/>
  <c r="T168" i="5"/>
  <c r="S168" i="5"/>
  <c r="U167" i="5"/>
  <c r="V167" i="5" s="1"/>
  <c r="T167" i="5"/>
  <c r="S167" i="5"/>
  <c r="U166" i="5"/>
  <c r="V166" i="5" s="1"/>
  <c r="T166" i="5"/>
  <c r="S166" i="5"/>
  <c r="U165" i="5"/>
  <c r="V165" i="5" s="1"/>
  <c r="T165" i="5"/>
  <c r="S165" i="5"/>
  <c r="U164" i="5"/>
  <c r="V164" i="5" s="1"/>
  <c r="T164" i="5"/>
  <c r="S164" i="5"/>
  <c r="U138" i="5"/>
  <c r="V138" i="5" s="1"/>
  <c r="T138" i="5"/>
  <c r="S138" i="5"/>
  <c r="U137" i="5"/>
  <c r="V137" i="5" s="1"/>
  <c r="T137" i="5"/>
  <c r="S137" i="5"/>
  <c r="U136" i="5"/>
  <c r="V136" i="5" s="1"/>
  <c r="T136" i="5"/>
  <c r="S136" i="5"/>
  <c r="U135" i="5"/>
  <c r="V135" i="5" s="1"/>
  <c r="T135" i="5"/>
  <c r="S135" i="5"/>
  <c r="U134" i="5"/>
  <c r="V134" i="5" s="1"/>
  <c r="T134" i="5"/>
  <c r="S134" i="5"/>
  <c r="U133" i="5"/>
  <c r="V133" i="5" s="1"/>
  <c r="T133" i="5"/>
  <c r="S133" i="5"/>
  <c r="U132" i="5"/>
  <c r="V132" i="5" s="1"/>
  <c r="T132" i="5"/>
  <c r="S132" i="5"/>
  <c r="U70" i="5"/>
  <c r="V70" i="5" s="1"/>
  <c r="T70" i="5"/>
  <c r="S70" i="5"/>
  <c r="U69" i="5"/>
  <c r="V69" i="5" s="1"/>
  <c r="T69" i="5"/>
  <c r="S69" i="5"/>
  <c r="U68" i="5"/>
  <c r="V68" i="5" s="1"/>
  <c r="T68" i="5"/>
  <c r="S68" i="5"/>
  <c r="U67" i="5"/>
  <c r="V67" i="5" s="1"/>
  <c r="T67" i="5"/>
  <c r="S67" i="5"/>
  <c r="U66" i="5"/>
  <c r="V66" i="5" s="1"/>
  <c r="T66" i="5"/>
  <c r="S66" i="5"/>
  <c r="U65" i="5"/>
  <c r="V65" i="5" s="1"/>
  <c r="T65" i="5"/>
  <c r="S65" i="5"/>
  <c r="U64" i="5"/>
  <c r="V64" i="5" s="1"/>
  <c r="T64" i="5"/>
  <c r="S64" i="5"/>
  <c r="U63" i="5"/>
  <c r="V63" i="5" s="1"/>
  <c r="T63" i="5"/>
  <c r="S63" i="5"/>
  <c r="U62" i="5"/>
  <c r="V62" i="5" s="1"/>
  <c r="T62" i="5"/>
  <c r="S62" i="5"/>
  <c r="U61" i="5"/>
  <c r="V61" i="5" s="1"/>
  <c r="T61" i="5"/>
  <c r="S61" i="5"/>
  <c r="U60" i="5"/>
  <c r="V60" i="5" s="1"/>
  <c r="T60" i="5"/>
  <c r="S60" i="5"/>
  <c r="U59" i="5"/>
  <c r="V59" i="5" s="1"/>
  <c r="T59" i="5"/>
  <c r="S59" i="5"/>
  <c r="U58" i="5"/>
  <c r="V58" i="5" s="1"/>
  <c r="T58" i="5"/>
  <c r="S58" i="5"/>
  <c r="U45" i="5"/>
  <c r="V45" i="5" s="1"/>
  <c r="T45" i="5"/>
  <c r="S45" i="5"/>
  <c r="U44" i="5"/>
  <c r="V44" i="5" s="1"/>
  <c r="T44" i="5"/>
  <c r="S44" i="5"/>
  <c r="U43" i="5"/>
  <c r="V43" i="5" s="1"/>
  <c r="T43" i="5"/>
  <c r="S43" i="5"/>
  <c r="U30" i="5"/>
  <c r="V30" i="5" s="1"/>
  <c r="T30" i="5"/>
  <c r="S30" i="5"/>
  <c r="U29" i="5"/>
  <c r="V29" i="5" s="1"/>
  <c r="T29" i="5"/>
  <c r="S29" i="5"/>
  <c r="U28" i="5"/>
  <c r="V28" i="5" s="1"/>
  <c r="T28" i="5"/>
  <c r="S28" i="5"/>
  <c r="U27" i="5"/>
  <c r="V27" i="5" s="1"/>
  <c r="T27" i="5"/>
  <c r="S27" i="5"/>
  <c r="U626" i="5"/>
  <c r="V626" i="5" s="1"/>
  <c r="T626" i="5"/>
  <c r="S626" i="5"/>
  <c r="U625" i="5"/>
  <c r="V625" i="5" s="1"/>
  <c r="T625" i="5"/>
  <c r="S625" i="5"/>
  <c r="U508" i="5"/>
  <c r="V508" i="5" s="1"/>
  <c r="T508" i="5"/>
  <c r="S508" i="5"/>
  <c r="U497" i="5"/>
  <c r="V497" i="5" s="1"/>
  <c r="T497" i="5"/>
  <c r="S497" i="5"/>
  <c r="U356" i="5"/>
  <c r="V356" i="5" s="1"/>
  <c r="T356" i="5"/>
  <c r="S356" i="5"/>
  <c r="U309" i="5"/>
  <c r="V309" i="5" s="1"/>
  <c r="T309" i="5"/>
  <c r="S309" i="5"/>
  <c r="U305" i="5"/>
  <c r="V305" i="5" s="1"/>
  <c r="T305" i="5"/>
  <c r="S305" i="5"/>
  <c r="U269" i="5"/>
  <c r="V269" i="5" s="1"/>
  <c r="T269" i="5"/>
  <c r="S269" i="5"/>
  <c r="U187" i="5"/>
  <c r="V187" i="5" s="1"/>
  <c r="T187" i="5"/>
  <c r="S187" i="5"/>
  <c r="U177" i="5"/>
  <c r="V177" i="5" s="1"/>
  <c r="T177" i="5"/>
  <c r="S177" i="5"/>
  <c r="U152" i="5"/>
  <c r="V152" i="5" s="1"/>
  <c r="T152" i="5"/>
  <c r="S152" i="5"/>
  <c r="U151" i="5"/>
  <c r="V151" i="5" s="1"/>
  <c r="T151" i="5"/>
  <c r="S151" i="5"/>
  <c r="U150" i="5"/>
  <c r="V150" i="5" s="1"/>
  <c r="T150" i="5"/>
  <c r="S150" i="5"/>
  <c r="U143" i="5"/>
  <c r="V143" i="5" s="1"/>
  <c r="T143" i="5"/>
  <c r="S143" i="5"/>
  <c r="U85" i="5"/>
  <c r="V85" i="5" s="1"/>
  <c r="T85" i="5"/>
  <c r="S85" i="5"/>
  <c r="U71" i="5"/>
  <c r="V71" i="5" s="1"/>
  <c r="T71" i="5"/>
  <c r="S71" i="5"/>
  <c r="U37" i="5"/>
  <c r="V37" i="5" s="1"/>
  <c r="T37" i="5"/>
  <c r="S37" i="5"/>
  <c r="U31" i="5"/>
  <c r="V31" i="5" s="1"/>
  <c r="T31" i="5"/>
  <c r="S31" i="5"/>
  <c r="U809" i="5"/>
  <c r="V809" i="5" s="1"/>
  <c r="T809" i="5"/>
  <c r="S809" i="5"/>
  <c r="U819" i="5"/>
  <c r="V819" i="5" s="1"/>
  <c r="T819" i="5"/>
  <c r="S819" i="5"/>
  <c r="U623" i="5"/>
  <c r="V623" i="5" s="1"/>
  <c r="T623" i="5"/>
  <c r="S623" i="5"/>
  <c r="U766" i="5"/>
  <c r="V766" i="5" s="1"/>
  <c r="T766" i="5"/>
  <c r="S766" i="5"/>
  <c r="U650" i="5"/>
  <c r="V650" i="5" s="1"/>
  <c r="T650" i="5"/>
  <c r="S650" i="5"/>
  <c r="U622" i="5"/>
  <c r="V622" i="5" s="1"/>
  <c r="T622" i="5"/>
  <c r="S622" i="5"/>
  <c r="U618" i="5"/>
  <c r="V618" i="5" s="1"/>
  <c r="T618" i="5"/>
  <c r="S618" i="5"/>
  <c r="U616" i="5"/>
  <c r="V616" i="5" s="1"/>
  <c r="T616" i="5"/>
  <c r="S616" i="5"/>
  <c r="U609" i="5"/>
  <c r="V609" i="5" s="1"/>
  <c r="T609" i="5"/>
  <c r="S609" i="5"/>
  <c r="U397" i="5"/>
  <c r="V397" i="5" s="1"/>
  <c r="T397" i="5"/>
  <c r="S397" i="5"/>
  <c r="U396" i="5"/>
  <c r="V396" i="5" s="1"/>
  <c r="T396" i="5"/>
  <c r="S396" i="5"/>
  <c r="U351" i="5"/>
  <c r="V351" i="5" s="1"/>
  <c r="T351" i="5"/>
  <c r="S351" i="5"/>
  <c r="U337" i="5"/>
  <c r="V337" i="5" s="1"/>
  <c r="T337" i="5"/>
  <c r="S337" i="5"/>
  <c r="U332" i="5"/>
  <c r="V332" i="5" s="1"/>
  <c r="T332" i="5"/>
  <c r="S332" i="5"/>
  <c r="U198" i="5"/>
  <c r="V198" i="5" s="1"/>
  <c r="T198" i="5"/>
  <c r="S198" i="5"/>
  <c r="U345" i="5"/>
  <c r="V345" i="5" s="1"/>
  <c r="T345" i="5"/>
  <c r="S345" i="5"/>
  <c r="U343" i="5"/>
  <c r="V343" i="5" s="1"/>
  <c r="T343" i="5"/>
  <c r="S343" i="5"/>
  <c r="U428" i="5"/>
  <c r="V428" i="5" s="1"/>
  <c r="T428" i="5"/>
  <c r="S428" i="5"/>
  <c r="U276" i="5"/>
  <c r="V276" i="5" s="1"/>
  <c r="T276" i="5"/>
  <c r="S276" i="5"/>
  <c r="U652" i="5"/>
  <c r="V652" i="5" s="1"/>
  <c r="T652" i="5"/>
  <c r="S652" i="5"/>
  <c r="U667" i="5"/>
  <c r="V667" i="5" s="1"/>
  <c r="T667" i="5"/>
  <c r="S667" i="5"/>
  <c r="U658" i="5"/>
  <c r="V658" i="5" s="1"/>
  <c r="T658" i="5"/>
  <c r="S658" i="5"/>
  <c r="U657" i="5"/>
  <c r="V657" i="5" s="1"/>
  <c r="T657" i="5"/>
  <c r="S657" i="5"/>
  <c r="U620" i="5"/>
  <c r="V620" i="5" s="1"/>
  <c r="T620" i="5"/>
  <c r="S620" i="5"/>
  <c r="U610" i="5"/>
  <c r="V610" i="5" s="1"/>
  <c r="T610" i="5"/>
  <c r="S610" i="5"/>
  <c r="U605" i="5"/>
  <c r="V605" i="5" s="1"/>
  <c r="T605" i="5"/>
  <c r="S605" i="5"/>
  <c r="U773" i="5"/>
  <c r="V773" i="5" s="1"/>
  <c r="T773" i="5"/>
  <c r="S773" i="5"/>
  <c r="U768" i="5"/>
  <c r="V768" i="5" s="1"/>
  <c r="T768" i="5"/>
  <c r="S768" i="5"/>
  <c r="U765" i="5"/>
  <c r="V765" i="5" s="1"/>
  <c r="T765" i="5"/>
  <c r="S765" i="5"/>
  <c r="U764" i="5"/>
  <c r="V764" i="5" s="1"/>
  <c r="T764" i="5"/>
  <c r="S764" i="5"/>
  <c r="U763" i="5"/>
  <c r="V763" i="5" s="1"/>
  <c r="T763" i="5"/>
  <c r="S763" i="5"/>
  <c r="U533" i="5"/>
  <c r="V533" i="5" s="1"/>
  <c r="T533" i="5"/>
  <c r="S533" i="5"/>
  <c r="U532" i="5"/>
  <c r="V532" i="5" s="1"/>
  <c r="T532" i="5"/>
  <c r="S532" i="5"/>
  <c r="U531" i="5"/>
  <c r="V531" i="5" s="1"/>
  <c r="T531" i="5"/>
  <c r="S531" i="5"/>
  <c r="U528" i="5"/>
  <c r="V528" i="5" s="1"/>
  <c r="T528" i="5"/>
  <c r="S528" i="5"/>
  <c r="U438" i="5"/>
  <c r="V438" i="5" s="1"/>
  <c r="T438" i="5"/>
  <c r="S438" i="5"/>
  <c r="U437" i="5"/>
  <c r="V437" i="5" s="1"/>
  <c r="T437" i="5"/>
  <c r="S437" i="5"/>
  <c r="U433" i="5"/>
  <c r="V433" i="5" s="1"/>
  <c r="T433" i="5"/>
  <c r="S433" i="5"/>
  <c r="U239" i="5"/>
  <c r="V239" i="5" s="1"/>
  <c r="T239" i="5"/>
  <c r="S239" i="5"/>
  <c r="U238" i="5"/>
  <c r="V238" i="5" s="1"/>
  <c r="T238" i="5"/>
  <c r="S238" i="5"/>
  <c r="U237" i="5"/>
  <c r="V237" i="5" s="1"/>
  <c r="T237" i="5"/>
  <c r="S237" i="5"/>
  <c r="U236" i="5"/>
  <c r="V236" i="5" s="1"/>
  <c r="T236" i="5"/>
  <c r="S236" i="5"/>
  <c r="U235" i="5"/>
  <c r="V235" i="5" s="1"/>
  <c r="T235" i="5"/>
  <c r="S235" i="5"/>
  <c r="U234" i="5"/>
  <c r="V234" i="5" s="1"/>
  <c r="T234" i="5"/>
  <c r="S234" i="5"/>
  <c r="U233" i="5"/>
  <c r="V233" i="5" s="1"/>
  <c r="T233" i="5"/>
  <c r="S233" i="5"/>
  <c r="U232" i="5"/>
  <c r="V232" i="5" s="1"/>
  <c r="T232" i="5"/>
  <c r="S232" i="5"/>
  <c r="U231" i="5"/>
  <c r="V231" i="5" s="1"/>
  <c r="T231" i="5"/>
  <c r="S231" i="5"/>
  <c r="U226" i="5"/>
  <c r="V226" i="5" s="1"/>
  <c r="T226" i="5"/>
  <c r="S226" i="5"/>
  <c r="U139" i="5"/>
  <c r="V139" i="5" s="1"/>
  <c r="T139" i="5"/>
  <c r="S139" i="5"/>
  <c r="U708" i="5"/>
  <c r="V708" i="5" s="1"/>
  <c r="T708" i="5"/>
  <c r="S708" i="5"/>
  <c r="U666" i="5"/>
  <c r="V666" i="5" s="1"/>
  <c r="T666" i="5"/>
  <c r="S666" i="5"/>
  <c r="U665" i="5"/>
  <c r="V665" i="5" s="1"/>
  <c r="T665" i="5"/>
  <c r="S665" i="5"/>
  <c r="U664" i="5"/>
  <c r="V664" i="5" s="1"/>
  <c r="T664" i="5"/>
  <c r="S664" i="5"/>
  <c r="U663" i="5"/>
  <c r="V663" i="5" s="1"/>
  <c r="T663" i="5"/>
  <c r="S663" i="5"/>
  <c r="U662" i="5"/>
  <c r="V662" i="5" s="1"/>
  <c r="T662" i="5"/>
  <c r="S662" i="5"/>
  <c r="U661" i="5"/>
  <c r="V661" i="5" s="1"/>
  <c r="T661" i="5"/>
  <c r="S661" i="5"/>
  <c r="U659" i="5"/>
  <c r="V659" i="5" s="1"/>
  <c r="T659" i="5"/>
  <c r="S659" i="5"/>
  <c r="U653" i="5"/>
  <c r="V653" i="5" s="1"/>
  <c r="T653" i="5"/>
  <c r="S653" i="5"/>
  <c r="U16" i="5"/>
  <c r="V16" i="5" s="1"/>
  <c r="T16" i="5"/>
  <c r="S16" i="5"/>
  <c r="U430" i="5"/>
  <c r="V430" i="5" s="1"/>
  <c r="T430" i="5"/>
  <c r="S430" i="5"/>
  <c r="U404" i="5"/>
  <c r="V404" i="5" s="1"/>
  <c r="T404" i="5"/>
  <c r="S404" i="5"/>
  <c r="U391" i="5"/>
  <c r="V391" i="5" s="1"/>
  <c r="T391" i="5"/>
  <c r="S391" i="5"/>
  <c r="U277" i="5"/>
  <c r="V277" i="5" s="1"/>
  <c r="T277" i="5"/>
  <c r="S277" i="5"/>
  <c r="U197" i="5"/>
  <c r="V197" i="5" s="1"/>
  <c r="T197" i="5"/>
  <c r="S197" i="5"/>
  <c r="U208" i="5"/>
  <c r="S208" i="5"/>
  <c r="U693" i="5"/>
  <c r="V693" i="5" s="1"/>
  <c r="T693" i="5"/>
  <c r="S693" i="5"/>
  <c r="U684" i="5"/>
  <c r="V684" i="5" s="1"/>
  <c r="T684" i="5"/>
  <c r="S684" i="5"/>
  <c r="U678" i="5"/>
  <c r="V678" i="5" s="1"/>
  <c r="T678" i="5"/>
  <c r="S678" i="5"/>
  <c r="U668" i="5"/>
  <c r="V668" i="5" s="1"/>
  <c r="T668" i="5"/>
  <c r="S668" i="5"/>
  <c r="U644" i="5"/>
  <c r="V644" i="5" s="1"/>
  <c r="T644" i="5"/>
  <c r="S644" i="5"/>
  <c r="U634" i="5"/>
  <c r="V634" i="5" s="1"/>
  <c r="T634" i="5"/>
  <c r="S634" i="5"/>
  <c r="U741" i="5"/>
  <c r="V741" i="5" s="1"/>
  <c r="T741" i="5"/>
  <c r="S741" i="5"/>
  <c r="U739" i="5"/>
  <c r="V739" i="5" s="1"/>
  <c r="T739" i="5"/>
  <c r="S739" i="5"/>
  <c r="U161" i="5"/>
  <c r="V161" i="5" s="1"/>
  <c r="T161" i="5"/>
  <c r="S161" i="5"/>
  <c r="U799" i="5"/>
  <c r="V799" i="5" s="1"/>
  <c r="T799" i="5"/>
  <c r="S799" i="5"/>
  <c r="U798" i="5"/>
  <c r="V798" i="5" s="1"/>
  <c r="T798" i="5"/>
  <c r="S798" i="5"/>
  <c r="U748" i="5"/>
  <c r="V748" i="5" s="1"/>
  <c r="T748" i="5"/>
  <c r="S748" i="5"/>
  <c r="U746" i="5"/>
  <c r="V746" i="5" s="1"/>
  <c r="T746" i="5"/>
  <c r="S746" i="5"/>
  <c r="U745" i="5"/>
  <c r="V745" i="5" s="1"/>
  <c r="T745" i="5"/>
  <c r="S745" i="5"/>
  <c r="U744" i="5"/>
  <c r="V744" i="5" s="1"/>
  <c r="T744" i="5"/>
  <c r="S744" i="5"/>
  <c r="U740" i="5"/>
  <c r="V740" i="5" s="1"/>
  <c r="T740" i="5"/>
  <c r="S740" i="5"/>
  <c r="U738" i="5"/>
  <c r="V738" i="5" s="1"/>
  <c r="T738" i="5"/>
  <c r="S738" i="5"/>
  <c r="U724" i="5"/>
  <c r="V724" i="5" s="1"/>
  <c r="T724" i="5"/>
  <c r="S724" i="5"/>
  <c r="U722" i="5"/>
  <c r="V722" i="5" s="1"/>
  <c r="T722" i="5"/>
  <c r="S722" i="5"/>
  <c r="U703" i="5"/>
  <c r="V703" i="5" s="1"/>
  <c r="T703" i="5"/>
  <c r="S703" i="5"/>
  <c r="U700" i="5"/>
  <c r="V700" i="5" s="1"/>
  <c r="T700" i="5"/>
  <c r="S700" i="5"/>
  <c r="U690" i="5"/>
  <c r="V690" i="5" s="1"/>
  <c r="T690" i="5"/>
  <c r="S690" i="5"/>
  <c r="U515" i="5"/>
  <c r="V515" i="5" s="1"/>
  <c r="T515" i="5"/>
  <c r="S515" i="5"/>
  <c r="U514" i="5"/>
  <c r="V514" i="5" s="1"/>
  <c r="T514" i="5"/>
  <c r="S514" i="5"/>
  <c r="U385" i="5"/>
  <c r="V385" i="5" s="1"/>
  <c r="T385" i="5"/>
  <c r="S385" i="5"/>
  <c r="U377" i="5"/>
  <c r="V377" i="5" s="1"/>
  <c r="T377" i="5"/>
  <c r="S377" i="5"/>
  <c r="U608" i="5"/>
  <c r="V608" i="5" s="1"/>
  <c r="T608" i="5"/>
  <c r="S608" i="5"/>
  <c r="U607" i="5"/>
  <c r="V607" i="5" s="1"/>
  <c r="T607" i="5"/>
  <c r="S607" i="5"/>
  <c r="U816" i="5"/>
  <c r="V816" i="5" s="1"/>
  <c r="T816" i="5"/>
  <c r="S816" i="5"/>
  <c r="U812" i="5"/>
  <c r="V812" i="5" s="1"/>
  <c r="T812" i="5"/>
  <c r="S812" i="5"/>
  <c r="U803" i="5"/>
  <c r="V803" i="5" s="1"/>
  <c r="T803" i="5"/>
  <c r="S803" i="5"/>
  <c r="U772" i="5"/>
  <c r="V772" i="5" s="1"/>
  <c r="T772" i="5"/>
  <c r="S772" i="5"/>
  <c r="U769" i="5"/>
  <c r="V769" i="5" s="1"/>
  <c r="T769" i="5"/>
  <c r="S769" i="5"/>
  <c r="U754" i="5"/>
  <c r="V754" i="5" s="1"/>
  <c r="T754" i="5"/>
  <c r="S754" i="5"/>
  <c r="U718" i="5"/>
  <c r="V718" i="5" s="1"/>
  <c r="T718" i="5"/>
  <c r="S718" i="5"/>
  <c r="U691" i="5"/>
  <c r="V691" i="5" s="1"/>
  <c r="T691" i="5"/>
  <c r="S691" i="5"/>
  <c r="U687" i="5"/>
  <c r="V687" i="5" s="1"/>
  <c r="T687" i="5"/>
  <c r="S687" i="5"/>
  <c r="U656" i="5"/>
  <c r="V656" i="5" s="1"/>
  <c r="T656" i="5"/>
  <c r="S656" i="5"/>
  <c r="U630" i="5"/>
  <c r="V630" i="5" s="1"/>
  <c r="T630" i="5"/>
  <c r="S630" i="5"/>
  <c r="U629" i="5"/>
  <c r="V629" i="5" s="1"/>
  <c r="T629" i="5"/>
  <c r="S629" i="5"/>
  <c r="U615" i="5"/>
  <c r="V615" i="5" s="1"/>
  <c r="T615" i="5"/>
  <c r="S615" i="5"/>
  <c r="U614" i="5"/>
  <c r="V614" i="5" s="1"/>
  <c r="T614" i="5"/>
  <c r="S614" i="5"/>
  <c r="U578" i="5"/>
  <c r="V578" i="5" s="1"/>
  <c r="T578" i="5"/>
  <c r="S578" i="5"/>
  <c r="U576" i="5"/>
  <c r="V576" i="5" s="1"/>
  <c r="T576" i="5"/>
  <c r="S576" i="5"/>
  <c r="U571" i="5"/>
  <c r="V571" i="5" s="1"/>
  <c r="T571" i="5"/>
  <c r="S571" i="5"/>
  <c r="U569" i="5"/>
  <c r="V569" i="5" s="1"/>
  <c r="T569" i="5"/>
  <c r="S569" i="5"/>
  <c r="U562" i="5"/>
  <c r="V562" i="5" s="1"/>
  <c r="T562" i="5"/>
  <c r="S562" i="5"/>
  <c r="U555" i="5"/>
  <c r="V555" i="5" s="1"/>
  <c r="T555" i="5"/>
  <c r="S555" i="5"/>
  <c r="U537" i="5"/>
  <c r="V537" i="5" s="1"/>
  <c r="T537" i="5"/>
  <c r="S537" i="5"/>
  <c r="U536" i="5"/>
  <c r="V536" i="5" s="1"/>
  <c r="T536" i="5"/>
  <c r="S536" i="5"/>
  <c r="U522" i="5"/>
  <c r="V522" i="5" s="1"/>
  <c r="T522" i="5"/>
  <c r="S522" i="5"/>
  <c r="U521" i="5"/>
  <c r="V521" i="5" s="1"/>
  <c r="T521" i="5"/>
  <c r="S521" i="5"/>
  <c r="U520" i="5"/>
  <c r="V520" i="5" s="1"/>
  <c r="T520" i="5"/>
  <c r="S520" i="5"/>
  <c r="U519" i="5"/>
  <c r="V519" i="5" s="1"/>
  <c r="T519" i="5"/>
  <c r="S519" i="5"/>
  <c r="U518" i="5"/>
  <c r="V518" i="5" s="1"/>
  <c r="T518" i="5"/>
  <c r="S518" i="5"/>
  <c r="U504" i="5"/>
  <c r="V504" i="5" s="1"/>
  <c r="T504" i="5"/>
  <c r="S504" i="5"/>
  <c r="U503" i="5"/>
  <c r="V503" i="5" s="1"/>
  <c r="T503" i="5"/>
  <c r="S503" i="5"/>
  <c r="U502" i="5"/>
  <c r="V502" i="5" s="1"/>
  <c r="T502" i="5"/>
  <c r="S502" i="5"/>
  <c r="U499" i="5"/>
  <c r="V499" i="5" s="1"/>
  <c r="T499" i="5"/>
  <c r="S499" i="5"/>
  <c r="U498" i="5"/>
  <c r="V498" i="5" s="1"/>
  <c r="T498" i="5"/>
  <c r="S498" i="5"/>
  <c r="U489" i="5"/>
  <c r="V489" i="5" s="1"/>
  <c r="T489" i="5"/>
  <c r="S489" i="5"/>
  <c r="U488" i="5"/>
  <c r="V488" i="5" s="1"/>
  <c r="T488" i="5"/>
  <c r="S488" i="5"/>
  <c r="U487" i="5"/>
  <c r="V487" i="5" s="1"/>
  <c r="T487" i="5"/>
  <c r="S487" i="5"/>
  <c r="U473" i="5"/>
  <c r="V473" i="5" s="1"/>
  <c r="T473" i="5"/>
  <c r="S473" i="5"/>
  <c r="U442" i="5"/>
  <c r="V442" i="5" s="1"/>
  <c r="T442" i="5"/>
  <c r="S442" i="5"/>
  <c r="U439" i="5"/>
  <c r="V439" i="5" s="1"/>
  <c r="T439" i="5"/>
  <c r="S439" i="5"/>
  <c r="U435" i="5"/>
  <c r="V435" i="5" s="1"/>
  <c r="T435" i="5"/>
  <c r="S435" i="5"/>
  <c r="U394" i="5"/>
  <c r="V394" i="5" s="1"/>
  <c r="T394" i="5"/>
  <c r="S394" i="5"/>
  <c r="U393" i="5"/>
  <c r="V393" i="5" s="1"/>
  <c r="T393" i="5"/>
  <c r="S393" i="5"/>
  <c r="U383" i="5"/>
  <c r="V383" i="5" s="1"/>
  <c r="T383" i="5"/>
  <c r="S383" i="5"/>
  <c r="U368" i="5"/>
  <c r="V368" i="5" s="1"/>
  <c r="T368" i="5"/>
  <c r="S368" i="5"/>
  <c r="U358" i="5"/>
  <c r="V358" i="5" s="1"/>
  <c r="T358" i="5"/>
  <c r="S358" i="5"/>
  <c r="U355" i="5"/>
  <c r="V355" i="5" s="1"/>
  <c r="T355" i="5"/>
  <c r="S355" i="5"/>
  <c r="U354" i="5"/>
  <c r="V354" i="5" s="1"/>
  <c r="T354" i="5"/>
  <c r="S354" i="5"/>
  <c r="U340" i="5"/>
  <c r="V340" i="5" s="1"/>
  <c r="T340" i="5"/>
  <c r="S340" i="5"/>
  <c r="U339" i="5"/>
  <c r="V339" i="5" s="1"/>
  <c r="T339" i="5"/>
  <c r="S339" i="5"/>
  <c r="U322" i="5"/>
  <c r="V322" i="5" s="1"/>
  <c r="T322" i="5"/>
  <c r="S322" i="5"/>
  <c r="U321" i="5"/>
  <c r="V321" i="5" s="1"/>
  <c r="T321" i="5"/>
  <c r="S321" i="5"/>
  <c r="U306" i="5"/>
  <c r="V306" i="5" s="1"/>
  <c r="T306" i="5"/>
  <c r="S306" i="5"/>
  <c r="U283" i="5"/>
  <c r="V283" i="5" s="1"/>
  <c r="T283" i="5"/>
  <c r="S283" i="5"/>
  <c r="U282" i="5"/>
  <c r="V282" i="5" s="1"/>
  <c r="T282" i="5"/>
  <c r="S282" i="5"/>
  <c r="U246" i="5"/>
  <c r="V246" i="5" s="1"/>
  <c r="T246" i="5"/>
  <c r="S246" i="5"/>
  <c r="U245" i="5"/>
  <c r="V245" i="5" s="1"/>
  <c r="T245" i="5"/>
  <c r="S245" i="5"/>
  <c r="U244" i="5"/>
  <c r="V244" i="5" s="1"/>
  <c r="T244" i="5"/>
  <c r="S244" i="5"/>
  <c r="U243" i="5"/>
  <c r="V243" i="5" s="1"/>
  <c r="T243" i="5"/>
  <c r="S243" i="5"/>
  <c r="U221" i="5"/>
  <c r="V221" i="5" s="1"/>
  <c r="T221" i="5"/>
  <c r="S221" i="5"/>
  <c r="U220" i="5"/>
  <c r="V220" i="5" s="1"/>
  <c r="T220" i="5"/>
  <c r="S220" i="5"/>
  <c r="U196" i="5"/>
  <c r="V196" i="5" s="1"/>
  <c r="T196" i="5"/>
  <c r="S196" i="5"/>
  <c r="U195" i="5"/>
  <c r="V195" i="5" s="1"/>
  <c r="T195" i="5"/>
  <c r="S195" i="5"/>
  <c r="U194" i="5"/>
  <c r="V194" i="5" s="1"/>
  <c r="T194" i="5"/>
  <c r="S194" i="5"/>
  <c r="U193" i="5"/>
  <c r="V193" i="5" s="1"/>
  <c r="T193" i="5"/>
  <c r="S193" i="5"/>
  <c r="U192" i="5"/>
  <c r="V192" i="5" s="1"/>
  <c r="T192" i="5"/>
  <c r="S192" i="5"/>
  <c r="U191" i="5"/>
  <c r="V191" i="5" s="1"/>
  <c r="T191" i="5"/>
  <c r="S191" i="5"/>
  <c r="U163" i="5"/>
  <c r="V163" i="5" s="1"/>
  <c r="T163" i="5"/>
  <c r="S163" i="5"/>
  <c r="U162" i="5"/>
  <c r="V162" i="5" s="1"/>
  <c r="T162" i="5"/>
  <c r="S162" i="5"/>
  <c r="U159" i="5"/>
  <c r="V159" i="5" s="1"/>
  <c r="T159" i="5"/>
  <c r="S159" i="5"/>
  <c r="U158" i="5"/>
  <c r="V158" i="5" s="1"/>
  <c r="T158" i="5"/>
  <c r="S158" i="5"/>
  <c r="U157" i="5"/>
  <c r="V157" i="5" s="1"/>
  <c r="T157" i="5"/>
  <c r="S157" i="5"/>
  <c r="U95" i="5"/>
  <c r="V95" i="5" s="1"/>
  <c r="T95" i="5"/>
  <c r="S95" i="5"/>
  <c r="U94" i="5"/>
  <c r="V94" i="5" s="1"/>
  <c r="T94" i="5"/>
  <c r="S94" i="5"/>
  <c r="U93" i="5"/>
  <c r="V93" i="5" s="1"/>
  <c r="T93" i="5"/>
  <c r="S93" i="5"/>
  <c r="U92" i="5"/>
  <c r="V92" i="5" s="1"/>
  <c r="T92" i="5"/>
  <c r="S92" i="5"/>
  <c r="U91" i="5"/>
  <c r="V91" i="5" s="1"/>
  <c r="T91" i="5"/>
  <c r="S91" i="5"/>
  <c r="U90" i="5"/>
  <c r="V90" i="5" s="1"/>
  <c r="T90" i="5"/>
  <c r="S90" i="5"/>
  <c r="U89" i="5"/>
  <c r="V89" i="5" s="1"/>
  <c r="T89" i="5"/>
  <c r="S89" i="5"/>
  <c r="U57" i="5"/>
  <c r="V57" i="5" s="1"/>
  <c r="T57" i="5"/>
  <c r="S57" i="5"/>
  <c r="U56" i="5"/>
  <c r="V56" i="5" s="1"/>
  <c r="T56" i="5"/>
  <c r="S56" i="5"/>
  <c r="U55" i="5"/>
  <c r="V55" i="5" s="1"/>
  <c r="T55" i="5"/>
  <c r="S55" i="5"/>
  <c r="U54" i="5"/>
  <c r="V54" i="5" s="1"/>
  <c r="T54" i="5"/>
  <c r="S54" i="5"/>
  <c r="U53" i="5"/>
  <c r="V53" i="5" s="1"/>
  <c r="T53" i="5"/>
  <c r="S53" i="5"/>
  <c r="U817" i="5"/>
  <c r="V817" i="5" s="1"/>
  <c r="T817" i="5"/>
  <c r="S817" i="5"/>
  <c r="U801" i="5"/>
  <c r="V801" i="5" s="1"/>
  <c r="T801" i="5"/>
  <c r="S801" i="5"/>
  <c r="U800" i="5"/>
  <c r="V800" i="5" s="1"/>
  <c r="T800" i="5"/>
  <c r="S800" i="5"/>
  <c r="U797" i="5"/>
  <c r="V797" i="5" s="1"/>
  <c r="T797" i="5"/>
  <c r="S797" i="5"/>
  <c r="U774" i="5"/>
  <c r="V774" i="5" s="1"/>
  <c r="T774" i="5"/>
  <c r="S774" i="5"/>
  <c r="U757" i="5"/>
  <c r="V757" i="5" s="1"/>
  <c r="T757" i="5"/>
  <c r="S757" i="5"/>
  <c r="U752" i="5"/>
  <c r="V752" i="5" s="1"/>
  <c r="T752" i="5"/>
  <c r="S752" i="5"/>
  <c r="U751" i="5"/>
  <c r="V751" i="5" s="1"/>
  <c r="T751" i="5"/>
  <c r="S751" i="5"/>
  <c r="U742" i="5"/>
  <c r="V742" i="5" s="1"/>
  <c r="T742" i="5"/>
  <c r="S742" i="5"/>
  <c r="U721" i="5"/>
  <c r="V721" i="5" s="1"/>
  <c r="T721" i="5"/>
  <c r="S721" i="5"/>
  <c r="U717" i="5"/>
  <c r="V717" i="5" s="1"/>
  <c r="T717" i="5"/>
  <c r="S717" i="5"/>
  <c r="U707" i="5"/>
  <c r="V707" i="5" s="1"/>
  <c r="T707" i="5"/>
  <c r="S707" i="5"/>
  <c r="U671" i="5"/>
  <c r="V671" i="5" s="1"/>
  <c r="T671" i="5"/>
  <c r="S671" i="5"/>
  <c r="U624" i="5"/>
  <c r="V624" i="5" s="1"/>
  <c r="T624" i="5"/>
  <c r="S624" i="5"/>
  <c r="U604" i="5"/>
  <c r="V604" i="5" s="1"/>
  <c r="T604" i="5"/>
  <c r="S604" i="5"/>
  <c r="U584" i="5"/>
  <c r="V584" i="5" s="1"/>
  <c r="T584" i="5"/>
  <c r="S584" i="5"/>
  <c r="U572" i="5"/>
  <c r="V572" i="5" s="1"/>
  <c r="T572" i="5"/>
  <c r="S572" i="5"/>
  <c r="U563" i="5"/>
  <c r="V563" i="5" s="1"/>
  <c r="T563" i="5"/>
  <c r="S563" i="5"/>
  <c r="U558" i="5"/>
  <c r="V558" i="5" s="1"/>
  <c r="T558" i="5"/>
  <c r="S558" i="5"/>
  <c r="U546" i="5"/>
  <c r="V546" i="5" s="1"/>
  <c r="T546" i="5"/>
  <c r="S546" i="5"/>
  <c r="U544" i="5"/>
  <c r="V544" i="5" s="1"/>
  <c r="T544" i="5"/>
  <c r="S544" i="5"/>
  <c r="U535" i="5"/>
  <c r="V535" i="5" s="1"/>
  <c r="T535" i="5"/>
  <c r="S535" i="5"/>
  <c r="U527" i="5"/>
  <c r="V527" i="5" s="1"/>
  <c r="T527" i="5"/>
  <c r="S527" i="5"/>
  <c r="U525" i="5"/>
  <c r="V525" i="5" s="1"/>
  <c r="T525" i="5"/>
  <c r="S525" i="5"/>
  <c r="U524" i="5"/>
  <c r="V524" i="5" s="1"/>
  <c r="T524" i="5"/>
  <c r="S524" i="5"/>
  <c r="U523" i="5"/>
  <c r="V523" i="5" s="1"/>
  <c r="T523" i="5"/>
  <c r="S523" i="5"/>
  <c r="U517" i="5"/>
  <c r="V517" i="5" s="1"/>
  <c r="T517" i="5"/>
  <c r="S517" i="5"/>
  <c r="U513" i="5"/>
  <c r="V513" i="5" s="1"/>
  <c r="T513" i="5"/>
  <c r="S513" i="5"/>
  <c r="U512" i="5"/>
  <c r="V512" i="5" s="1"/>
  <c r="T512" i="5"/>
  <c r="S512" i="5"/>
  <c r="U511" i="5"/>
  <c r="V511" i="5" s="1"/>
  <c r="T511" i="5"/>
  <c r="S511" i="5"/>
  <c r="U506" i="5"/>
  <c r="V506" i="5" s="1"/>
  <c r="T506" i="5"/>
  <c r="S506" i="5"/>
  <c r="U500" i="5"/>
  <c r="V500" i="5" s="1"/>
  <c r="T500" i="5"/>
  <c r="S500" i="5"/>
  <c r="U482" i="5"/>
  <c r="V482" i="5" s="1"/>
  <c r="T482" i="5"/>
  <c r="S482" i="5"/>
  <c r="U443" i="5"/>
  <c r="V443" i="5" s="1"/>
  <c r="T443" i="5"/>
  <c r="S443" i="5"/>
  <c r="U441" i="5"/>
  <c r="V441" i="5" s="1"/>
  <c r="T441" i="5"/>
  <c r="S441" i="5"/>
  <c r="U440" i="5"/>
  <c r="V440" i="5" s="1"/>
  <c r="T440" i="5"/>
  <c r="S440" i="5"/>
  <c r="U434" i="5"/>
  <c r="V434" i="5" s="1"/>
  <c r="T434" i="5"/>
  <c r="S434" i="5"/>
  <c r="U432" i="5"/>
  <c r="V432" i="5" s="1"/>
  <c r="T432" i="5"/>
  <c r="S432" i="5"/>
  <c r="U431" i="5"/>
  <c r="V431" i="5" s="1"/>
  <c r="T431" i="5"/>
  <c r="S431" i="5"/>
  <c r="U429" i="5"/>
  <c r="V429" i="5" s="1"/>
  <c r="T429" i="5"/>
  <c r="S429" i="5"/>
  <c r="U395" i="5"/>
  <c r="V395" i="5" s="1"/>
  <c r="T395" i="5"/>
  <c r="S395" i="5"/>
  <c r="U375" i="5"/>
  <c r="V375" i="5" s="1"/>
  <c r="T375" i="5"/>
  <c r="S375" i="5"/>
  <c r="U346" i="5"/>
  <c r="V346" i="5" s="1"/>
  <c r="T346" i="5"/>
  <c r="S346" i="5"/>
  <c r="U344" i="5"/>
  <c r="V344" i="5" s="1"/>
  <c r="T344" i="5"/>
  <c r="S344" i="5"/>
  <c r="U335" i="5"/>
  <c r="V335" i="5" s="1"/>
  <c r="T335" i="5"/>
  <c r="S335" i="5"/>
  <c r="U304" i="5"/>
  <c r="V304" i="5" s="1"/>
  <c r="T304" i="5"/>
  <c r="S304" i="5"/>
  <c r="U302" i="5"/>
  <c r="V302" i="5" s="1"/>
  <c r="T302" i="5"/>
  <c r="S302" i="5"/>
  <c r="U281" i="5"/>
  <c r="V281" i="5" s="1"/>
  <c r="T281" i="5"/>
  <c r="S281" i="5"/>
  <c r="U240" i="5"/>
  <c r="V240" i="5" s="1"/>
  <c r="T240" i="5"/>
  <c r="S240" i="5"/>
  <c r="U206" i="5"/>
  <c r="V206" i="5" s="1"/>
  <c r="T206" i="5"/>
  <c r="S206" i="5"/>
  <c r="U205" i="5"/>
  <c r="V205" i="5" s="1"/>
  <c r="T205" i="5"/>
  <c r="S205" i="5"/>
  <c r="U188" i="5"/>
  <c r="V188" i="5" s="1"/>
  <c r="T188" i="5"/>
  <c r="S188" i="5"/>
  <c r="U154" i="5"/>
  <c r="V154" i="5" s="1"/>
  <c r="T154" i="5"/>
  <c r="S154" i="5"/>
  <c r="U130" i="5"/>
  <c r="V130" i="5" s="1"/>
  <c r="T130" i="5"/>
  <c r="S130" i="5"/>
  <c r="U86" i="5"/>
  <c r="V86" i="5" s="1"/>
  <c r="T86" i="5"/>
  <c r="S86" i="5"/>
  <c r="U25" i="5"/>
  <c r="V25" i="5" s="1"/>
  <c r="T25" i="5"/>
  <c r="S25" i="5"/>
  <c r="U22" i="5"/>
  <c r="V22" i="5" s="1"/>
  <c r="T22" i="5"/>
  <c r="S22" i="5"/>
  <c r="U19" i="5"/>
  <c r="V19" i="5" s="1"/>
  <c r="T19" i="5"/>
  <c r="S19" i="5"/>
  <c r="U501" i="5"/>
  <c r="V501" i="5" s="1"/>
  <c r="T501" i="5"/>
  <c r="S501" i="5"/>
  <c r="U613" i="5"/>
  <c r="V613" i="5" s="1"/>
  <c r="T613" i="5"/>
  <c r="S613" i="5"/>
  <c r="R828" i="5"/>
  <c r="U541" i="5"/>
  <c r="T541" i="5"/>
  <c r="T828" i="5" s="1"/>
  <c r="S541" i="5"/>
  <c r="S828" i="5" s="1"/>
  <c r="U507" i="5"/>
  <c r="V507" i="5" s="1"/>
  <c r="T507" i="5"/>
  <c r="S507" i="5"/>
  <c r="U364" i="5"/>
  <c r="V364" i="5" s="1"/>
  <c r="T364" i="5"/>
  <c r="S364" i="5"/>
  <c r="U334" i="5"/>
  <c r="V334" i="5" s="1"/>
  <c r="T334" i="5"/>
  <c r="S334" i="5"/>
  <c r="U331" i="5"/>
  <c r="V331" i="5" s="1"/>
  <c r="T331" i="5"/>
  <c r="S331" i="5"/>
  <c r="U301" i="5"/>
  <c r="V301" i="5" s="1"/>
  <c r="T301" i="5"/>
  <c r="S301" i="5"/>
  <c r="U716" i="5"/>
  <c r="V716" i="5" s="1"/>
  <c r="T716" i="5"/>
  <c r="S716" i="5"/>
  <c r="U547" i="5"/>
  <c r="V547" i="5" s="1"/>
  <c r="T547" i="5"/>
  <c r="S547" i="5"/>
  <c r="U505" i="5"/>
  <c r="V505" i="5" s="1"/>
  <c r="T505" i="5"/>
  <c r="S505" i="5"/>
  <c r="U577" i="5"/>
  <c r="V577" i="5" s="1"/>
  <c r="T577" i="5"/>
  <c r="S577" i="5"/>
  <c r="U612" i="5"/>
  <c r="V612" i="5" s="1"/>
  <c r="T612" i="5"/>
  <c r="S612" i="5"/>
  <c r="U570" i="5"/>
  <c r="V570" i="5" s="1"/>
  <c r="T570" i="5"/>
  <c r="S570" i="5"/>
  <c r="U398" i="5"/>
  <c r="V398" i="5" s="1"/>
  <c r="T398" i="5"/>
  <c r="S398" i="5"/>
  <c r="U390" i="5"/>
  <c r="V390" i="5" s="1"/>
  <c r="T390" i="5"/>
  <c r="S390" i="5"/>
  <c r="U389" i="5"/>
  <c r="V389" i="5" s="1"/>
  <c r="T389" i="5"/>
  <c r="S389" i="5"/>
  <c r="U131" i="5"/>
  <c r="V131" i="5" s="1"/>
  <c r="T131" i="5"/>
  <c r="S131" i="5"/>
  <c r="U50" i="5"/>
  <c r="V50" i="5" s="1"/>
  <c r="T50" i="5"/>
  <c r="S50" i="5"/>
  <c r="U579" i="5"/>
  <c r="V579" i="5" s="1"/>
  <c r="T579" i="5"/>
  <c r="S579" i="5"/>
  <c r="U526" i="5"/>
  <c r="V526" i="5" s="1"/>
  <c r="T526" i="5"/>
  <c r="S526" i="5"/>
  <c r="U825" i="5"/>
  <c r="V825" i="5" s="1"/>
  <c r="T825" i="5"/>
  <c r="S825" i="5"/>
  <c r="U804" i="5"/>
  <c r="V804" i="5" s="1"/>
  <c r="T804" i="5"/>
  <c r="S804" i="5"/>
  <c r="U792" i="5"/>
  <c r="V792" i="5" s="1"/>
  <c r="T792" i="5"/>
  <c r="S792" i="5"/>
  <c r="U789" i="5"/>
  <c r="V789" i="5" s="1"/>
  <c r="T789" i="5"/>
  <c r="S789" i="5"/>
  <c r="U755" i="5"/>
  <c r="V755" i="5" s="1"/>
  <c r="T755" i="5"/>
  <c r="S755" i="5"/>
  <c r="U715" i="5"/>
  <c r="V715" i="5" s="1"/>
  <c r="T715" i="5"/>
  <c r="S715" i="5"/>
  <c r="U598" i="5"/>
  <c r="V598" i="5" s="1"/>
  <c r="T598" i="5"/>
  <c r="S598" i="5"/>
  <c r="U564" i="5"/>
  <c r="V564" i="5" s="1"/>
  <c r="T564" i="5"/>
  <c r="S564" i="5"/>
  <c r="U545" i="5"/>
  <c r="V545" i="5" s="1"/>
  <c r="T545" i="5"/>
  <c r="S545" i="5"/>
  <c r="U303" i="5"/>
  <c r="V303" i="5" s="1"/>
  <c r="T303" i="5"/>
  <c r="S303" i="5"/>
  <c r="U285" i="5"/>
  <c r="V285" i="5" s="1"/>
  <c r="T285" i="5"/>
  <c r="S285" i="5"/>
  <c r="U242" i="5"/>
  <c r="V242" i="5" s="1"/>
  <c r="T242" i="5"/>
  <c r="S242" i="5"/>
  <c r="U241" i="5"/>
  <c r="V241" i="5" s="1"/>
  <c r="T241" i="5"/>
  <c r="S241" i="5"/>
  <c r="U190" i="5"/>
  <c r="V190" i="5" s="1"/>
  <c r="T190" i="5"/>
  <c r="S190" i="5"/>
  <c r="U189" i="5"/>
  <c r="V189" i="5" s="1"/>
  <c r="T189" i="5"/>
  <c r="S189" i="5"/>
  <c r="U156" i="5"/>
  <c r="V156" i="5" s="1"/>
  <c r="T156" i="5"/>
  <c r="S156" i="5"/>
  <c r="U155" i="5"/>
  <c r="V155" i="5" s="1"/>
  <c r="T155" i="5"/>
  <c r="S155" i="5"/>
  <c r="U88" i="5"/>
  <c r="V88" i="5" s="1"/>
  <c r="T88" i="5"/>
  <c r="S88" i="5"/>
  <c r="U87" i="5"/>
  <c r="V87" i="5" s="1"/>
  <c r="T87" i="5"/>
  <c r="S87" i="5"/>
  <c r="U52" i="5"/>
  <c r="V52" i="5" s="1"/>
  <c r="T52" i="5"/>
  <c r="S52" i="5"/>
  <c r="U51" i="5"/>
  <c r="V51" i="5" s="1"/>
  <c r="T51" i="5"/>
  <c r="S51" i="5"/>
  <c r="U795" i="5"/>
  <c r="S795" i="5"/>
  <c r="U734" i="5"/>
  <c r="S734" i="5"/>
  <c r="U729" i="5"/>
  <c r="S729" i="5"/>
  <c r="U725" i="5"/>
  <c r="S725" i="5"/>
  <c r="U495" i="5"/>
  <c r="S495" i="5"/>
  <c r="U279" i="5"/>
  <c r="S279" i="5"/>
  <c r="U828" i="5" l="1"/>
  <c r="Q828" i="5" s="1"/>
  <c r="V541" i="5"/>
  <c r="V828" i="5" s="1"/>
  <c r="U449" i="5"/>
  <c r="Q449" i="5" s="1"/>
  <c r="V249" i="5"/>
  <c r="V449" i="5" s="1"/>
  <c r="U538" i="5"/>
  <c r="Q538" i="5" s="1"/>
  <c r="V451" i="5"/>
  <c r="V538" i="5" s="1"/>
  <c r="U247" i="5"/>
  <c r="Q247" i="5" s="1"/>
  <c r="V5" i="5"/>
  <c r="V247" i="5" s="1"/>
  <c r="M62" i="4"/>
  <c r="J59" i="4"/>
  <c r="S25" i="2"/>
  <c r="S24" i="2"/>
  <c r="S23" i="2"/>
  <c r="S22" i="2"/>
  <c r="S21" i="2"/>
  <c r="S20" i="2"/>
  <c r="R26" i="2" s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6" i="13"/>
  <c r="E6" i="13" s="1"/>
  <c r="L12" i="11"/>
  <c r="C34" i="2" l="1"/>
  <c r="C33" i="2"/>
  <c r="C32" i="2"/>
  <c r="C31" i="2"/>
  <c r="C30" i="2"/>
  <c r="C29" i="2"/>
  <c r="C28" i="2"/>
  <c r="B35" i="2" s="1"/>
  <c r="C43" i="2"/>
  <c r="I47" i="2" s="1"/>
  <c r="C42" i="2"/>
  <c r="G47" i="2" s="1"/>
  <c r="C41" i="2"/>
  <c r="E34" i="2"/>
  <c r="E33" i="2"/>
  <c r="E32" i="2"/>
  <c r="E31" i="2"/>
  <c r="E30" i="2"/>
  <c r="E29" i="2"/>
  <c r="E28" i="2"/>
  <c r="D35" i="2" s="1"/>
  <c r="E43" i="2"/>
  <c r="I48" i="2" s="1"/>
  <c r="E42" i="2"/>
  <c r="G48" i="2" s="1"/>
  <c r="E41" i="2"/>
  <c r="G34" i="2"/>
  <c r="G33" i="2"/>
  <c r="G32" i="2"/>
  <c r="G31" i="2"/>
  <c r="G30" i="2"/>
  <c r="G29" i="2"/>
  <c r="G28" i="2"/>
  <c r="F35" i="2" s="1"/>
  <c r="G43" i="2"/>
  <c r="I49" i="2" s="1"/>
  <c r="G42" i="2"/>
  <c r="G49" i="2" s="1"/>
  <c r="G41" i="2"/>
  <c r="I34" i="2"/>
  <c r="I33" i="2"/>
  <c r="I32" i="2"/>
  <c r="I31" i="2"/>
  <c r="I30" i="2"/>
  <c r="I29" i="2"/>
  <c r="I28" i="2"/>
  <c r="H35" i="2" s="1"/>
  <c r="I43" i="2"/>
  <c r="I50" i="2" s="1"/>
  <c r="I42" i="2"/>
  <c r="G50" i="2" s="1"/>
  <c r="I41" i="2"/>
  <c r="K34" i="2"/>
  <c r="K33" i="2"/>
  <c r="K32" i="2"/>
  <c r="K31" i="2"/>
  <c r="K30" i="2"/>
  <c r="K29" i="2"/>
  <c r="K28" i="2"/>
  <c r="J35" i="2" s="1"/>
  <c r="K43" i="2"/>
  <c r="I52" i="2" s="1"/>
  <c r="K42" i="2"/>
  <c r="G52" i="2" s="1"/>
  <c r="K41" i="2"/>
  <c r="M34" i="2"/>
  <c r="M33" i="2"/>
  <c r="M32" i="2"/>
  <c r="M31" i="2"/>
  <c r="M30" i="2"/>
  <c r="M29" i="2"/>
  <c r="M28" i="2"/>
  <c r="L35" i="2" s="1"/>
  <c r="M43" i="2"/>
  <c r="I53" i="2" s="1"/>
  <c r="M42" i="2"/>
  <c r="G53" i="2" s="1"/>
  <c r="M41" i="2"/>
  <c r="O34" i="2"/>
  <c r="O33" i="2"/>
  <c r="O32" i="2"/>
  <c r="O31" i="2"/>
  <c r="O30" i="2"/>
  <c r="O29" i="2"/>
  <c r="O28" i="2"/>
  <c r="N35" i="2" s="1"/>
  <c r="O43" i="2"/>
  <c r="O42" i="2"/>
  <c r="G58" i="2" s="1"/>
  <c r="O41" i="2"/>
  <c r="Q34" i="2"/>
  <c r="Q33" i="2"/>
  <c r="Q32" i="2"/>
  <c r="Q31" i="2"/>
  <c r="Q30" i="2"/>
  <c r="Q29" i="2"/>
  <c r="Q28" i="2"/>
  <c r="P35" i="2" s="1"/>
  <c r="Q43" i="2"/>
  <c r="Q42" i="2"/>
  <c r="G59" i="2" s="1"/>
  <c r="Q41" i="2"/>
  <c r="S34" i="2"/>
  <c r="S33" i="2"/>
  <c r="S32" i="2"/>
  <c r="S31" i="2"/>
  <c r="S30" i="2"/>
  <c r="S29" i="2"/>
  <c r="S28" i="2"/>
  <c r="R35" i="2" s="1"/>
  <c r="S43" i="2"/>
  <c r="S42" i="2"/>
  <c r="G61" i="2" s="1"/>
  <c r="S41" i="2"/>
  <c r="F9" i="7"/>
  <c r="F8" i="7"/>
  <c r="F7" i="7"/>
  <c r="F6" i="7"/>
  <c r="S37" i="2" l="1"/>
  <c r="R39" i="2" s="1"/>
  <c r="Q37" i="2"/>
  <c r="P39" i="2" s="1"/>
  <c r="O37" i="2"/>
  <c r="N39" i="2" s="1"/>
  <c r="M37" i="2"/>
  <c r="L39" i="2" s="1"/>
  <c r="K37" i="2"/>
  <c r="J39" i="2" s="1"/>
  <c r="I37" i="2"/>
  <c r="H39" i="2" s="1"/>
  <c r="G37" i="2"/>
  <c r="F39" i="2" s="1"/>
  <c r="E37" i="2"/>
  <c r="D39" i="2" s="1"/>
  <c r="C37" i="2"/>
  <c r="B39" i="2" s="1"/>
  <c r="E47" i="2" l="1"/>
  <c r="C47" i="2"/>
  <c r="E48" i="2"/>
  <c r="C48" i="2"/>
  <c r="E49" i="2"/>
  <c r="C49" i="2"/>
  <c r="E50" i="2"/>
  <c r="C50" i="2"/>
  <c r="E52" i="2"/>
  <c r="C52" i="2"/>
  <c r="E53" i="2"/>
  <c r="C53" i="2"/>
  <c r="E58" i="2"/>
  <c r="C58" i="2"/>
  <c r="E59" i="2"/>
  <c r="C59" i="2"/>
  <c r="E61" i="2"/>
  <c r="C61" i="2"/>
  <c r="C51" i="2"/>
  <c r="B54" i="2"/>
  <c r="H16" i="3"/>
  <c r="J41" i="4"/>
  <c r="I38" i="6"/>
  <c r="E51" i="2"/>
  <c r="D54" i="2"/>
  <c r="H75" i="3"/>
  <c r="J56" i="4"/>
  <c r="I53" i="6"/>
  <c r="I9" i="7"/>
  <c r="L9" i="7"/>
  <c r="M9" i="7"/>
  <c r="F13" i="8"/>
  <c r="F14" i="8"/>
  <c r="F15" i="8"/>
  <c r="F18" i="8"/>
  <c r="H9" i="7"/>
  <c r="J9" i="7"/>
  <c r="F10" i="8"/>
  <c r="G9" i="7"/>
  <c r="K9" i="7"/>
  <c r="F11" i="8"/>
  <c r="F12" i="8"/>
  <c r="I8" i="7"/>
  <c r="L8" i="7"/>
  <c r="M8" i="7"/>
  <c r="E13" i="8"/>
  <c r="E14" i="8"/>
  <c r="E15" i="8"/>
  <c r="E18" i="8"/>
  <c r="H8" i="7"/>
  <c r="J8" i="7"/>
  <c r="E10" i="8"/>
  <c r="G8" i="7"/>
  <c r="K8" i="7"/>
  <c r="E11" i="8"/>
  <c r="E12" i="8"/>
  <c r="I7" i="7"/>
  <c r="L7" i="7"/>
  <c r="M7" i="7"/>
  <c r="D13" i="8"/>
  <c r="D14" i="8"/>
  <c r="D15" i="8"/>
  <c r="D18" i="8"/>
  <c r="H7" i="7"/>
  <c r="J7" i="7"/>
  <c r="D10" i="8"/>
  <c r="G7" i="7"/>
  <c r="K7" i="7"/>
  <c r="D11" i="8"/>
  <c r="D12" i="8"/>
  <c r="I6" i="7"/>
  <c r="L6" i="7"/>
  <c r="M6" i="7"/>
  <c r="M10" i="7"/>
  <c r="M13" i="7"/>
  <c r="M15" i="7"/>
  <c r="L10" i="7"/>
  <c r="L13" i="7"/>
  <c r="L15" i="7"/>
  <c r="C13" i="8"/>
  <c r="C14" i="8"/>
  <c r="C15" i="8"/>
  <c r="B15" i="8"/>
  <c r="B14" i="8"/>
  <c r="C18" i="8"/>
  <c r="B13" i="8"/>
  <c r="D4" i="13"/>
  <c r="E4" i="13"/>
  <c r="C60" i="2"/>
  <c r="B62" i="2"/>
  <c r="G6" i="10"/>
  <c r="I6" i="10"/>
  <c r="J6" i="10"/>
  <c r="K6" i="10"/>
  <c r="G60" i="2"/>
  <c r="F62" i="2"/>
  <c r="G7" i="10"/>
  <c r="I7" i="10"/>
  <c r="J7" i="10"/>
  <c r="K7" i="10"/>
  <c r="E60" i="2"/>
  <c r="D62" i="2"/>
  <c r="G8" i="10"/>
  <c r="I8" i="10"/>
  <c r="J8" i="10"/>
  <c r="K8" i="10"/>
  <c r="K9" i="10"/>
  <c r="K11" i="10"/>
  <c r="D5" i="13"/>
  <c r="E5" i="13"/>
  <c r="D8" i="13"/>
  <c r="E8" i="13"/>
  <c r="H6" i="7"/>
  <c r="J6" i="7"/>
  <c r="J10" i="7"/>
  <c r="J13" i="7"/>
  <c r="C10" i="8"/>
  <c r="B10" i="8"/>
  <c r="C4" i="13"/>
  <c r="C8" i="13"/>
  <c r="G6" i="7"/>
  <c r="K6" i="7"/>
  <c r="K10" i="7"/>
  <c r="K13" i="7"/>
  <c r="B12" i="8"/>
  <c r="C11" i="8"/>
  <c r="B11" i="8"/>
  <c r="B4" i="13"/>
  <c r="B8" i="13"/>
  <c r="C12" i="8"/>
  <c r="I51" i="2"/>
  <c r="H54" i="2"/>
  <c r="G51" i="2"/>
  <c r="F54" i="2"/>
  <c r="L56" i="4"/>
  <c r="Q279" i="5"/>
  <c r="T279" i="5"/>
  <c r="Q495" i="5"/>
  <c r="T495" i="5"/>
  <c r="Q725" i="5"/>
  <c r="T725" i="5"/>
  <c r="Q729" i="5"/>
  <c r="T729" i="5"/>
  <c r="Q734" i="5"/>
  <c r="T734" i="5"/>
  <c r="Q795" i="5"/>
  <c r="T795" i="5"/>
  <c r="H6" i="3"/>
  <c r="H7" i="3"/>
  <c r="H8" i="3"/>
  <c r="H9" i="3"/>
  <c r="H10" i="3"/>
  <c r="H11" i="3"/>
  <c r="H12" i="3"/>
  <c r="H13" i="3"/>
  <c r="H14" i="3"/>
  <c r="H15" i="3"/>
  <c r="L41" i="4"/>
  <c r="Q208" i="5"/>
  <c r="T208" i="5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L8" i="10"/>
  <c r="L7" i="10"/>
  <c r="L6" i="10"/>
  <c r="L9" i="10"/>
  <c r="L11" i="10"/>
  <c r="N41" i="4"/>
  <c r="N56" i="4"/>
  <c r="B18" i="8"/>
  <c r="L57" i="4"/>
  <c r="N57" i="4"/>
  <c r="N62" i="4"/>
  <c r="V208" i="5"/>
  <c r="V795" i="5"/>
  <c r="V734" i="5"/>
  <c r="V729" i="5"/>
  <c r="V725" i="5"/>
  <c r="V495" i="5"/>
  <c r="V279" i="5"/>
</calcChain>
</file>

<file path=xl/sharedStrings.xml><?xml version="1.0" encoding="utf-8"?>
<sst xmlns="http://schemas.openxmlformats.org/spreadsheetml/2006/main" count="10776" uniqueCount="1445">
  <si>
    <t>Blad 'Omreken'</t>
  </si>
  <si>
    <t>Dit blad mag niet worden gewijzigd!</t>
  </si>
  <si>
    <t>Type:</t>
  </si>
  <si>
    <t>Invultabel</t>
  </si>
  <si>
    <t xml:space="preserve">werkdag                  </t>
  </si>
  <si>
    <t xml:space="preserve">per jaar: </t>
  </si>
  <si>
    <t xml:space="preserve">per week: </t>
  </si>
  <si>
    <t>FREQ</t>
  </si>
  <si>
    <t>FACTOR</t>
  </si>
  <si>
    <t>205J</t>
  </si>
  <si>
    <t>5W</t>
  </si>
  <si>
    <t>4W</t>
  </si>
  <si>
    <t>123J</t>
  </si>
  <si>
    <t>3W</t>
  </si>
  <si>
    <t>82J</t>
  </si>
  <si>
    <t>2W</t>
  </si>
  <si>
    <t>41J</t>
  </si>
  <si>
    <t>1W</t>
  </si>
  <si>
    <t>26J</t>
  </si>
  <si>
    <t>20J</t>
  </si>
  <si>
    <t>12J</t>
  </si>
  <si>
    <t>6J</t>
  </si>
  <si>
    <t>4J</t>
  </si>
  <si>
    <t>3J</t>
  </si>
  <si>
    <t>2J</t>
  </si>
  <si>
    <t>1J</t>
  </si>
  <si>
    <t xml:space="preserve">werkdag extra            </t>
  </si>
  <si>
    <t xml:space="preserve">werkdag vakantie         </t>
  </si>
  <si>
    <t xml:space="preserve">weekenddag               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</si>
  <si>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</si>
  <si>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</si>
  <si>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</si>
  <si>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</si>
  <si>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</si>
  <si>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</si>
  <si>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</si>
  <si>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</si>
  <si>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</si>
  <si>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</si>
  <si>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</si>
  <si>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</si>
  <si>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</si>
  <si>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</si>
  <si>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</si>
  <si>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specialist vloeren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</si>
  <si>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</si>
  <si>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</si>
  <si>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</si>
  <si>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</si>
  <si>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</si>
  <si>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</si>
  <si>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</si>
  <si>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</si>
  <si>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</si>
  <si>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</si>
  <si>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</si>
  <si>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</si>
  <si>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</si>
  <si>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</si>
  <si>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</si>
  <si>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</si>
  <si>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</si>
  <si>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</si>
  <si>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</si>
  <si>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</si>
  <si>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</si>
  <si>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</si>
  <si>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</si>
  <si>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</si>
  <si>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</si>
  <si>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</si>
  <si>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</si>
  <si>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</si>
  <si>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</si>
  <si>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</si>
  <si>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</si>
  <si>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</si>
  <si>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</si>
  <si>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</si>
  <si>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</si>
  <si>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</si>
  <si>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</si>
  <si>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</si>
  <si>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</si>
  <si>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</si>
  <si>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Werkdag (specialistisch vloer)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</si>
  <si>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</si>
  <si>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</si>
  <si>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</si>
  <si>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</si>
  <si>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</si>
  <si>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</si>
  <si>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</si>
  <si>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</si>
  <si>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</si>
  <si>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Regie weekend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</si>
  <si>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</si>
  <si>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</si>
  <si>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</si>
  <si>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</si>
  <si>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</si>
  <si>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</si>
  <si>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</si>
  <si>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</si>
  <si>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</si>
  <si>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</si>
  <si>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AFVB</t>
  </si>
  <si>
    <t xml:space="preserve">AFV  </t>
  </si>
  <si>
    <t>Afvalbak afnemen/zak verwisselen (basis)</t>
  </si>
  <si>
    <t>m²/uur</t>
  </si>
  <si>
    <t>AFVV</t>
  </si>
  <si>
    <t>Afvalbak afnemen/zak verwisselen (volledig)</t>
  </si>
  <si>
    <t>GFHB</t>
  </si>
  <si>
    <t xml:space="preserve">G    </t>
  </si>
  <si>
    <t>Fitnessruimten - harde vloeren (basis)</t>
  </si>
  <si>
    <t>GFHV</t>
  </si>
  <si>
    <t>Fitnessruimten - harde vloeren (volledig)</t>
  </si>
  <si>
    <t>GSHB</t>
  </si>
  <si>
    <t>Gymzalen/sportruimten/toestelberging - harde vloeren (basis)</t>
  </si>
  <si>
    <t>GSHV</t>
  </si>
  <si>
    <t>Gymzalen/sportruimten/toestelberging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</si>
  <si>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</si>
  <si>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</si>
  <si>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</si>
  <si>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</si>
  <si>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</si>
  <si>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</si>
  <si>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</si>
  <si>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</si>
  <si>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</si>
  <si>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</si>
  <si>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</si>
  <si>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</si>
  <si>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</si>
  <si>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</si>
  <si>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</si>
  <si>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</si>
  <si>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</si>
  <si>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</si>
  <si>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</si>
  <si>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</si>
  <si>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</si>
  <si>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</si>
  <si>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</si>
  <si>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</si>
  <si>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</si>
  <si>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</si>
  <si>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</si>
  <si>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</si>
  <si>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</si>
  <si>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</si>
  <si>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</si>
  <si>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</si>
  <si>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</si>
  <si>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</si>
  <si>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</si>
  <si>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</si>
  <si>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</si>
  <si>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</si>
  <si>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</si>
  <si>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</si>
  <si>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</si>
  <si>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</si>
  <si>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</si>
  <si>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</si>
  <si>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</si>
  <si>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</si>
  <si>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</si>
  <si>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</si>
  <si>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</si>
  <si>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</si>
  <si>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</si>
  <si>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</si>
  <si>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</si>
  <si>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</si>
  <si>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</si>
  <si>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</si>
  <si>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</si>
  <si>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</si>
  <si>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</si>
  <si>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</si>
  <si>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</si>
  <si>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</si>
  <si>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</si>
  <si>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</si>
  <si>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</si>
  <si>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</si>
  <si>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</si>
  <si>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</si>
  <si>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</si>
  <si>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</si>
  <si>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</si>
  <si>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</si>
  <si>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</si>
  <si>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</si>
  <si>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</si>
  <si>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</si>
  <si>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</si>
  <si>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BVHB</t>
  </si>
  <si>
    <t>Vergaderruimten - harde vloeren (basis)</t>
  </si>
  <si>
    <t>BVHV</t>
  </si>
  <si>
    <t>Vergaderruimten - harde vloeren (volledig)</t>
  </si>
  <si>
    <t>BVZB</t>
  </si>
  <si>
    <t>Vergaderruimten - zachte vloeren (basis)</t>
  </si>
  <si>
    <t>BVZV</t>
  </si>
  <si>
    <t>Vergaderruimten - zachte vloeren (volledig)</t>
  </si>
  <si>
    <t>LAHB</t>
  </si>
  <si>
    <t>Auditoria - harde vloeren (basis)</t>
  </si>
  <si>
    <t>LAHV</t>
  </si>
  <si>
    <t>Auditoria - harde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</si>
  <si>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</si>
  <si>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</si>
  <si>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</si>
  <si>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</si>
  <si>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</si>
  <si>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</si>
  <si>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</si>
  <si>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</si>
  <si>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</si>
  <si>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</si>
  <si>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</si>
  <si>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</si>
  <si>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</si>
  <si>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</si>
  <si>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</si>
  <si>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</si>
  <si>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MAHB</t>
  </si>
  <si>
    <t>Mediatheek/bibliotheek- harde vloeren (basis)</t>
  </si>
  <si>
    <t>MAHV</t>
  </si>
  <si>
    <t>Mediatheek/bibliotheek- harde vloeren (volledig)</t>
  </si>
  <si>
    <t>PAHB</t>
  </si>
  <si>
    <t>Praktijk atelier - harde vloeren (basis)</t>
  </si>
  <si>
    <t>PAHV</t>
  </si>
  <si>
    <t>Praktijk atelier - harde vloeren (volledig)</t>
  </si>
  <si>
    <t>PLHB</t>
  </si>
  <si>
    <t>Praktijk labs - harde vloeren (basis)</t>
  </si>
  <si>
    <t>PLHV</t>
  </si>
  <si>
    <t>Praktijk labs - harde vloeren (volledig)</t>
  </si>
  <si>
    <t>PSHB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</si>
  <si>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</si>
  <si>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</si>
  <si>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</si>
  <si>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</si>
  <si>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</si>
  <si>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</si>
  <si>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</si>
  <si>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XDGB</t>
  </si>
  <si>
    <t xml:space="preserve">XD   </t>
  </si>
  <si>
    <t>Dieptereiniging  gymzaalvloer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</si>
  <si>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</si>
  <si>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</si>
  <si>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</si>
  <si>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</si>
  <si>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</si>
  <si>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</si>
  <si>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</si>
  <si>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</si>
  <si>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AFV</t>
  </si>
  <si>
    <t>interieur</t>
  </si>
  <si>
    <t>Afvalbak afnemen/zak verwisselen</t>
  </si>
  <si>
    <t>BKH</t>
  </si>
  <si>
    <t>Bureaukamers - harde vloeren</t>
  </si>
  <si>
    <t>BKZ</t>
  </si>
  <si>
    <t>Bureaukamers - zachte vloeren</t>
  </si>
  <si>
    <t>BVH</t>
  </si>
  <si>
    <t>Vergaderruimten - harde vloeren</t>
  </si>
  <si>
    <t>BVZ</t>
  </si>
  <si>
    <t>Vergaderruimten - zachte vloeren</t>
  </si>
  <si>
    <t>GFH</t>
  </si>
  <si>
    <t>Fitnessruimte - harde vloeren</t>
  </si>
  <si>
    <t>GSH</t>
  </si>
  <si>
    <t>Gymzaal/sportruimten/toestelberging - harde vloeren</t>
  </si>
  <si>
    <t>KAH</t>
  </si>
  <si>
    <t>Aula/kantine - harde vloeren</t>
  </si>
  <si>
    <t>KDH</t>
  </si>
  <si>
    <t>Docentenkamer - harde vloeren</t>
  </si>
  <si>
    <t>KDZ</t>
  </si>
  <si>
    <t>Docentenkamer - zachte vloeren</t>
  </si>
  <si>
    <t>KPH</t>
  </si>
  <si>
    <t>Pantry - harde vloeren</t>
  </si>
  <si>
    <t>LAH</t>
  </si>
  <si>
    <t>Auditoria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</si>
  <si>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</si>
  <si>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</si>
  <si>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</si>
  <si>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</si>
  <si>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</si>
  <si>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</si>
  <si>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</si>
  <si>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</si>
  <si>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</si>
  <si>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</si>
  <si>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OAH</t>
  </si>
  <si>
    <t>Opslag/archief/magazijn - harde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</si>
  <si>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</si>
  <si>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</si>
  <si>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</si>
  <si>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</si>
  <si>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</si>
  <si>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</si>
  <si>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</si>
  <si>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</si>
  <si>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</si>
  <si>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</si>
  <si>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</si>
  <si>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</si>
  <si>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</si>
  <si>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</si>
  <si>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</si>
  <si>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</si>
  <si>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</si>
  <si>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</si>
  <si>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</si>
  <si>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</si>
  <si>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VAZ</t>
  </si>
  <si>
    <t>Verkeer algemeen - zachte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</si>
  <si>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</si>
  <si>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</si>
  <si>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</si>
  <si>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</si>
  <si>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</si>
  <si>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</si>
  <si>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VTH</t>
  </si>
  <si>
    <t>Trap - harde vloeren</t>
  </si>
  <si>
    <t>XD</t>
  </si>
  <si>
    <t>extra</t>
  </si>
  <si>
    <t>Dieptereiniging gymzaalvloer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</si>
  <si>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</si>
  <si>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</si>
  <si>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</si>
  <si>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</si>
  <si>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</si>
  <si>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</si>
  <si>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</si>
  <si>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</si>
  <si>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</si>
  <si>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</si>
  <si>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</si>
  <si>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VSR</t>
  </si>
  <si>
    <t>UREN HOOG-FREQUENT/ DAG</t>
  </si>
  <si>
    <t>053 - De Langstraat, Walewyc/Dr. Moller, Olympiaweg 8a-8b, WAALWIJK</t>
  </si>
  <si>
    <t>053</t>
  </si>
  <si>
    <t>00</t>
  </si>
  <si>
    <t>A0.01</t>
  </si>
  <si>
    <t>Aula</t>
  </si>
  <si>
    <t>pvc</t>
  </si>
  <si>
    <t>V</t>
  </si>
  <si>
    <t>A0.02</t>
  </si>
  <si>
    <t>pantry</t>
  </si>
  <si>
    <t>linoleum</t>
  </si>
  <si>
    <t>N.I.O.</t>
  </si>
  <si>
    <t>A0.03</t>
  </si>
  <si>
    <t>B&amp;O</t>
  </si>
  <si>
    <t>tapijt</t>
  </si>
  <si>
    <t>A0.04</t>
  </si>
  <si>
    <t>Breakout</t>
  </si>
  <si>
    <t>A0.05</t>
  </si>
  <si>
    <t>directie</t>
  </si>
  <si>
    <t>A0.06</t>
  </si>
  <si>
    <t>receptie/kantoor</t>
  </si>
  <si>
    <t>A0.07</t>
  </si>
  <si>
    <t>receptie</t>
  </si>
  <si>
    <t>A0.08</t>
  </si>
  <si>
    <t>A0.09</t>
  </si>
  <si>
    <t>Concierge</t>
  </si>
  <si>
    <t>B</t>
  </si>
  <si>
    <t>A0.10</t>
  </si>
  <si>
    <t>kantoor</t>
  </si>
  <si>
    <t>A0.11</t>
  </si>
  <si>
    <t>Theater</t>
  </si>
  <si>
    <t>A0.12</t>
  </si>
  <si>
    <t>Catering</t>
  </si>
  <si>
    <t>A0.33</t>
  </si>
  <si>
    <t>Gang</t>
  </si>
  <si>
    <t>A0.34</t>
  </si>
  <si>
    <t>A0.35</t>
  </si>
  <si>
    <t>A0.36</t>
  </si>
  <si>
    <t>A0.37</t>
  </si>
  <si>
    <t>A0.38</t>
  </si>
  <si>
    <t>Berging theater</t>
  </si>
  <si>
    <t>A0.39</t>
  </si>
  <si>
    <t>A0.41</t>
  </si>
  <si>
    <t>A0.46</t>
  </si>
  <si>
    <t>Opslag</t>
  </si>
  <si>
    <t>B0.01</t>
  </si>
  <si>
    <t>VMBO 1</t>
  </si>
  <si>
    <t>L</t>
  </si>
  <si>
    <t>B0.02</t>
  </si>
  <si>
    <t>B0.03</t>
  </si>
  <si>
    <t>B0.04</t>
  </si>
  <si>
    <t>B0.05</t>
  </si>
  <si>
    <t>OLC VMBO 1</t>
  </si>
  <si>
    <t>B0.06</t>
  </si>
  <si>
    <t>Werkplek</t>
  </si>
  <si>
    <t>B0.07</t>
  </si>
  <si>
    <t>B0.08</t>
  </si>
  <si>
    <t>B0.09</t>
  </si>
  <si>
    <t>OLC VMBO 2</t>
  </si>
  <si>
    <t>B0.10</t>
  </si>
  <si>
    <t>B0.11</t>
  </si>
  <si>
    <t>B0.12</t>
  </si>
  <si>
    <t>B0.13</t>
  </si>
  <si>
    <t>VMBO 2</t>
  </si>
  <si>
    <t>B0.14</t>
  </si>
  <si>
    <t>B0.15</t>
  </si>
  <si>
    <t>B0.16</t>
  </si>
  <si>
    <t>Magazijn</t>
  </si>
  <si>
    <t>B0.17</t>
  </si>
  <si>
    <t>Repro</t>
  </si>
  <si>
    <t>B0.18</t>
  </si>
  <si>
    <t>B0.19</t>
  </si>
  <si>
    <t>B0.31</t>
  </si>
  <si>
    <t>beton trappen</t>
  </si>
  <si>
    <t>beton</t>
  </si>
  <si>
    <t>B0.32</t>
  </si>
  <si>
    <t>B0.34</t>
  </si>
  <si>
    <t>Toilet</t>
  </si>
  <si>
    <t>S</t>
  </si>
  <si>
    <t>B0.35</t>
  </si>
  <si>
    <t>B0.38</t>
  </si>
  <si>
    <t>B0.39</t>
  </si>
  <si>
    <t>B0.40</t>
  </si>
  <si>
    <t>C0.01</t>
  </si>
  <si>
    <t>leslokaal</t>
  </si>
  <si>
    <t>C0.02</t>
  </si>
  <si>
    <t>C0.03</t>
  </si>
  <si>
    <t>C0.04</t>
  </si>
  <si>
    <t>C0.05</t>
  </si>
  <si>
    <t>C0.06</t>
  </si>
  <si>
    <t>C0.07</t>
  </si>
  <si>
    <t>C0.08</t>
  </si>
  <si>
    <t>C0.09</t>
  </si>
  <si>
    <t>C0.10</t>
  </si>
  <si>
    <t>C0.11</t>
  </si>
  <si>
    <t>C0.12</t>
  </si>
  <si>
    <t>C0.13</t>
  </si>
  <si>
    <t>C0.14</t>
  </si>
  <si>
    <t>OLC</t>
  </si>
  <si>
    <t>C0.15</t>
  </si>
  <si>
    <t>Orthopedagoog</t>
  </si>
  <si>
    <t>C0.16</t>
  </si>
  <si>
    <t>Leerj. Coördinatoren</t>
  </si>
  <si>
    <t>C0.17</t>
  </si>
  <si>
    <t>Teamcoach</t>
  </si>
  <si>
    <t>C0.18</t>
  </si>
  <si>
    <t>C0.19</t>
  </si>
  <si>
    <t>EHBO</t>
  </si>
  <si>
    <t>C0.20</t>
  </si>
  <si>
    <t>C0.21</t>
  </si>
  <si>
    <t>C0.23</t>
  </si>
  <si>
    <t>C0.30</t>
  </si>
  <si>
    <t>C0.31</t>
  </si>
  <si>
    <t>Trap</t>
  </si>
  <si>
    <t>C0.32</t>
  </si>
  <si>
    <t>C0.34</t>
  </si>
  <si>
    <t>toiletten</t>
  </si>
  <si>
    <t>C0.35</t>
  </si>
  <si>
    <t>C0.38</t>
  </si>
  <si>
    <t>C0.39</t>
  </si>
  <si>
    <t>C0.40</t>
  </si>
  <si>
    <t>C0.41</t>
  </si>
  <si>
    <t>Toilet personeel</t>
  </si>
  <si>
    <t>C0.42</t>
  </si>
  <si>
    <t>Toilet miva personeel</t>
  </si>
  <si>
    <t>01</t>
  </si>
  <si>
    <t>A1.01</t>
  </si>
  <si>
    <t>Kantoor S.G.</t>
  </si>
  <si>
    <t>A1.02</t>
  </si>
  <si>
    <t>A1.03</t>
  </si>
  <si>
    <t>Manager bedrijfsvoering</t>
  </si>
  <si>
    <t>A1.04</t>
  </si>
  <si>
    <t>Rector</t>
  </si>
  <si>
    <t>A1.05</t>
  </si>
  <si>
    <t>Spreekkamer</t>
  </si>
  <si>
    <t>A1.06</t>
  </si>
  <si>
    <t>A1.07</t>
  </si>
  <si>
    <t>A1.08</t>
  </si>
  <si>
    <t>A1.09</t>
  </si>
  <si>
    <t>A1.10</t>
  </si>
  <si>
    <t>werkplek</t>
  </si>
  <si>
    <t>A1.11</t>
  </si>
  <si>
    <t>A1.12</t>
  </si>
  <si>
    <t>A1.13</t>
  </si>
  <si>
    <t>ICT</t>
  </si>
  <si>
    <t>A1.14</t>
  </si>
  <si>
    <t>vergaderruimte</t>
  </si>
  <si>
    <t>A1.15</t>
  </si>
  <si>
    <t>A1.16</t>
  </si>
  <si>
    <t>personeelskamer</t>
  </si>
  <si>
    <t>A1.17</t>
  </si>
  <si>
    <t>A1.18</t>
  </si>
  <si>
    <t>A1.23</t>
  </si>
  <si>
    <t>A1.31</t>
  </si>
  <si>
    <t>omloop</t>
  </si>
  <si>
    <t>bolidt</t>
  </si>
  <si>
    <t>A1.34</t>
  </si>
  <si>
    <t>Portaal lift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</si>
  <si>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</si>
  <si>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</si>
  <si>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</si>
  <si>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</si>
  <si>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</si>
  <si>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</si>
  <si>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</si>
  <si>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</si>
  <si>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leslokaal Z&amp;W</t>
  </si>
  <si>
    <t>B1.09</t>
  </si>
  <si>
    <t>leslokaal  H&amp;A</t>
  </si>
  <si>
    <t>B1.10</t>
  </si>
  <si>
    <t>overlegruimte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</si>
  <si>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</si>
  <si>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</si>
  <si>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</si>
  <si>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</si>
  <si>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</si>
  <si>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</si>
  <si>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</si>
  <si>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</si>
  <si>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B1.30</t>
  </si>
  <si>
    <t>gang</t>
  </si>
  <si>
    <t>B1.31</t>
  </si>
  <si>
    <t>B1.32</t>
  </si>
  <si>
    <t>B1.34</t>
  </si>
  <si>
    <t>B1.35</t>
  </si>
  <si>
    <t>B1.38</t>
  </si>
  <si>
    <t>B1.40</t>
  </si>
  <si>
    <t>werkkast</t>
  </si>
  <si>
    <t>B1.41</t>
  </si>
  <si>
    <t>douche</t>
  </si>
  <si>
    <t>B1.42</t>
  </si>
  <si>
    <t>toiletten personeel</t>
  </si>
  <si>
    <t>B1.43</t>
  </si>
  <si>
    <t>C1.01</t>
  </si>
  <si>
    <t>AK/GS/MA/LB</t>
  </si>
  <si>
    <t>C1.02</t>
  </si>
  <si>
    <t>C1.03</t>
  </si>
  <si>
    <t>C1.04</t>
  </si>
  <si>
    <t>C1.05</t>
  </si>
  <si>
    <t>C1.06</t>
  </si>
  <si>
    <t>C1.07</t>
  </si>
  <si>
    <t>EC/WI</t>
  </si>
  <si>
    <t>C1.08</t>
  </si>
  <si>
    <t>C1.09</t>
  </si>
  <si>
    <t>C1.10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</si>
  <si>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</si>
  <si>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</si>
  <si>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</si>
  <si>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</si>
  <si>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</si>
  <si>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</si>
  <si>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</si>
  <si>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</si>
  <si>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</si>
  <si>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</si>
  <si>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</si>
  <si>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</si>
  <si>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C1.30</t>
  </si>
  <si>
    <t>C1.31</t>
  </si>
  <si>
    <t>C1.32</t>
  </si>
  <si>
    <t>C1.34</t>
  </si>
  <si>
    <t>C1.35</t>
  </si>
  <si>
    <t>C1.38</t>
  </si>
  <si>
    <t>C1.39</t>
  </si>
  <si>
    <t>C1.41</t>
  </si>
  <si>
    <t>C1.42</t>
  </si>
  <si>
    <t>02</t>
  </si>
  <si>
    <t>A2.01</t>
  </si>
  <si>
    <t>technieklokaal</t>
  </si>
  <si>
    <t>linoleum antie slip</t>
  </si>
  <si>
    <t>A2.01a</t>
  </si>
  <si>
    <t>Berging</t>
  </si>
  <si>
    <t>A2.02</t>
  </si>
  <si>
    <t>A2.04</t>
  </si>
  <si>
    <t>A2.05</t>
  </si>
  <si>
    <t>A2.06</t>
  </si>
  <si>
    <t>A2.07</t>
  </si>
  <si>
    <t>A2.30</t>
  </si>
  <si>
    <t>miva toiletten</t>
  </si>
  <si>
    <t>A2.31/32</t>
  </si>
  <si>
    <t>A2.33</t>
  </si>
  <si>
    <t>hal</t>
  </si>
  <si>
    <t>A2.36</t>
  </si>
  <si>
    <t>lift</t>
  </si>
  <si>
    <t>A2.40</t>
  </si>
  <si>
    <t>houtmot techniek</t>
  </si>
  <si>
    <t>B2.01</t>
  </si>
  <si>
    <t>Leslokaal</t>
  </si>
  <si>
    <t>B2.02</t>
  </si>
  <si>
    <t>B2.03</t>
  </si>
  <si>
    <t>B2.04</t>
  </si>
  <si>
    <t>Kantoor</t>
  </si>
  <si>
    <t>B2.05</t>
  </si>
  <si>
    <t>B2.06</t>
  </si>
  <si>
    <t>B2.07</t>
  </si>
  <si>
    <t>B2.08</t>
  </si>
  <si>
    <t>B2.09</t>
  </si>
  <si>
    <t>Collegezaal</t>
  </si>
  <si>
    <t>B2.10</t>
  </si>
  <si>
    <t>B2.34</t>
  </si>
  <si>
    <t>B2.35</t>
  </si>
  <si>
    <t>B2.38</t>
  </si>
  <si>
    <t>B2.39</t>
  </si>
  <si>
    <t>B2.43</t>
  </si>
  <si>
    <t>C2.01</t>
  </si>
  <si>
    <t>Theorie</t>
  </si>
  <si>
    <t>C2.02</t>
  </si>
  <si>
    <t>Binas theorie</t>
  </si>
  <si>
    <t>C2.03</t>
  </si>
  <si>
    <t>Kolfkamer</t>
  </si>
  <si>
    <t>C2.04</t>
  </si>
  <si>
    <t>C2.05</t>
  </si>
  <si>
    <t>Biologie</t>
  </si>
  <si>
    <t>C2.06</t>
  </si>
  <si>
    <t>C2.07</t>
  </si>
  <si>
    <t>Science lab</t>
  </si>
  <si>
    <t>C2.08</t>
  </si>
  <si>
    <t>Scheikunde</t>
  </si>
  <si>
    <t>C2.09</t>
  </si>
  <si>
    <t>Natuurkunde</t>
  </si>
  <si>
    <t>C2.10</t>
  </si>
  <si>
    <t>C2.11</t>
  </si>
  <si>
    <t>Binas-praktijk</t>
  </si>
  <si>
    <t>C2.12</t>
  </si>
  <si>
    <t>C2.13</t>
  </si>
  <si>
    <t>C2.30</t>
  </si>
  <si>
    <t>C2.31</t>
  </si>
  <si>
    <t>C2.32</t>
  </si>
  <si>
    <t>C2.34</t>
  </si>
  <si>
    <t>C2.35</t>
  </si>
  <si>
    <t>C2.38</t>
  </si>
  <si>
    <t>C2.39</t>
  </si>
  <si>
    <t>Totaal werkdag</t>
  </si>
  <si>
    <t>055 - De Langstraat, d'Oultremontcollege, Dillenburgstraat 46, DRUNEN</t>
  </si>
  <si>
    <t>055</t>
  </si>
  <si>
    <t>D0.001</t>
  </si>
  <si>
    <t>D0.002</t>
  </si>
  <si>
    <t>D0.003</t>
  </si>
  <si>
    <t>D0.004</t>
  </si>
  <si>
    <t>D0.005</t>
  </si>
  <si>
    <t>D0.006</t>
  </si>
  <si>
    <t>D0.007</t>
  </si>
  <si>
    <t>D0.008</t>
  </si>
  <si>
    <t>D0.009</t>
  </si>
  <si>
    <t>D0.010</t>
  </si>
  <si>
    <t>D0.011</t>
  </si>
  <si>
    <t>D0.012</t>
  </si>
  <si>
    <t>D0.013</t>
  </si>
  <si>
    <t>D0.014</t>
  </si>
  <si>
    <t>D0.015</t>
  </si>
  <si>
    <t>D0.016</t>
  </si>
  <si>
    <t>D0.017</t>
  </si>
  <si>
    <t>D0.018</t>
  </si>
  <si>
    <t>D0.019</t>
  </si>
  <si>
    <t>D0.020</t>
  </si>
  <si>
    <t>D0.021</t>
  </si>
  <si>
    <t>Leslokaal Open Leercentrum</t>
  </si>
  <si>
    <t>D0.022</t>
  </si>
  <si>
    <t>D0.023</t>
  </si>
  <si>
    <t>D0.024</t>
  </si>
  <si>
    <t>D0.025</t>
  </si>
  <si>
    <t>D0.026</t>
  </si>
  <si>
    <t>D0.027</t>
  </si>
  <si>
    <t>D0.028</t>
  </si>
  <si>
    <t>Handvaardigheidslokaal</t>
  </si>
  <si>
    <t>D0.029</t>
  </si>
  <si>
    <t>Werkplaats</t>
  </si>
  <si>
    <t>steen</t>
  </si>
  <si>
    <t>D0.030</t>
  </si>
  <si>
    <t>D0.031/32</t>
  </si>
  <si>
    <t>Gymzaal</t>
  </si>
  <si>
    <t>sportvloer</t>
  </si>
  <si>
    <t>D0.033</t>
  </si>
  <si>
    <t>D0.034</t>
  </si>
  <si>
    <t>Sanitair personeel dames</t>
  </si>
  <si>
    <t>steen/dhgt</t>
  </si>
  <si>
    <t>D0.035</t>
  </si>
  <si>
    <t>Sanitair personeel heren</t>
  </si>
  <si>
    <t>D0.036</t>
  </si>
  <si>
    <t>Personeelskamer</t>
  </si>
  <si>
    <t>D0.037</t>
  </si>
  <si>
    <t>Trappenhal</t>
  </si>
  <si>
    <t>D0.038</t>
  </si>
  <si>
    <t>D0.039</t>
  </si>
  <si>
    <t>D0.040</t>
  </si>
  <si>
    <t>D0.041</t>
  </si>
  <si>
    <t>D0.042</t>
  </si>
  <si>
    <t>D0.043</t>
  </si>
  <si>
    <t>D0.044</t>
  </si>
  <si>
    <t>D0.044b</t>
  </si>
  <si>
    <t>D0.045</t>
  </si>
  <si>
    <t>Entree personeel</t>
  </si>
  <si>
    <t>inloopmat</t>
  </si>
  <si>
    <t>D0.047</t>
  </si>
  <si>
    <t>D0.048</t>
  </si>
  <si>
    <t>D0.049</t>
  </si>
  <si>
    <t>D0.050/51</t>
  </si>
  <si>
    <t>Open Leercentrum</t>
  </si>
  <si>
    <t>D0.052</t>
  </si>
  <si>
    <t>Sanitair</t>
  </si>
  <si>
    <t>gietvloer</t>
  </si>
  <si>
    <t>D0.053</t>
  </si>
  <si>
    <t>Werkplek docenten/postkamer</t>
  </si>
  <si>
    <t>D0.054</t>
  </si>
  <si>
    <t>D0.060a</t>
  </si>
  <si>
    <t>Open Cirkels</t>
  </si>
  <si>
    <t>D0.060b</t>
  </si>
  <si>
    <t>Kleine Aula</t>
  </si>
  <si>
    <t>D0.062</t>
  </si>
  <si>
    <t>D0.063</t>
  </si>
  <si>
    <t>Kluisruimte/werkplek</t>
  </si>
  <si>
    <t>D0.064</t>
  </si>
  <si>
    <t>D0.065</t>
  </si>
  <si>
    <t>D0.066</t>
  </si>
  <si>
    <t>D0.067</t>
  </si>
  <si>
    <t>D0.068</t>
  </si>
  <si>
    <t>D0.069</t>
  </si>
  <si>
    <t>D0.070</t>
  </si>
  <si>
    <t>D0.071</t>
  </si>
  <si>
    <t>Uitgiftebalie</t>
  </si>
  <si>
    <t>D0.072</t>
  </si>
  <si>
    <t>Reproruimte</t>
  </si>
  <si>
    <t>D0.073</t>
  </si>
  <si>
    <t>Entree</t>
  </si>
  <si>
    <t>D0.074</t>
  </si>
  <si>
    <t>D0.075</t>
  </si>
  <si>
    <t>Cateraar</t>
  </si>
  <si>
    <t>D0.076</t>
  </si>
  <si>
    <t>D0.077</t>
  </si>
  <si>
    <t>Gang/Aula</t>
  </si>
  <si>
    <t>D0.078</t>
  </si>
  <si>
    <t>Kabinet/berging</t>
  </si>
  <si>
    <t>D0.079</t>
  </si>
  <si>
    <t>D0.080</t>
  </si>
  <si>
    <t>D0.081</t>
  </si>
  <si>
    <t>D0.082</t>
  </si>
  <si>
    <t>D0.083</t>
  </si>
  <si>
    <t>n.i.o</t>
  </si>
  <si>
    <t>D0.084</t>
  </si>
  <si>
    <t>D0.085</t>
  </si>
  <si>
    <t>Kabinet scheikunde/berging</t>
  </si>
  <si>
    <t>D0.086</t>
  </si>
  <si>
    <t>D0.087</t>
  </si>
  <si>
    <t>D0.088</t>
  </si>
  <si>
    <t>D0.089</t>
  </si>
  <si>
    <t>D0.090</t>
  </si>
  <si>
    <t>D0.091</t>
  </si>
  <si>
    <t>D0.092</t>
  </si>
  <si>
    <t>D0.093</t>
  </si>
  <si>
    <t>D0.094</t>
  </si>
  <si>
    <t>D0.095</t>
  </si>
  <si>
    <t>D0.096</t>
  </si>
  <si>
    <t>D0.097</t>
  </si>
  <si>
    <t>Leslokaal - Open Leercentrum</t>
  </si>
  <si>
    <t>D0.098</t>
  </si>
  <si>
    <t>D0.100</t>
  </si>
  <si>
    <t>D0.101</t>
  </si>
  <si>
    <t>D0.103</t>
  </si>
  <si>
    <t>Brandmeldpaneel</t>
  </si>
  <si>
    <t>D0.104</t>
  </si>
  <si>
    <t>D0.105</t>
  </si>
  <si>
    <t>D0.106</t>
  </si>
  <si>
    <t>Receptie/leerlingen loket</t>
  </si>
  <si>
    <t>D0.107</t>
  </si>
  <si>
    <t>D0.108</t>
  </si>
  <si>
    <t>D0.109</t>
  </si>
  <si>
    <t>D0.110</t>
  </si>
  <si>
    <t>D0.111</t>
  </si>
  <si>
    <t>D0.112</t>
  </si>
  <si>
    <t>D0.113</t>
  </si>
  <si>
    <t>D0.114</t>
  </si>
  <si>
    <t>Werkkast</t>
  </si>
  <si>
    <t>D0.115</t>
  </si>
  <si>
    <t>Kleedkamer</t>
  </si>
  <si>
    <t>D0.116</t>
  </si>
  <si>
    <t>D0.117</t>
  </si>
  <si>
    <t>Muziekruimte</t>
  </si>
  <si>
    <t>D0.118</t>
  </si>
  <si>
    <t>Toestelberging</t>
  </si>
  <si>
    <t>D0.119</t>
  </si>
  <si>
    <t>D0.120</t>
  </si>
  <si>
    <t>D0.121</t>
  </si>
  <si>
    <t>D0.122</t>
  </si>
  <si>
    <t>D0.123</t>
  </si>
  <si>
    <t>D0.124</t>
  </si>
  <si>
    <t>docentenkamer</t>
  </si>
  <si>
    <t>D0.125</t>
  </si>
  <si>
    <t>D0.126</t>
  </si>
  <si>
    <t>D0.127</t>
  </si>
  <si>
    <t>noppen</t>
  </si>
  <si>
    <t>D0.132</t>
  </si>
  <si>
    <t>Garderobe</t>
  </si>
  <si>
    <t>D0.135</t>
  </si>
  <si>
    <t>D0.136</t>
  </si>
  <si>
    <t>n.i.o.</t>
  </si>
  <si>
    <t>D0.138</t>
  </si>
  <si>
    <t>Sanitair MIVA</t>
  </si>
  <si>
    <t>D0.138B</t>
  </si>
  <si>
    <t>D0.139</t>
  </si>
  <si>
    <t>D0.140</t>
  </si>
  <si>
    <t>D0.141</t>
  </si>
  <si>
    <t>D0.142</t>
  </si>
  <si>
    <t>D0.143</t>
  </si>
  <si>
    <t>D0.144</t>
  </si>
  <si>
    <t>D0.145</t>
  </si>
  <si>
    <t>D0.146</t>
  </si>
  <si>
    <t>Server</t>
  </si>
  <si>
    <t>D0.99</t>
  </si>
  <si>
    <t>Aula groot</t>
  </si>
  <si>
    <t>D1.01</t>
  </si>
  <si>
    <t>Technasium</t>
  </si>
  <si>
    <t>linoleum/tapijt</t>
  </si>
  <si>
    <t>D1.02</t>
  </si>
  <si>
    <t>D1.03</t>
  </si>
  <si>
    <t>D1.04</t>
  </si>
  <si>
    <t>D1.05</t>
  </si>
  <si>
    <t>D1.06</t>
  </si>
  <si>
    <t>D1.07</t>
  </si>
  <si>
    <t>D1.08</t>
  </si>
  <si>
    <t>D1.09</t>
  </si>
  <si>
    <t>D1.10</t>
  </si>
  <si>
    <t>D1.11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</si>
  <si>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</si>
  <si>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</si>
  <si>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</si>
  <si>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</si>
  <si>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</si>
  <si>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</si>
  <si>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</si>
  <si>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</si>
  <si>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</si>
  <si>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</si>
  <si>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</si>
  <si>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</si>
  <si>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</si>
  <si>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</si>
  <si>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Leslokaal -tekenen</t>
  </si>
  <si>
    <t>D1.26</t>
  </si>
  <si>
    <t>D1.29</t>
  </si>
  <si>
    <t>D1.30</t>
  </si>
  <si>
    <t>D1.31</t>
  </si>
  <si>
    <t>D1.32</t>
  </si>
  <si>
    <t>Kabinet</t>
  </si>
  <si>
    <t>D1.33</t>
  </si>
  <si>
    <t>D1.35</t>
  </si>
  <si>
    <t>D1.35a</t>
  </si>
  <si>
    <t>Pantry/kolfruimte</t>
  </si>
  <si>
    <t>D1.36</t>
  </si>
  <si>
    <t>D1.37</t>
  </si>
  <si>
    <t>D1.38</t>
  </si>
  <si>
    <t>D1.39</t>
  </si>
  <si>
    <t>D1.44</t>
  </si>
  <si>
    <t>D1.45</t>
  </si>
  <si>
    <t>D1.46</t>
  </si>
  <si>
    <t>D1.47</t>
  </si>
  <si>
    <t>D1.48</t>
  </si>
  <si>
    <t>D1.49</t>
  </si>
  <si>
    <t>056 - De Langstraat, Van Haestrechtcollege, Vossenbergselaan 8, KAATSHEUVEL</t>
  </si>
  <si>
    <t>056</t>
  </si>
  <si>
    <t>0.01</t>
  </si>
  <si>
    <t>leslokaal theorie</t>
  </si>
  <si>
    <t>0.02</t>
  </si>
  <si>
    <t>0.03</t>
  </si>
  <si>
    <t>Leerling coordinatoren</t>
  </si>
  <si>
    <t>0.03a</t>
  </si>
  <si>
    <t>Lokaal</t>
  </si>
  <si>
    <t>0.03b</t>
  </si>
  <si>
    <t>spreekkamer</t>
  </si>
  <si>
    <t>0.04</t>
  </si>
  <si>
    <t>0.05</t>
  </si>
  <si>
    <t>0.06</t>
  </si>
  <si>
    <t>0.07</t>
  </si>
  <si>
    <t>0.08</t>
  </si>
  <si>
    <t>0.09</t>
  </si>
  <si>
    <t>leslokaal praktijk</t>
  </si>
  <si>
    <t>0.10</t>
  </si>
  <si>
    <t>Kantoor/time out ruimte</t>
  </si>
  <si>
    <t>0.10a</t>
  </si>
  <si>
    <t>0.11</t>
  </si>
  <si>
    <t>0.12</t>
  </si>
  <si>
    <t>0.13</t>
  </si>
  <si>
    <t>0.14</t>
  </si>
  <si>
    <t>0.14a</t>
  </si>
  <si>
    <t>toilet</t>
  </si>
  <si>
    <t>0.15</t>
  </si>
  <si>
    <t>0.16</t>
  </si>
  <si>
    <t>personeelsruimte</t>
  </si>
  <si>
    <t>0.16a</t>
  </si>
  <si>
    <t>0.16b</t>
  </si>
  <si>
    <t>belcel</t>
  </si>
  <si>
    <t>0.16c</t>
  </si>
  <si>
    <t>0.17</t>
  </si>
  <si>
    <t>0.18</t>
  </si>
  <si>
    <t>lockerruimte</t>
  </si>
  <si>
    <t>0.19</t>
  </si>
  <si>
    <t>0.20</t>
  </si>
  <si>
    <t>0.21</t>
  </si>
  <si>
    <t>toilet heren</t>
  </si>
  <si>
    <t>0.22</t>
  </si>
  <si>
    <t>invalide toilet</t>
  </si>
  <si>
    <t>tegels</t>
  </si>
  <si>
    <t>0.23</t>
  </si>
  <si>
    <t>toilet dames</t>
  </si>
  <si>
    <t>gladde vloer/epoxy</t>
  </si>
  <si>
    <t>0.24</t>
  </si>
  <si>
    <t>0.25</t>
  </si>
  <si>
    <t>0.26</t>
  </si>
  <si>
    <t>keuken</t>
  </si>
  <si>
    <t>0.27</t>
  </si>
  <si>
    <t>gymzaal</t>
  </si>
  <si>
    <t>vinyl</t>
  </si>
  <si>
    <t>0.28</t>
  </si>
  <si>
    <t>leerplein (1)</t>
  </si>
  <si>
    <t>0.29</t>
  </si>
  <si>
    <t>toilet heren (bij receptie)</t>
  </si>
  <si>
    <t>0.30</t>
  </si>
  <si>
    <t>toilet dames (bij receptie)</t>
  </si>
  <si>
    <t>0.31</t>
  </si>
  <si>
    <t>gang (bij personeelskamer)</t>
  </si>
  <si>
    <t>0.32</t>
  </si>
  <si>
    <t>gang (kamer ICT)</t>
  </si>
  <si>
    <t>0.33</t>
  </si>
  <si>
    <t>0.33a</t>
  </si>
  <si>
    <t>0.34</t>
  </si>
  <si>
    <t>toilet heren/dames</t>
  </si>
  <si>
    <t>0.35</t>
  </si>
  <si>
    <t>harde vloer</t>
  </si>
  <si>
    <t>0.36</t>
  </si>
  <si>
    <t>hal bij kluisjes</t>
  </si>
  <si>
    <t>0.37</t>
  </si>
  <si>
    <t>hal/ entrée</t>
  </si>
  <si>
    <t>0.38</t>
  </si>
  <si>
    <t>leerlingenruimte</t>
  </si>
  <si>
    <t>0.39</t>
  </si>
  <si>
    <t>gymdocenten</t>
  </si>
  <si>
    <t>0.40</t>
  </si>
  <si>
    <t>gang (bij kamer directie)</t>
  </si>
  <si>
    <t>0.41</t>
  </si>
  <si>
    <t>gang (bij gymzaal)</t>
  </si>
  <si>
    <t>0.42</t>
  </si>
  <si>
    <t>hal kluisjes</t>
  </si>
  <si>
    <t>0.43</t>
  </si>
  <si>
    <t>kleedruimte heren</t>
  </si>
  <si>
    <t>0.44</t>
  </si>
  <si>
    <t>kleedruimte dames</t>
  </si>
  <si>
    <t>0.45</t>
  </si>
  <si>
    <t>bergruimte gymzaal</t>
  </si>
  <si>
    <t>0.46</t>
  </si>
  <si>
    <t>lange gang (leslokaal 1.01 naar 1.06)</t>
  </si>
  <si>
    <t>0.47</t>
  </si>
  <si>
    <t>toilet heren kleedkamer</t>
  </si>
  <si>
    <t>0.48</t>
  </si>
  <si>
    <t>toilet dames kleedkamer</t>
  </si>
  <si>
    <t>0.49</t>
  </si>
  <si>
    <t>toilet dames (bij leslokaal 1.08)</t>
  </si>
  <si>
    <t>0.50</t>
  </si>
  <si>
    <t>toilet dames (bij leslokaal 1.09)</t>
  </si>
  <si>
    <t>0.52</t>
  </si>
  <si>
    <t>toilet heren (bij leslokaal 1.09)</t>
  </si>
  <si>
    <t>0.53</t>
  </si>
  <si>
    <t>gang (leslkokaal 1.07 tot klapdeuren)</t>
  </si>
  <si>
    <t>0.54</t>
  </si>
  <si>
    <t>gang (leerplein 1 naar trap)</t>
  </si>
  <si>
    <t>0.55</t>
  </si>
  <si>
    <t>gang (bij leslokaal 1.12-1.15)</t>
  </si>
  <si>
    <t>0.55a</t>
  </si>
  <si>
    <t>noodtrap</t>
  </si>
  <si>
    <t>ijzer</t>
  </si>
  <si>
    <t>0.56</t>
  </si>
  <si>
    <t>gang (bij 198)</t>
  </si>
  <si>
    <t>2.01</t>
  </si>
  <si>
    <t>2.02</t>
  </si>
  <si>
    <t>2.03</t>
  </si>
  <si>
    <t>2.04</t>
  </si>
  <si>
    <t>leslokaal  natuur/scheikunde</t>
  </si>
  <si>
    <t>2.05</t>
  </si>
  <si>
    <t>leslokaal natuur/scheikunde</t>
  </si>
  <si>
    <t>2.05a</t>
  </si>
  <si>
    <t>2.06</t>
  </si>
  <si>
    <t>2.07</t>
  </si>
  <si>
    <t>2.09</t>
  </si>
  <si>
    <t>2.10</t>
  </si>
  <si>
    <t>189 - De Langstraat, De Overlaat, Eikendonklaan 3, WAALWIJK</t>
  </si>
  <si>
    <t>189</t>
  </si>
  <si>
    <t>A0.00</t>
  </si>
  <si>
    <t>Fietsenstalling</t>
  </si>
  <si>
    <t>tegel</t>
  </si>
  <si>
    <t>Receptie</t>
  </si>
  <si>
    <t>Kluisjesruimte</t>
  </si>
  <si>
    <t>Trappenhuis</t>
  </si>
  <si>
    <t>A0.05A</t>
  </si>
  <si>
    <t>Hal</t>
  </si>
  <si>
    <t>Lift</t>
  </si>
  <si>
    <t>Congiergeruimte</t>
  </si>
  <si>
    <t>Keuken</t>
  </si>
  <si>
    <t>A0.13</t>
  </si>
  <si>
    <t>A0.14</t>
  </si>
  <si>
    <t>Toiletten</t>
  </si>
  <si>
    <t>A0.15</t>
  </si>
  <si>
    <t>CV-ruimte</t>
  </si>
  <si>
    <t>A0.16</t>
  </si>
  <si>
    <t>Garage</t>
  </si>
  <si>
    <t>Serverruimte (SER1)</t>
  </si>
  <si>
    <t>Verzuimloket</t>
  </si>
  <si>
    <t>Invalidentoilet</t>
  </si>
  <si>
    <t>Kantoren</t>
  </si>
  <si>
    <t>Fitlab</t>
  </si>
  <si>
    <t>ICT Kantoor</t>
  </si>
  <si>
    <t>Toiletten Heren</t>
  </si>
  <si>
    <t>Toiletten Dames</t>
  </si>
  <si>
    <t>Docenten werkplek</t>
  </si>
  <si>
    <t>B0.17A</t>
  </si>
  <si>
    <t>Personeelsruimte (Stilte)</t>
  </si>
  <si>
    <t>B0.20</t>
  </si>
  <si>
    <t>B0.21</t>
  </si>
  <si>
    <t>Magazijn/Repro</t>
  </si>
  <si>
    <t>B0.22</t>
  </si>
  <si>
    <t>Balie magazijn</t>
  </si>
  <si>
    <t>B0.23</t>
  </si>
  <si>
    <t>Balie administratie</t>
  </si>
  <si>
    <t>B0.24</t>
  </si>
  <si>
    <t>Administratie</t>
  </si>
  <si>
    <t>B0.25</t>
  </si>
  <si>
    <t>Kluis</t>
  </si>
  <si>
    <t>B0.26</t>
  </si>
  <si>
    <t>B0.27</t>
  </si>
  <si>
    <t>B0.28</t>
  </si>
  <si>
    <t>B0.29</t>
  </si>
  <si>
    <t>B0.30</t>
  </si>
  <si>
    <t>B0.33</t>
  </si>
  <si>
    <t>Technische ruimte</t>
  </si>
  <si>
    <t>B0.36</t>
  </si>
  <si>
    <t>B0.37</t>
  </si>
  <si>
    <t>B0.41</t>
  </si>
  <si>
    <t>B0.42</t>
  </si>
  <si>
    <t>B0.43</t>
  </si>
  <si>
    <t>B0.44</t>
  </si>
  <si>
    <t>Dienst van de dag</t>
  </si>
  <si>
    <t>B0.45</t>
  </si>
  <si>
    <t>Kast CV</t>
  </si>
  <si>
    <t>Leskeuken</t>
  </si>
  <si>
    <t>Kleedruimte</t>
  </si>
  <si>
    <t>Spoelkeuken/Praktijk</t>
  </si>
  <si>
    <t>Restaurant</t>
  </si>
  <si>
    <t>Bakkerij</t>
  </si>
  <si>
    <t>Computerruimte</t>
  </si>
  <si>
    <t>C0.22</t>
  </si>
  <si>
    <t>C0.24</t>
  </si>
  <si>
    <t>C0.25</t>
  </si>
  <si>
    <t>Patchruimte</t>
  </si>
  <si>
    <t>C0.26</t>
  </si>
  <si>
    <t>C0.27</t>
  </si>
  <si>
    <t>C0.28</t>
  </si>
  <si>
    <t>C0.29</t>
  </si>
  <si>
    <t>Plein BWI</t>
  </si>
  <si>
    <t>kunststof</t>
  </si>
  <si>
    <t>Machinale houtbewerking</t>
  </si>
  <si>
    <t>C0.33</t>
  </si>
  <si>
    <t>Ruimte t.b.v. schuren BWI?</t>
  </si>
  <si>
    <t>Theorielokaal</t>
  </si>
  <si>
    <t>C0.36</t>
  </si>
  <si>
    <t>C0.37</t>
  </si>
  <si>
    <t>Donkere kamer</t>
  </si>
  <si>
    <t>C0.43</t>
  </si>
  <si>
    <t>Berging/wasruimte</t>
  </si>
  <si>
    <t>C0.44</t>
  </si>
  <si>
    <t>C0.45</t>
  </si>
  <si>
    <t>Compressieruimte</t>
  </si>
  <si>
    <t>C0.46</t>
  </si>
  <si>
    <t>BOX Theorie</t>
  </si>
  <si>
    <t>C0.46A</t>
  </si>
  <si>
    <t>C0.47</t>
  </si>
  <si>
    <t>BOX</t>
  </si>
  <si>
    <t>C0.48</t>
  </si>
  <si>
    <t>Praktijklokaal</t>
  </si>
  <si>
    <t>C0.49</t>
  </si>
  <si>
    <t>Plein Z&amp;W</t>
  </si>
  <si>
    <t>C0.50</t>
  </si>
  <si>
    <t>C0.51</t>
  </si>
  <si>
    <t>C0.52</t>
  </si>
  <si>
    <t>C0.53</t>
  </si>
  <si>
    <t>C0.54</t>
  </si>
  <si>
    <t>Spoelkeuken</t>
  </si>
  <si>
    <t>C0.55</t>
  </si>
  <si>
    <t>Praktijklokaal (Bistro)</t>
  </si>
  <si>
    <t>C0.56</t>
  </si>
  <si>
    <t>C0.57</t>
  </si>
  <si>
    <t>Plein Z&amp;W groen</t>
  </si>
  <si>
    <t>surestep</t>
  </si>
  <si>
    <t>C0.58</t>
  </si>
  <si>
    <t>Plein Z&amp;W blauw</t>
  </si>
  <si>
    <t>C0.59</t>
  </si>
  <si>
    <t>Plein Z&amp;W rose</t>
  </si>
  <si>
    <t>C0.60</t>
  </si>
  <si>
    <t>Plein Z&amp;W oranje</t>
  </si>
  <si>
    <t>C0.61</t>
  </si>
  <si>
    <t>Wasruimte</t>
  </si>
  <si>
    <t>C0.62</t>
  </si>
  <si>
    <t>D&amp;P Praktijk</t>
  </si>
  <si>
    <t>C0.63</t>
  </si>
  <si>
    <t>Keuken (lokaal)</t>
  </si>
  <si>
    <t>C0.64</t>
  </si>
  <si>
    <t>C0.65</t>
  </si>
  <si>
    <t>tegelvloer</t>
  </si>
  <si>
    <t>C0.68</t>
  </si>
  <si>
    <t>D0.01</t>
  </si>
  <si>
    <t>D0.02</t>
  </si>
  <si>
    <t>D0.03</t>
  </si>
  <si>
    <t>D0.04</t>
  </si>
  <si>
    <t>D0.05</t>
  </si>
  <si>
    <t>D0.06</t>
  </si>
  <si>
    <t>D0.07</t>
  </si>
  <si>
    <t>D0.08</t>
  </si>
  <si>
    <t>Plein PIE</t>
  </si>
  <si>
    <t>D0.09</t>
  </si>
  <si>
    <t>Robotica</t>
  </si>
  <si>
    <t>kunststof vloer</t>
  </si>
  <si>
    <t>D0.10</t>
  </si>
  <si>
    <t>D0.11</t>
  </si>
  <si>
    <t>D0.12</t>
  </si>
  <si>
    <t>D0.13</t>
  </si>
  <si>
    <t>D0.14</t>
  </si>
  <si>
    <t>D0.15</t>
  </si>
  <si>
    <t>D0.16</t>
  </si>
  <si>
    <t>Werkruimte</t>
  </si>
  <si>
    <t>D0.17</t>
  </si>
  <si>
    <t>D0.18</t>
  </si>
  <si>
    <t>D0.19</t>
  </si>
  <si>
    <t>D0.20</t>
  </si>
  <si>
    <t>Kleedruimte Dames</t>
  </si>
  <si>
    <t>D0.21</t>
  </si>
  <si>
    <t>D0.22</t>
  </si>
  <si>
    <t>Laslokaal</t>
  </si>
  <si>
    <t>D0.22a</t>
  </si>
  <si>
    <t>Wastrog in Laslokaal</t>
  </si>
  <si>
    <t>D0.23</t>
  </si>
  <si>
    <t>D0.24</t>
  </si>
  <si>
    <t>Opslag gas</t>
  </si>
  <si>
    <t>D0.25</t>
  </si>
  <si>
    <t>D0.26</t>
  </si>
  <si>
    <t>D0.27</t>
  </si>
  <si>
    <t>D0.28</t>
  </si>
  <si>
    <t>D0.29</t>
  </si>
  <si>
    <t>D0.30</t>
  </si>
  <si>
    <t>Patchruimte SER2</t>
  </si>
  <si>
    <t>D0.31</t>
  </si>
  <si>
    <t>Lokaal M&amp;T</t>
  </si>
  <si>
    <t>D0.31A</t>
  </si>
  <si>
    <t>D0.32</t>
  </si>
  <si>
    <t>D0.33</t>
  </si>
  <si>
    <t>D0.34</t>
  </si>
  <si>
    <t>Kantoor/berging</t>
  </si>
  <si>
    <t>D0.35</t>
  </si>
  <si>
    <t>D0.36</t>
  </si>
  <si>
    <t>Praktijk</t>
  </si>
  <si>
    <t>D0.37</t>
  </si>
  <si>
    <t>D0.38</t>
  </si>
  <si>
    <t>D0.39</t>
  </si>
  <si>
    <t>D0.40</t>
  </si>
  <si>
    <t>D0.41</t>
  </si>
  <si>
    <t>Laagspanningsruimte</t>
  </si>
  <si>
    <t>D0.42</t>
  </si>
  <si>
    <t>Hoogspanningsruimte</t>
  </si>
  <si>
    <t>Patchruimte (SER4)</t>
  </si>
  <si>
    <t>Douches</t>
  </si>
  <si>
    <t>Sportzaal 1</t>
  </si>
  <si>
    <t>Nooduitgang</t>
  </si>
  <si>
    <t>Sportzaal 2</t>
  </si>
  <si>
    <t>Berging/vluchtweg</t>
  </si>
  <si>
    <t>Sportzaal 3</t>
  </si>
  <si>
    <t>A1.19</t>
  </si>
  <si>
    <t>A1.20</t>
  </si>
  <si>
    <t>A1.21</t>
  </si>
  <si>
    <t>A1.22</t>
  </si>
  <si>
    <t>A1.24</t>
  </si>
  <si>
    <t>A1.25</t>
  </si>
  <si>
    <t>A1.26</t>
  </si>
  <si>
    <t>A1.27</t>
  </si>
  <si>
    <t>Kleedruimte Personeel + Kolf</t>
  </si>
  <si>
    <t>A1.28</t>
  </si>
  <si>
    <t>Kleedruimte Personeel /douche</t>
  </si>
  <si>
    <t>A1.29</t>
  </si>
  <si>
    <t>A1.30</t>
  </si>
  <si>
    <t>A1.32</t>
  </si>
  <si>
    <t>A1.33</t>
  </si>
  <si>
    <t>Docentenruimte/EHBO</t>
  </si>
  <si>
    <t>Kantoor/RT Ruimte</t>
  </si>
  <si>
    <t>Lokaal Binask</t>
  </si>
  <si>
    <t>B1.19</t>
  </si>
  <si>
    <t>B1.20</t>
  </si>
  <si>
    <t>B1.21</t>
  </si>
  <si>
    <t>B1.22</t>
  </si>
  <si>
    <t>Toiletten heren</t>
  </si>
  <si>
    <t>B1.23</t>
  </si>
  <si>
    <t>B1.24</t>
  </si>
  <si>
    <t>B1.25</t>
  </si>
  <si>
    <t>Patchruimte (SER3)</t>
  </si>
  <si>
    <t>B1.26</t>
  </si>
  <si>
    <t>B1.27</t>
  </si>
  <si>
    <t>B1.28</t>
  </si>
  <si>
    <t>B1.29</t>
  </si>
  <si>
    <t>B1.33</t>
  </si>
  <si>
    <t>B1.36</t>
  </si>
  <si>
    <t>B1.37</t>
  </si>
  <si>
    <t>B1.39</t>
  </si>
  <si>
    <t>A.201</t>
  </si>
  <si>
    <t>A.204</t>
  </si>
  <si>
    <t>Voorruimte Fitness</t>
  </si>
  <si>
    <t>A.205</t>
  </si>
  <si>
    <t>Fitness</t>
  </si>
  <si>
    <t>A.210</t>
  </si>
  <si>
    <t>Sportzaal</t>
  </si>
  <si>
    <t>A.211</t>
  </si>
  <si>
    <t>A.212</t>
  </si>
  <si>
    <t>A.217</t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</si>
  <si>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</si>
  <si>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</si>
  <si>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</si>
  <si>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</si>
  <si>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</si>
  <si>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</si>
  <si>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</si>
  <si>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</si>
  <si>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</si>
  <si>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</si>
  <si>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</si>
  <si>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</si>
  <si>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</si>
  <si>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</si>
  <si>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</si>
  <si>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</si>
  <si>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</si>
  <si>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</si>
  <si>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</si>
  <si>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</si>
  <si>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</si>
  <si>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</si>
  <si>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</si>
  <si>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</si>
  <si>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</si>
  <si>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</si>
  <si>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053</t>
  </si>
  <si>
    <t xml:space="preserve">     055</t>
  </si>
  <si>
    <t xml:space="preserve">     056</t>
  </si>
  <si>
    <t xml:space="preserve">     189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</si>
  <si>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</si>
  <si>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</si>
  <si>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</si>
  <si>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</si>
  <si>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</si>
  <si>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</si>
  <si>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</si>
  <si>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</si>
  <si>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</si>
  <si>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MAAND (EURO)</t>
  </si>
  <si>
    <t>De Langstraat, Walewyc/Dr. Moller</t>
  </si>
  <si>
    <t>Olympiaweg 8a-8b</t>
  </si>
  <si>
    <t>WAALWIJK</t>
  </si>
  <si>
    <t>De Langstraat, d'Oultremontcollege</t>
  </si>
  <si>
    <t>Dillenburgstraat 46</t>
  </si>
  <si>
    <t>DRUNEN</t>
  </si>
  <si>
    <t>De Langstraat, Van Haestrechtcollege</t>
  </si>
  <si>
    <t>Vossenbergselaan 8</t>
  </si>
  <si>
    <t>KAATSHEUVEL</t>
  </si>
  <si>
    <t>De Langstraat, De Overlaat</t>
  </si>
  <si>
    <t>Eikendonklaan 3</t>
  </si>
  <si>
    <t>Totaal regulier werk incl. suppleties (excl. BTW)</t>
  </si>
  <si>
    <t>Totaal regulier werk incl. suppleties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</si>
  <si>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</si>
  <si>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</si>
  <si>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</si>
  <si>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</si>
  <si>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</si>
  <si>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</si>
  <si>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</si>
  <si>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     </t>
  </si>
  <si>
    <t xml:space="preserve">Gemiddelde productienorm werkdag     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</si>
  <si>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</si>
  <si>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</si>
  <si>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</si>
  <si>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</si>
  <si>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</si>
  <si>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</si>
  <si>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</si>
  <si>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</si>
  <si>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</si>
  <si>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</si>
  <si>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</si>
  <si>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</si>
  <si>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</si>
  <si>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</si>
  <si>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</si>
  <si>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</si>
  <si>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</si>
  <si>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</si>
  <si>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</si>
  <si>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</si>
  <si>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</si>
  <si>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</si>
  <si>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</si>
  <si>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</si>
  <si>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</si>
  <si>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</si>
  <si>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</si>
  <si>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</si>
  <si>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</si>
  <si>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</si>
  <si>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</si>
  <si>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</si>
  <si>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</si>
  <si>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</si>
  <si>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</si>
  <si>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</si>
  <si>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</si>
  <si>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</si>
  <si>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</si>
  <si>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</si>
  <si>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</si>
  <si>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</si>
  <si>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</si>
  <si>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</si>
  <si>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</si>
  <si>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</si>
  <si>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</si>
  <si>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</si>
  <si>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</si>
  <si>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</si>
  <si>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</si>
  <si>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</si>
  <si>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</si>
  <si>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</si>
  <si>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</si>
  <si>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</si>
  <si>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</si>
  <si>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</si>
  <si>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</si>
  <si>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</si>
  <si>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</si>
  <si>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</si>
  <si>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</si>
  <si>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</si>
  <si>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</si>
  <si>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</si>
  <si>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</si>
  <si>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</si>
  <si>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</si>
  <si>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</si>
  <si>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</si>
  <si>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</si>
  <si>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</si>
  <si>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</si>
  <si>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</si>
  <si>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</si>
  <si>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</si>
  <si>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</si>
  <si>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</si>
  <si>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</si>
  <si>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</si>
  <si>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</si>
  <si>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</si>
  <si>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</si>
  <si>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</si>
  <si>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</si>
  <si>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</si>
  <si>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</si>
  <si>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</si>
  <si>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</si>
  <si>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</si>
  <si>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</si>
  <si>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</si>
  <si>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</si>
  <si>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</si>
  <si>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</si>
  <si>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</si>
  <si>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</si>
  <si>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</si>
  <si>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</si>
  <si>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</si>
  <si>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</si>
  <si>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</si>
  <si>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</si>
  <si>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</si>
  <si>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</si>
  <si>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</si>
  <si>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</si>
  <si>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</si>
  <si>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</si>
  <si>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</si>
  <si>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</si>
  <si>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4100A</t>
  </si>
  <si>
    <t>Vloer strippen/permanent coaten (incl. uit/inruimen)</t>
  </si>
  <si>
    <t>4100B</t>
  </si>
  <si>
    <t>4100C</t>
  </si>
  <si>
    <t>4100D</t>
  </si>
  <si>
    <t>4101A</t>
  </si>
  <si>
    <t>Vloer strippen/permanent coaten (excl. uit/inruimen)</t>
  </si>
  <si>
    <t>4101B</t>
  </si>
  <si>
    <t>4101C</t>
  </si>
  <si>
    <t>4101D</t>
  </si>
  <si>
    <t>4110A</t>
  </si>
  <si>
    <t>Vloer permanent coaten (incl. uit/inruimen)</t>
  </si>
  <si>
    <t>4110B</t>
  </si>
  <si>
    <t>4110C</t>
  </si>
  <si>
    <t>4110D</t>
  </si>
  <si>
    <t>4111A</t>
  </si>
  <si>
    <t>Vloer permanent coaten (excl. uit/inruimen)</t>
  </si>
  <si>
    <t>4111B</t>
  </si>
  <si>
    <t>4111C</t>
  </si>
  <si>
    <t>4111D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</si>
  <si>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</si>
  <si>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</si>
  <si>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</si>
  <si>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</si>
  <si>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</si>
  <si>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</si>
  <si>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</si>
  <si>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</si>
  <si>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</si>
  <si>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</si>
  <si>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</si>
  <si>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</si>
  <si>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</si>
  <si>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</si>
  <si>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</si>
  <si>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</si>
  <si>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</si>
  <si>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</si>
  <si>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</si>
  <si>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8040</t>
  </si>
  <si>
    <t>Hoogwerker</t>
  </si>
  <si>
    <t>prijs per dag</t>
  </si>
  <si>
    <t>Totaal glas excl. BTW</t>
  </si>
  <si>
    <t>Totaal 053 - De Langstraat, Walewyc/Dr. Moller, Olympiaweg 8a-8b, WAALWIJK</t>
  </si>
  <si>
    <t>Totaal 055 - De Langstraat, d'Oultremontcollege, Dillenburgstraat 46, DRUNEN</t>
  </si>
  <si>
    <t>Totaal 056 - De Langstraat, Van Haestrechtcollege, Vossenbergselaan 8, KAATSHEUVEL</t>
  </si>
  <si>
    <t>Totaal 189 - De Langstraat, De Overlaat, Eikendonklaan 3, WAALWIJK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</si>
  <si>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</si>
  <si>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</si>
  <si>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</si>
  <si>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</si>
  <si>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</si>
  <si>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</si>
  <si>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Regie (geschat)</t>
  </si>
  <si>
    <t>Glas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</si>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</sst>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31" xfId="0" applyFont="1" applyFill="1" applyBorder="1"/>
    <xf numFmtId="0" fontId="1" fillId="2" borderId="28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0" fontId="1" fillId="0" borderId="33" xfId="0" applyFont="1" applyBorder="1"/>
    <xf numFmtId="49" fontId="2" fillId="3" borderId="12" xfId="0" applyNumberFormat="1" applyFont="1" applyFill="1" applyBorder="1"/>
    <xf numFmtId="49" fontId="2" fillId="3" borderId="15" xfId="0" applyNumberFormat="1" applyFont="1" applyFill="1" applyBorder="1"/>
    <xf numFmtId="49" fontId="2" fillId="3" borderId="16" xfId="0" applyNumberFormat="1" applyFont="1" applyFill="1" applyBorder="1"/>
    <xf numFmtId="49" fontId="2" fillId="3" borderId="17" xfId="0" applyNumberFormat="1" applyFont="1" applyFill="1" applyBorder="1"/>
    <xf numFmtId="49" fontId="2" fillId="3" borderId="15" xfId="0" applyNumberFormat="1" applyFont="1" applyFill="1" applyBorder="1" applyAlignment="1">
      <alignment wrapText="1"/>
    </xf>
    <xf numFmtId="49" fontId="1" fillId="3" borderId="15" xfId="0" applyNumberFormat="1" applyFont="1" applyFill="1" applyBorder="1" applyAlignment="1">
      <alignment wrapText="1"/>
    </xf>
    <xf numFmtId="49" fontId="1" fillId="3" borderId="15" xfId="0" applyNumberFormat="1" applyFont="1" applyFill="1" applyBorder="1"/>
    <xf numFmtId="164" fontId="1" fillId="2" borderId="16" xfId="0" applyNumberFormat="1" applyFont="1" applyFill="1" applyBorder="1"/>
    <xf numFmtId="164" fontId="1" fillId="2" borderId="17" xfId="0" applyNumberFormat="1" applyFont="1" applyFill="1" applyBorder="1"/>
    <xf numFmtId="10" fontId="1" fillId="0" borderId="16" xfId="0" applyNumberFormat="1" applyFont="1" applyBorder="1" applyProtection="1">
      <protection locked="0"/>
    </xf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10" fontId="1" fillId="4" borderId="16" xfId="0" applyNumberFormat="1" applyFont="1" applyFill="1" applyBorder="1" applyProtection="1">
      <protection locked="0"/>
    </xf>
    <xf numFmtId="49" fontId="2" fillId="3" borderId="18" xfId="0" applyNumberFormat="1" applyFont="1" applyFill="1" applyBorder="1"/>
    <xf numFmtId="10" fontId="1" fillId="4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10" fontId="1" fillId="2" borderId="16" xfId="0" applyNumberFormat="1" applyFont="1" applyFill="1" applyBorder="1"/>
    <xf numFmtId="49" fontId="1" fillId="3" borderId="6" xfId="0" applyNumberFormat="1" applyFont="1" applyFill="1" applyBorder="1" applyAlignment="1">
      <alignment wrapText="1"/>
    </xf>
    <xf numFmtId="0" fontId="1" fillId="3" borderId="4" xfId="0" applyFont="1" applyFill="1" applyBorder="1"/>
    <xf numFmtId="0" fontId="1" fillId="3" borderId="9" xfId="0" applyFont="1" applyFill="1" applyBorder="1"/>
    <xf numFmtId="0" fontId="1" fillId="3" borderId="5" xfId="0" applyFont="1" applyFill="1" applyBorder="1"/>
    <xf numFmtId="0" fontId="1" fillId="3" borderId="7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49" fontId="1" fillId="2" borderId="24" xfId="0" applyNumberFormat="1" applyFont="1" applyFill="1" applyBorder="1"/>
    <xf numFmtId="1" fontId="1" fillId="2" borderId="24" xfId="0" applyNumberFormat="1" applyFont="1" applyFill="1" applyBorder="1"/>
    <xf numFmtId="4" fontId="1" fillId="0" borderId="24" xfId="0" applyNumberFormat="1" applyFont="1" applyBorder="1" applyProtection="1">
      <protection locked="0"/>
    </xf>
    <xf numFmtId="10" fontId="1" fillId="0" borderId="24" xfId="0" applyNumberFormat="1" applyFont="1" applyBorder="1" applyProtection="1">
      <protection locked="0"/>
    </xf>
    <xf numFmtId="164" fontId="1" fillId="2" borderId="24" xfId="0" applyNumberFormat="1" applyFont="1" applyFill="1" applyBorder="1"/>
    <xf numFmtId="49" fontId="1" fillId="2" borderId="25" xfId="0" applyNumberFormat="1" applyFont="1" applyFill="1" applyBorder="1"/>
    <xf numFmtId="1" fontId="1" fillId="2" borderId="25" xfId="0" applyNumberFormat="1" applyFont="1" applyFill="1" applyBorder="1"/>
    <xf numFmtId="4" fontId="1" fillId="0" borderId="25" xfId="0" applyNumberFormat="1" applyFont="1" applyBorder="1" applyProtection="1">
      <protection locked="0"/>
    </xf>
    <xf numFmtId="10" fontId="1" fillId="0" borderId="25" xfId="0" applyNumberFormat="1" applyFont="1" applyBorder="1" applyProtection="1">
      <protection locked="0"/>
    </xf>
    <xf numFmtId="164" fontId="1" fillId="2" borderId="25" xfId="0" applyNumberFormat="1" applyFont="1" applyFill="1" applyBorder="1"/>
    <xf numFmtId="49" fontId="1" fillId="2" borderId="26" xfId="0" applyNumberFormat="1" applyFont="1" applyFill="1" applyBorder="1"/>
    <xf numFmtId="1" fontId="1" fillId="2" borderId="26" xfId="0" applyNumberFormat="1" applyFont="1" applyFill="1" applyBorder="1"/>
    <xf numFmtId="4" fontId="1" fillId="0" borderId="26" xfId="0" applyNumberFormat="1" applyFont="1" applyBorder="1" applyProtection="1">
      <protection locked="0"/>
    </xf>
    <xf numFmtId="10" fontId="1" fillId="0" borderId="26" xfId="0" applyNumberFormat="1" applyFont="1" applyBorder="1" applyProtection="1">
      <protection locked="0"/>
    </xf>
    <xf numFmtId="164" fontId="1" fillId="2" borderId="26" xfId="0" applyNumberFormat="1" applyFont="1" applyFill="1" applyBorder="1"/>
    <xf numFmtId="4" fontId="1" fillId="2" borderId="24" xfId="0" applyNumberFormat="1" applyFont="1" applyFill="1" applyBorder="1"/>
    <xf numFmtId="165" fontId="1" fillId="2" borderId="24" xfId="0" applyNumberFormat="1" applyFont="1" applyFill="1" applyBorder="1"/>
    <xf numFmtId="10" fontId="1" fillId="2" borderId="24" xfId="0" applyNumberFormat="1" applyFont="1" applyFill="1" applyBorder="1"/>
    <xf numFmtId="4" fontId="1" fillId="2" borderId="25" xfId="0" applyNumberFormat="1" applyFont="1" applyFill="1" applyBorder="1"/>
    <xf numFmtId="165" fontId="1" fillId="2" borderId="25" xfId="0" applyNumberFormat="1" applyFont="1" applyFill="1" applyBorder="1"/>
    <xf numFmtId="10" fontId="1" fillId="2" borderId="25" xfId="0" applyNumberFormat="1" applyFont="1" applyFill="1" applyBorder="1"/>
    <xf numFmtId="4" fontId="1" fillId="2" borderId="26" xfId="0" applyNumberFormat="1" applyFont="1" applyFill="1" applyBorder="1"/>
    <xf numFmtId="165" fontId="1" fillId="2" borderId="26" xfId="0" applyNumberFormat="1" applyFont="1" applyFill="1" applyBorder="1"/>
    <xf numFmtId="10" fontId="1" fillId="2" borderId="26" xfId="0" applyNumberFormat="1" applyFont="1" applyFill="1" applyBorder="1"/>
    <xf numFmtId="49" fontId="1" fillId="3" borderId="21" xfId="0" applyNumberFormat="1" applyFont="1" applyFill="1" applyBorder="1"/>
    <xf numFmtId="0" fontId="1" fillId="3" borderId="22" xfId="0" applyFont="1" applyFill="1" applyBorder="1"/>
    <xf numFmtId="4" fontId="1" fillId="3" borderId="6" xfId="0" applyNumberFormat="1" applyFont="1" applyFill="1" applyBorder="1"/>
    <xf numFmtId="164" fontId="1" fillId="3" borderId="6" xfId="0" applyNumberFormat="1" applyFont="1" applyFill="1" applyBorder="1"/>
    <xf numFmtId="164" fontId="1" fillId="3" borderId="27" xfId="0" applyNumberFormat="1" applyFont="1" applyFill="1" applyBorder="1"/>
    <xf numFmtId="0" fontId="1" fillId="3" borderId="21" xfId="0" applyFont="1" applyFill="1" applyBorder="1"/>
    <xf numFmtId="0" fontId="1" fillId="3" borderId="29" xfId="0" applyFont="1" applyFill="1" applyBorder="1"/>
    <xf numFmtId="49" fontId="1" fillId="3" borderId="30" xfId="0" applyNumberFormat="1" applyFont="1" applyFill="1" applyBorder="1" applyAlignment="1">
      <alignment wrapText="1"/>
    </xf>
    <xf numFmtId="49" fontId="1" fillId="3" borderId="27" xfId="0" applyNumberFormat="1" applyFont="1" applyFill="1" applyBorder="1" applyAlignment="1">
      <alignment wrapText="1"/>
    </xf>
    <xf numFmtId="0" fontId="1" fillId="3" borderId="31" xfId="0" applyFont="1" applyFill="1" applyBorder="1"/>
    <xf numFmtId="0" fontId="1" fillId="3" borderId="28" xfId="0" applyFont="1" applyFill="1" applyBorder="1"/>
    <xf numFmtId="49" fontId="1" fillId="2" borderId="12" xfId="0" applyNumberFormat="1" applyFont="1" applyFill="1" applyBorder="1"/>
    <xf numFmtId="49" fontId="1" fillId="2" borderId="13" xfId="0" applyNumberFormat="1" applyFont="1" applyFill="1" applyBorder="1"/>
    <xf numFmtId="49" fontId="1" fillId="2" borderId="13" xfId="0" applyNumberFormat="1" applyFont="1" applyFill="1" applyBorder="1" applyAlignment="1">
      <alignment wrapText="1"/>
    </xf>
    <xf numFmtId="4" fontId="1" fillId="2" borderId="13" xfId="0" applyNumberFormat="1" applyFont="1" applyFill="1" applyBorder="1"/>
    <xf numFmtId="165" fontId="1" fillId="2" borderId="13" xfId="0" applyNumberFormat="1" applyFont="1" applyFill="1" applyBorder="1"/>
    <xf numFmtId="10" fontId="1" fillId="2" borderId="13" xfId="0" applyNumberFormat="1" applyFont="1" applyFill="1" applyBorder="1"/>
    <xf numFmtId="164" fontId="1" fillId="2" borderId="13" xfId="0" applyNumberFormat="1" applyFont="1" applyFill="1" applyBorder="1"/>
    <xf numFmtId="164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2" borderId="16" xfId="0" applyNumberFormat="1" applyFont="1" applyFill="1" applyBorder="1"/>
    <xf numFmtId="49" fontId="1" fillId="2" borderId="16" xfId="0" applyNumberFormat="1" applyFont="1" applyFill="1" applyBorder="1" applyAlignment="1">
      <alignment wrapText="1"/>
    </xf>
    <xf numFmtId="4" fontId="1" fillId="2" borderId="16" xfId="0" applyNumberFormat="1" applyFont="1" applyFill="1" applyBorder="1"/>
    <xf numFmtId="165" fontId="1" fillId="2" borderId="16" xfId="0" applyNumberFormat="1" applyFont="1" applyFill="1" applyBorder="1"/>
    <xf numFmtId="0" fontId="1" fillId="2" borderId="16" xfId="0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19" xfId="0" applyNumberFormat="1" applyFont="1" applyFill="1" applyBorder="1" applyAlignment="1">
      <alignment wrapText="1"/>
    </xf>
    <xf numFmtId="4" fontId="1" fillId="2" borderId="19" xfId="0" applyNumberFormat="1" applyFont="1" applyFill="1" applyBorder="1"/>
    <xf numFmtId="165" fontId="1" fillId="2" borderId="19" xfId="0" applyNumberFormat="1" applyFont="1" applyFill="1" applyBorder="1"/>
    <xf numFmtId="10" fontId="1" fillId="2" borderId="19" xfId="0" applyNumberFormat="1" applyFont="1" applyFill="1" applyBorder="1"/>
    <xf numFmtId="49" fontId="1" fillId="3" borderId="32" xfId="0" applyNumberFormat="1" applyFont="1" applyFill="1" applyBorder="1"/>
    <xf numFmtId="0" fontId="1" fillId="2" borderId="19" xfId="0" applyFont="1" applyFill="1" applyBorder="1"/>
    <xf numFmtId="0" fontId="1" fillId="2" borderId="13" xfId="0" applyFont="1" applyFill="1" applyBorder="1"/>
    <xf numFmtId="49" fontId="1" fillId="3" borderId="3" xfId="0" applyNumberFormat="1" applyFont="1" applyFill="1" applyBorder="1"/>
    <xf numFmtId="49" fontId="1" fillId="3" borderId="3" xfId="0" applyNumberFormat="1" applyFont="1" applyFill="1" applyBorder="1" applyAlignment="1">
      <alignment wrapText="1"/>
    </xf>
    <xf numFmtId="0" fontId="1" fillId="3" borderId="11" xfId="0" applyFont="1" applyFill="1" applyBorder="1"/>
    <xf numFmtId="49" fontId="1" fillId="3" borderId="11" xfId="0" applyNumberFormat="1" applyFont="1" applyFill="1" applyBorder="1"/>
    <xf numFmtId="0" fontId="1" fillId="3" borderId="6" xfId="0" applyFont="1" applyFill="1" applyBorder="1"/>
    <xf numFmtId="49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Protection="1">
      <protection locked="0"/>
    </xf>
    <xf numFmtId="49" fontId="1" fillId="4" borderId="25" xfId="0" applyNumberFormat="1" applyFont="1" applyFill="1" applyBorder="1" applyProtection="1">
      <protection locked="0"/>
    </xf>
    <xf numFmtId="164" fontId="1" fillId="4" borderId="25" xfId="0" applyNumberFormat="1" applyFont="1" applyFill="1" applyBorder="1" applyProtection="1">
      <protection locked="0"/>
    </xf>
    <xf numFmtId="49" fontId="1" fillId="4" borderId="26" xfId="0" applyNumberFormat="1" applyFont="1" applyFill="1" applyBorder="1" applyProtection="1">
      <protection locked="0"/>
    </xf>
    <xf numFmtId="164" fontId="1" fillId="4" borderId="26" xfId="0" applyNumberFormat="1" applyFont="1" applyFill="1" applyBorder="1" applyProtection="1">
      <protection locked="0"/>
    </xf>
    <xf numFmtId="49" fontId="1" fillId="3" borderId="24" xfId="0" applyNumberFormat="1" applyFont="1" applyFill="1" applyBorder="1" applyAlignment="1">
      <alignment wrapText="1"/>
    </xf>
    <xf numFmtId="49" fontId="1" fillId="3" borderId="24" xfId="0" applyNumberFormat="1" applyFont="1" applyFill="1" applyBorder="1"/>
    <xf numFmtId="49" fontId="1" fillId="3" borderId="25" xfId="0" applyNumberFormat="1" applyFont="1" applyFill="1" applyBorder="1" applyAlignment="1">
      <alignment wrapText="1"/>
    </xf>
    <xf numFmtId="0" fontId="1" fillId="3" borderId="25" xfId="0" applyFont="1" applyFill="1" applyBorder="1"/>
    <xf numFmtId="49" fontId="1" fillId="3" borderId="25" xfId="0" applyNumberFormat="1" applyFont="1" applyFill="1" applyBorder="1"/>
    <xf numFmtId="4" fontId="1" fillId="3" borderId="25" xfId="0" applyNumberFormat="1" applyFont="1" applyFill="1" applyBorder="1"/>
    <xf numFmtId="49" fontId="1" fillId="3" borderId="26" xfId="0" applyNumberFormat="1" applyFont="1" applyFill="1" applyBorder="1" applyAlignment="1">
      <alignment wrapText="1"/>
    </xf>
    <xf numFmtId="164" fontId="1" fillId="0" borderId="24" xfId="0" applyNumberFormat="1" applyFont="1" applyBorder="1" applyProtection="1">
      <protection locked="0"/>
    </xf>
    <xf numFmtId="164" fontId="1" fillId="0" borderId="25" xfId="0" applyNumberFormat="1" applyFont="1" applyBorder="1" applyProtection="1">
      <protection locked="0"/>
    </xf>
    <xf numFmtId="164" fontId="1" fillId="0" borderId="26" xfId="0" applyNumberFormat="1" applyFont="1" applyBorder="1" applyProtection="1">
      <protection locked="0"/>
    </xf>
    <xf numFmtId="0" fontId="1" fillId="3" borderId="23" xfId="0" applyFont="1" applyFill="1" applyBorder="1"/>
    <xf numFmtId="4" fontId="1" fillId="4" borderId="24" xfId="0" applyNumberFormat="1" applyFont="1" applyFill="1" applyBorder="1"/>
    <xf numFmtId="4" fontId="1" fillId="3" borderId="24" xfId="0" applyNumberFormat="1" applyFont="1" applyFill="1" applyBorder="1"/>
    <xf numFmtId="4" fontId="1" fillId="4" borderId="25" xfId="0" applyNumberFormat="1" applyFont="1" applyFill="1" applyBorder="1"/>
    <xf numFmtId="4" fontId="1" fillId="4" borderId="26" xfId="0" applyNumberFormat="1" applyFont="1" applyFill="1" applyBorder="1"/>
    <xf numFmtId="4" fontId="1" fillId="3" borderId="26" xfId="0" applyNumberFormat="1" applyFont="1" applyFill="1" applyBorder="1"/>
    <xf numFmtId="164" fontId="1" fillId="3" borderId="23" xfId="0" applyNumberFormat="1" applyFont="1" applyFill="1" applyBorder="1"/>
    <xf numFmtId="4" fontId="1" fillId="0" borderId="26" xfId="0" applyNumberFormat="1" applyFont="1" applyBorder="1"/>
    <xf numFmtId="49" fontId="2" fillId="3" borderId="6" xfId="0" applyNumberFormat="1" applyFont="1" applyFill="1" applyBorder="1"/>
    <xf numFmtId="164" fontId="2" fillId="2" borderId="6" xfId="0" applyNumberFormat="1" applyFont="1" applyFill="1" applyBorder="1"/>
    <xf numFmtId="49" fontId="2" fillId="3" borderId="13" xfId="0" applyNumberFormat="1" applyFont="1" applyFill="1" applyBorder="1"/>
    <xf numFmtId="49" fontId="2" fillId="3" borderId="14" xfId="0" applyNumberFormat="1" applyFont="1" applyFill="1" applyBorder="1"/>
    <xf numFmtId="49" fontId="2" fillId="3" borderId="16" xfId="0" applyNumberFormat="1" applyFont="1" applyFill="1" applyBorder="1"/>
    <xf numFmtId="49" fontId="2" fillId="3" borderId="17" xfId="0" applyNumberFormat="1" applyFont="1" applyFill="1" applyBorder="1"/>
    <xf numFmtId="49" fontId="2" fillId="4" borderId="16" xfId="0" applyNumberFormat="1" applyFont="1" applyFill="1" applyBorder="1" applyAlignment="1">
      <alignment wrapText="1"/>
    </xf>
    <xf numFmtId="49" fontId="2" fillId="4" borderId="17" xfId="0" applyNumberFormat="1" applyFont="1" applyFill="1" applyBorder="1" applyAlignment="1">
      <alignment wrapText="1"/>
    </xf>
    <xf numFmtId="49" fontId="2" fillId="0" borderId="16" xfId="0" applyNumberFormat="1" applyFont="1" applyBorder="1" applyAlignment="1" applyProtection="1">
      <alignment wrapText="1"/>
      <protection locked="0"/>
    </xf>
    <xf numFmtId="49" fontId="2" fillId="0" borderId="17" xfId="0" applyNumberFormat="1" applyFont="1" applyBorder="1" applyAlignment="1" applyProtection="1">
      <alignment wrapText="1"/>
      <protection locked="0"/>
    </xf>
    <xf numFmtId="164" fontId="1" fillId="0" borderId="16" xfId="0" applyNumberFormat="1" applyFont="1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164" fontId="1" fillId="2" borderId="16" xfId="0" applyNumberFormat="1" applyFont="1" applyFill="1" applyBorder="1"/>
    <xf numFmtId="164" fontId="1" fillId="2" borderId="17" xfId="0" applyNumberFormat="1" applyFont="1" applyFill="1" applyBorder="1"/>
    <xf numFmtId="49" fontId="2" fillId="3" borderId="13" xfId="0" applyNumberFormat="1" applyFont="1" applyFill="1" applyBorder="1" applyAlignment="1">
      <alignment wrapText="1"/>
    </xf>
    <xf numFmtId="49" fontId="2" fillId="3" borderId="14" xfId="0" applyNumberFormat="1" applyFont="1" applyFill="1" applyBorder="1" applyAlignment="1">
      <alignment wrapText="1"/>
    </xf>
    <xf numFmtId="164" fontId="2" fillId="2" borderId="19" xfId="0" applyNumberFormat="1" applyFont="1" applyFill="1" applyBorder="1"/>
    <xf numFmtId="164" fontId="2" fillId="2" borderId="2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E9DD-DA2E-40D0-B625-2D5167CB5DBF}">
  <dimension ref="A1:K29"/>
  <sheetViews>
    <sheetView zoomScaleNormal="100" workbookViewId="0">
      <selection activeCell="P26" sqref="P25:P26"/>
    </sheetView>
  </sheetViews>
  <sheetFormatPr defaultColWidth="8.90625" defaultRowHeight="11.5" x14ac:dyDescent="0.25"/>
  <cols>
    <col min="1" max="1" width="32.54296875" style="2" bestFit="1" customWidth="1"/>
    <col min="2" max="2" width="8.90625" style="2"/>
    <col min="3" max="3" width="4.6328125" style="2" customWidth="1"/>
    <col min="4" max="4" width="20.6328125" style="2" bestFit="1" customWidth="1"/>
    <col min="5" max="5" width="8" style="2" bestFit="1" customWidth="1"/>
    <col min="6" max="6" width="5.1796875" style="2" customWidth="1"/>
    <col min="7" max="7" width="21.90625" style="2" bestFit="1" customWidth="1"/>
    <col min="8" max="8" width="8.90625" style="2"/>
    <col min="9" max="9" width="4.90625" style="2" customWidth="1"/>
    <col min="10" max="10" width="20.81640625" style="2" bestFit="1" customWidth="1"/>
    <col min="11" max="16384" width="8.90625" style="2"/>
  </cols>
  <sheetData>
    <row r="1" spans="1:11" x14ac:dyDescent="0.25">
      <c r="A1" s="1" t="s">
        <v>0</v>
      </c>
    </row>
    <row r="3" spans="1:11" x14ac:dyDescent="0.25">
      <c r="A3" s="2" t="s">
        <v>1</v>
      </c>
    </row>
    <row r="5" spans="1:11" x14ac:dyDescent="0.25">
      <c r="A5" s="2" t="s">
        <v>2</v>
      </c>
      <c r="B5" s="2" t="s">
        <v>3</v>
      </c>
    </row>
    <row r="7" spans="1:11" x14ac:dyDescent="0.25">
      <c r="A7" s="3" t="s">
        <v>4</v>
      </c>
      <c r="B7" s="4"/>
      <c r="D7" s="3" t="s">
        <v>26</v>
      </c>
      <c r="E7" s="4"/>
      <c r="F7" s="13"/>
      <c r="G7" s="11" t="s">
        <v>27</v>
      </c>
      <c r="H7" s="4"/>
      <c r="J7" s="3" t="s">
        <v>28</v>
      </c>
      <c r="K7" s="4"/>
    </row>
    <row r="8" spans="1:11" x14ac:dyDescent="0.25">
      <c r="A8" s="5"/>
      <c r="B8" s="6"/>
      <c r="D8" s="5"/>
      <c r="E8" s="6"/>
      <c r="F8" s="13"/>
      <c r="G8" s="12"/>
      <c r="H8" s="6"/>
      <c r="J8" s="5"/>
      <c r="K8" s="6"/>
    </row>
    <row r="9" spans="1:11" x14ac:dyDescent="0.25">
      <c r="A9" s="5" t="s">
        <v>5</v>
      </c>
      <c r="B9" s="6">
        <v>200</v>
      </c>
      <c r="D9" s="5" t="s">
        <v>5</v>
      </c>
      <c r="E9" s="6">
        <v>200</v>
      </c>
      <c r="F9" s="13"/>
      <c r="G9" s="12" t="s">
        <v>5</v>
      </c>
      <c r="H9" s="6">
        <v>63</v>
      </c>
      <c r="J9" s="5" t="s">
        <v>5</v>
      </c>
      <c r="K9" s="6">
        <v>102</v>
      </c>
    </row>
    <row r="10" spans="1:11" x14ac:dyDescent="0.25">
      <c r="A10" s="5" t="s">
        <v>6</v>
      </c>
      <c r="B10" s="6">
        <v>5</v>
      </c>
      <c r="D10" s="5" t="s">
        <v>6</v>
      </c>
      <c r="E10" s="6">
        <v>5</v>
      </c>
      <c r="F10" s="13"/>
      <c r="G10" s="12" t="s">
        <v>6</v>
      </c>
      <c r="H10" s="6">
        <v>1</v>
      </c>
      <c r="J10" s="5" t="s">
        <v>6</v>
      </c>
      <c r="K10" s="6">
        <v>2</v>
      </c>
    </row>
    <row r="11" spans="1:11" x14ac:dyDescent="0.25">
      <c r="A11" s="5"/>
      <c r="B11" s="6"/>
      <c r="D11" s="5"/>
      <c r="E11" s="6"/>
      <c r="F11" s="13"/>
      <c r="G11" s="12"/>
      <c r="H11" s="6"/>
      <c r="J11" s="5"/>
      <c r="K11" s="6"/>
    </row>
    <row r="12" spans="1:11" x14ac:dyDescent="0.25">
      <c r="A12" s="5" t="s">
        <v>7</v>
      </c>
      <c r="B12" s="6" t="s">
        <v>8</v>
      </c>
      <c r="D12" s="5" t="s">
        <v>7</v>
      </c>
      <c r="E12" s="6" t="s">
        <v>8</v>
      </c>
      <c r="F12" s="13"/>
      <c r="G12" s="12" t="s">
        <v>7</v>
      </c>
      <c r="H12" s="6" t="s">
        <v>8</v>
      </c>
      <c r="J12" s="5" t="s">
        <v>7</v>
      </c>
      <c r="K12" s="6" t="s">
        <v>8</v>
      </c>
    </row>
    <row r="13" spans="1:11" x14ac:dyDescent="0.25">
      <c r="A13" s="5" t="s">
        <v>9</v>
      </c>
      <c r="B13" s="6">
        <f t="shared" ref="B13:B29" si="0">IF(A13="2½W",2.5/dagenperweek1,IF(RIGHT(A13,1)="W",VALUE(LEFT(A13,LEN(A13)-1))/dagenperweek1,IF(RIGHT(A13,1)="J",VALUE(LEFT(A13,LEN(A13)-1))/dagenperjaar1,"handmatig!")))</f>
        <v>1.0249999999999999</v>
      </c>
      <c r="D13" s="5" t="s">
        <v>10</v>
      </c>
      <c r="E13" s="6">
        <f t="shared" ref="E13:E24" si="1">IF(D13="2½W",2.5/dagenperweek2,IF(RIGHT(D13,1)="W",VALUE(LEFT(D13,LEN(D13)-1))/dagenperweek2,IF(RIGHT(D13,1)="J",VALUE(LEFT(D13,LEN(D13)-1))/dagenperjaar2,"handmatig!")))</f>
        <v>1</v>
      </c>
      <c r="G13" s="5" t="s">
        <v>10</v>
      </c>
      <c r="H13" s="6">
        <f t="shared" ref="H13:H24" si="2">IF(G13="2½W",2.5/dagenperweek3,IF(RIGHT(G13,1)="W",VALUE(LEFT(G13,LEN(G13)-1))/dagenperweek3,IF(RIGHT(G13,1)="J",VALUE(LEFT(G13,LEN(G13)-1))/dagenperjaar3,"handmatig!")))</f>
        <v>5</v>
      </c>
      <c r="J13" s="5" t="s">
        <v>15</v>
      </c>
      <c r="K13" s="6">
        <f>IF(J13="2½W",2.5/dagenperweek4,IF(RIGHT(J13,1)="W",VALUE(LEFT(J13,LEN(J13)-1))/dagenperweek4,IF(RIGHT(J13,1)="J",VALUE(LEFT(J13,LEN(J13)-1))/dagenperjaar4,"handmatig!")))</f>
        <v>1</v>
      </c>
    </row>
    <row r="14" spans="1:11" x14ac:dyDescent="0.25">
      <c r="A14" s="5" t="s">
        <v>10</v>
      </c>
      <c r="B14" s="6">
        <f t="shared" si="0"/>
        <v>1</v>
      </c>
      <c r="D14" s="5" t="s">
        <v>11</v>
      </c>
      <c r="E14" s="6">
        <f t="shared" si="1"/>
        <v>0.8</v>
      </c>
      <c r="G14" s="5" t="s">
        <v>11</v>
      </c>
      <c r="H14" s="6">
        <f t="shared" si="2"/>
        <v>4</v>
      </c>
      <c r="J14" s="5" t="s">
        <v>17</v>
      </c>
      <c r="K14" s="6">
        <f>IF(J14="2½W",2.5/dagenperweek4,IF(RIGHT(J14,1)="W",VALUE(LEFT(J14,LEN(J14)-1))/dagenperweek4,IF(RIGHT(J14,1)="J",VALUE(LEFT(J14,LEN(J14)-1))/dagenperjaar4,"handmatig!")))</f>
        <v>0.5</v>
      </c>
    </row>
    <row r="15" spans="1:11" x14ac:dyDescent="0.25">
      <c r="A15" s="5" t="s">
        <v>11</v>
      </c>
      <c r="B15" s="6">
        <f t="shared" si="0"/>
        <v>0.8</v>
      </c>
      <c r="D15" s="5" t="s">
        <v>13</v>
      </c>
      <c r="E15" s="6">
        <f t="shared" si="1"/>
        <v>0.6</v>
      </c>
      <c r="G15" s="5" t="s">
        <v>13</v>
      </c>
      <c r="H15" s="6">
        <f t="shared" si="2"/>
        <v>3</v>
      </c>
      <c r="J15" s="7" t="s">
        <v>25</v>
      </c>
      <c r="K15" s="8">
        <f>IF(J15="2½W",2.5/dagenperweek4,IF(RIGHT(J15,1)="W",VALUE(LEFT(J15,LEN(J15)-1))/dagenperweek4,IF(RIGHT(J15,1)="J",VALUE(LEFT(J15,LEN(J15)-1))/dagenperjaar4,"handmatig!")))</f>
        <v>9.8039215686274508E-3</v>
      </c>
    </row>
    <row r="16" spans="1:11" x14ac:dyDescent="0.25">
      <c r="A16" s="5" t="s">
        <v>12</v>
      </c>
      <c r="B16" s="6">
        <f t="shared" si="0"/>
        <v>0.61499999999999999</v>
      </c>
      <c r="D16" s="5" t="s">
        <v>15</v>
      </c>
      <c r="E16" s="6">
        <f t="shared" si="1"/>
        <v>0.4</v>
      </c>
      <c r="G16" s="5" t="s">
        <v>15</v>
      </c>
      <c r="H16" s="6">
        <f t="shared" si="2"/>
        <v>2</v>
      </c>
    </row>
    <row r="17" spans="1:8" x14ac:dyDescent="0.25">
      <c r="A17" s="5" t="s">
        <v>13</v>
      </c>
      <c r="B17" s="6">
        <f t="shared" si="0"/>
        <v>0.6</v>
      </c>
      <c r="D17" s="5" t="s">
        <v>17</v>
      </c>
      <c r="E17" s="6">
        <f t="shared" si="1"/>
        <v>0.2</v>
      </c>
      <c r="G17" s="5" t="s">
        <v>17</v>
      </c>
      <c r="H17" s="6">
        <f t="shared" si="2"/>
        <v>1</v>
      </c>
    </row>
    <row r="18" spans="1:8" x14ac:dyDescent="0.25">
      <c r="A18" s="5" t="s">
        <v>14</v>
      </c>
      <c r="B18" s="6">
        <f t="shared" si="0"/>
        <v>0.41</v>
      </c>
      <c r="D18" s="5" t="s">
        <v>18</v>
      </c>
      <c r="E18" s="6">
        <f t="shared" si="1"/>
        <v>0.13</v>
      </c>
      <c r="G18" s="5" t="s">
        <v>18</v>
      </c>
      <c r="H18" s="6">
        <f t="shared" si="2"/>
        <v>0.41269841269841268</v>
      </c>
    </row>
    <row r="19" spans="1:8" x14ac:dyDescent="0.25">
      <c r="A19" s="5" t="s">
        <v>15</v>
      </c>
      <c r="B19" s="6">
        <f t="shared" si="0"/>
        <v>0.4</v>
      </c>
      <c r="D19" s="5" t="s">
        <v>20</v>
      </c>
      <c r="E19" s="6">
        <f t="shared" si="1"/>
        <v>0.06</v>
      </c>
      <c r="G19" s="5" t="s">
        <v>20</v>
      </c>
      <c r="H19" s="6">
        <f t="shared" si="2"/>
        <v>0.19047619047619047</v>
      </c>
    </row>
    <row r="20" spans="1:8" x14ac:dyDescent="0.25">
      <c r="A20" s="5" t="s">
        <v>16</v>
      </c>
      <c r="B20" s="6">
        <f t="shared" si="0"/>
        <v>0.20499999999999999</v>
      </c>
      <c r="D20" s="5" t="s">
        <v>21</v>
      </c>
      <c r="E20" s="6">
        <f t="shared" si="1"/>
        <v>0.03</v>
      </c>
      <c r="G20" s="5" t="s">
        <v>21</v>
      </c>
      <c r="H20" s="6">
        <f t="shared" si="2"/>
        <v>9.5238095238095233E-2</v>
      </c>
    </row>
    <row r="21" spans="1:8" x14ac:dyDescent="0.25">
      <c r="A21" s="5" t="s">
        <v>17</v>
      </c>
      <c r="B21" s="6">
        <f t="shared" si="0"/>
        <v>0.2</v>
      </c>
      <c r="D21" s="5" t="s">
        <v>22</v>
      </c>
      <c r="E21" s="6">
        <f t="shared" si="1"/>
        <v>0.02</v>
      </c>
      <c r="G21" s="5" t="s">
        <v>22</v>
      </c>
      <c r="H21" s="6">
        <f t="shared" si="2"/>
        <v>6.3492063492063489E-2</v>
      </c>
    </row>
    <row r="22" spans="1:8" x14ac:dyDescent="0.25">
      <c r="A22" s="5" t="s">
        <v>18</v>
      </c>
      <c r="B22" s="6">
        <f t="shared" si="0"/>
        <v>0.13</v>
      </c>
      <c r="D22" s="5" t="s">
        <v>23</v>
      </c>
      <c r="E22" s="6">
        <f t="shared" si="1"/>
        <v>1.4999999999999999E-2</v>
      </c>
      <c r="G22" s="5" t="s">
        <v>23</v>
      </c>
      <c r="H22" s="6">
        <f t="shared" si="2"/>
        <v>4.7619047619047616E-2</v>
      </c>
    </row>
    <row r="23" spans="1:8" x14ac:dyDescent="0.25">
      <c r="A23" s="5" t="s">
        <v>19</v>
      </c>
      <c r="B23" s="6">
        <f t="shared" si="0"/>
        <v>0.1</v>
      </c>
      <c r="D23" s="5" t="s">
        <v>24</v>
      </c>
      <c r="E23" s="6">
        <f t="shared" si="1"/>
        <v>0.01</v>
      </c>
      <c r="G23" s="5" t="s">
        <v>24</v>
      </c>
      <c r="H23" s="6">
        <f t="shared" si="2"/>
        <v>3.1746031746031744E-2</v>
      </c>
    </row>
    <row r="24" spans="1:8" x14ac:dyDescent="0.25">
      <c r="A24" s="5" t="s">
        <v>20</v>
      </c>
      <c r="B24" s="6">
        <f t="shared" si="0"/>
        <v>0.06</v>
      </c>
      <c r="D24" s="9" t="s">
        <v>25</v>
      </c>
      <c r="E24" s="10">
        <f t="shared" si="1"/>
        <v>5.0000000000000001E-3</v>
      </c>
      <c r="G24" s="7" t="s">
        <v>25</v>
      </c>
      <c r="H24" s="8">
        <f t="shared" si="2"/>
        <v>1.5873015873015872E-2</v>
      </c>
    </row>
    <row r="25" spans="1:8" x14ac:dyDescent="0.25">
      <c r="A25" s="5" t="s">
        <v>21</v>
      </c>
      <c r="B25" s="6">
        <f t="shared" si="0"/>
        <v>0.03</v>
      </c>
    </row>
    <row r="26" spans="1:8" x14ac:dyDescent="0.25">
      <c r="A26" s="5" t="s">
        <v>22</v>
      </c>
      <c r="B26" s="6">
        <f t="shared" si="0"/>
        <v>0.02</v>
      </c>
    </row>
    <row r="27" spans="1:8" x14ac:dyDescent="0.25">
      <c r="A27" s="5" t="s">
        <v>23</v>
      </c>
      <c r="B27" s="6">
        <f t="shared" si="0"/>
        <v>1.4999999999999999E-2</v>
      </c>
    </row>
    <row r="28" spans="1:8" x14ac:dyDescent="0.25">
      <c r="A28" s="5" t="s">
        <v>24</v>
      </c>
      <c r="B28" s="6">
        <f t="shared" si="0"/>
        <v>0.01</v>
      </c>
    </row>
    <row r="29" spans="1:8" x14ac:dyDescent="0.25">
      <c r="A29" s="7" t="s">
        <v>25</v>
      </c>
      <c r="B29" s="8">
        <f t="shared" si="0"/>
        <v>5.0000000000000001E-3</v>
      </c>
    </row>
  </sheetData>
  <sheetProtection algorithmName="SHA-512" hashValue="lpwVbzo2Cs0V/tao/D7gcX9hViBv3z7iOBOOD7KKnXRrn5LREgavgMbVkZT/8z/Ea4adwTbKhrXtJ8a4EvuumQ==" saltValue="/WuOY8aqetNcNOedix7m2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F07A-E158-4BEA-9A48-9CAD3B0EF264}">
  <dimension ref="A1:L11"/>
  <sheetViews>
    <sheetView workbookViewId="0">
      <selection activeCell="F16" sqref="F16"/>
    </sheetView>
  </sheetViews>
  <sheetFormatPr defaultColWidth="8.90625" defaultRowHeight="11.5" x14ac:dyDescent="0.25"/>
  <cols>
    <col min="1" max="1" width="7.6328125" style="2" customWidth="1"/>
    <col min="2" max="2" width="6.6328125" style="2" customWidth="1"/>
    <col min="3" max="3" width="7.6328125" style="2" customWidth="1"/>
    <col min="4" max="4" width="50.6328125" style="2" customWidth="1"/>
    <col min="5" max="6" width="14.6328125" style="2" customWidth="1"/>
    <col min="7" max="9" width="11.6328125" style="2" customWidth="1"/>
    <col min="10" max="10" width="12.6328125" style="2" customWidth="1"/>
    <col min="11" max="11" width="14.6328125" style="2" customWidth="1"/>
    <col min="12" max="12" width="13.6328125" style="2" customWidth="1"/>
    <col min="13" max="16384" width="8.90625" style="2"/>
  </cols>
  <sheetData>
    <row r="1" spans="1:12" x14ac:dyDescent="0.25">
      <c r="A1" s="1" t="str">
        <f>CONCATENATE("Bijlage 7.1.7: ",tabeltype," regiewerk")</f>
        <v>Bijlage 7.1.7: Invultabel regiewerk</v>
      </c>
    </row>
    <row r="3" spans="1:12" ht="34.5" x14ac:dyDescent="0.25">
      <c r="A3" s="34" t="s">
        <v>1281</v>
      </c>
      <c r="B3" s="34" t="s">
        <v>7</v>
      </c>
      <c r="C3" s="34" t="s">
        <v>1409</v>
      </c>
      <c r="D3" s="34" t="s">
        <v>100</v>
      </c>
      <c r="E3" s="34" t="s">
        <v>103</v>
      </c>
      <c r="F3" s="34" t="s">
        <v>1410</v>
      </c>
      <c r="G3" s="34" t="s">
        <v>1411</v>
      </c>
      <c r="H3" s="34" t="s">
        <v>1412</v>
      </c>
      <c r="I3" s="34" t="s">
        <v>1283</v>
      </c>
      <c r="J3" s="34" t="s">
        <v>1413</v>
      </c>
      <c r="K3" s="34" t="s">
        <v>256</v>
      </c>
      <c r="L3" s="34" t="s">
        <v>1253</v>
      </c>
    </row>
    <row r="4" spans="1:12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</row>
    <row r="5" spans="1:12" x14ac:dyDescent="0.25">
      <c r="A5" s="38" t="s">
        <v>105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2" x14ac:dyDescent="0.25">
      <c r="A6" s="41" t="s">
        <v>1414</v>
      </c>
      <c r="B6" s="41" t="s">
        <v>25</v>
      </c>
      <c r="C6" s="42">
        <f>IF(ISBLANK(B6),0,IF(ISERROR(VALUE(B6)),VLOOKUP(B6,dagsoorttabel1,2,FALSE)*dagenperjaar1,VALUE(B6)))</f>
        <v>1</v>
      </c>
      <c r="D6" s="41" t="s">
        <v>1415</v>
      </c>
      <c r="E6" s="41" t="s">
        <v>1328</v>
      </c>
      <c r="F6" s="121">
        <v>15</v>
      </c>
      <c r="G6" s="45">
        <f>Tariefopbouw3</f>
        <v>0</v>
      </c>
      <c r="H6" s="122"/>
      <c r="I6" s="45">
        <f>G6</f>
        <v>0</v>
      </c>
      <c r="J6" s="45">
        <f>IF(ISBLANK(F6),0,F6)*ROUND(I6,2)</f>
        <v>0</v>
      </c>
      <c r="K6" s="45">
        <f>C6*J6</f>
        <v>0</v>
      </c>
      <c r="L6" s="45">
        <f>K6/12</f>
        <v>0</v>
      </c>
    </row>
    <row r="7" spans="1:12" x14ac:dyDescent="0.25">
      <c r="A7" s="46" t="s">
        <v>1416</v>
      </c>
      <c r="B7" s="46" t="s">
        <v>25</v>
      </c>
      <c r="C7" s="47">
        <f>IF(ISBLANK(B7),0,IF(ISERROR(VALUE(B7)),VLOOKUP(B7,dagsoorttabel1,2,FALSE)*dagenperjaar1,VALUE(B7)))</f>
        <v>1</v>
      </c>
      <c r="D7" s="46" t="s">
        <v>1417</v>
      </c>
      <c r="E7" s="46" t="s">
        <v>1328</v>
      </c>
      <c r="F7" s="123">
        <v>4</v>
      </c>
      <c r="G7" s="50">
        <f>Tariefopbouw5</f>
        <v>0</v>
      </c>
      <c r="H7" s="115"/>
      <c r="I7" s="50">
        <f>G7</f>
        <v>0</v>
      </c>
      <c r="J7" s="50">
        <f>IF(ISBLANK(F7),0,F7)*ROUND(I7,2)</f>
        <v>0</v>
      </c>
      <c r="K7" s="50">
        <f>C7*J7</f>
        <v>0</v>
      </c>
      <c r="L7" s="50">
        <f>K7/12</f>
        <v>0</v>
      </c>
    </row>
    <row r="8" spans="1:12" x14ac:dyDescent="0.25">
      <c r="A8" s="51" t="s">
        <v>1418</v>
      </c>
      <c r="B8" s="51" t="s">
        <v>25</v>
      </c>
      <c r="C8" s="52">
        <f>IF(ISBLANK(B8),0,IF(ISERROR(VALUE(B8)),VLOOKUP(B8,dagsoorttabel1,2,FALSE)*dagenperjaar1,VALUE(B8)))</f>
        <v>1</v>
      </c>
      <c r="D8" s="51" t="s">
        <v>1419</v>
      </c>
      <c r="E8" s="51" t="s">
        <v>1328</v>
      </c>
      <c r="F8" s="124">
        <v>5</v>
      </c>
      <c r="G8" s="55">
        <f>Tariefopbouw4</f>
        <v>0</v>
      </c>
      <c r="H8" s="125"/>
      <c r="I8" s="55">
        <f>G8</f>
        <v>0</v>
      </c>
      <c r="J8" s="55">
        <f>IF(ISBLANK(F8),0,F8)*ROUND(I8,2)</f>
        <v>0</v>
      </c>
      <c r="K8" s="55">
        <f>C8*J8</f>
        <v>0</v>
      </c>
      <c r="L8" s="55">
        <f>K8/12</f>
        <v>0</v>
      </c>
    </row>
    <row r="9" spans="1:12" x14ac:dyDescent="0.25">
      <c r="A9" s="65" t="s">
        <v>327</v>
      </c>
      <c r="B9" s="66"/>
      <c r="C9" s="66"/>
      <c r="D9" s="66"/>
      <c r="E9" s="66"/>
      <c r="F9" s="66"/>
      <c r="G9" s="66"/>
      <c r="H9" s="66"/>
      <c r="I9" s="66"/>
      <c r="J9" s="66"/>
      <c r="K9" s="68">
        <f>SUM(K6:K8)</f>
        <v>0</v>
      </c>
      <c r="L9" s="126">
        <f>K9/12</f>
        <v>0</v>
      </c>
    </row>
    <row r="11" spans="1:12" x14ac:dyDescent="0.25">
      <c r="A11" s="65" t="s">
        <v>1420</v>
      </c>
      <c r="B11" s="66"/>
      <c r="C11" s="66"/>
      <c r="D11" s="66"/>
      <c r="E11" s="66"/>
      <c r="F11" s="66"/>
      <c r="G11" s="66"/>
      <c r="H11" s="66"/>
      <c r="I11" s="66"/>
      <c r="J11" s="66"/>
      <c r="K11" s="68">
        <f>prijsjaarregie1</f>
        <v>0</v>
      </c>
      <c r="L11" s="126">
        <f>K11/12</f>
        <v>0</v>
      </c>
    </row>
  </sheetData>
  <sheetProtection algorithmName="SHA-512" hashValue="/j/d55uJdsn4/dpVbCFO1cnm/5BRKeo2/b2OdITBX7VdOf15lJ7Rg/D7/rqYXiWSdPx6AO4wnrQSzC+X0MPwIA==" saltValue="TYlW3PSw5g7w6DAv+VlXTg==" spinCount="100000" sheet="1" objects="1" scenarios="1" autoFilter="0"/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2293-ACA4-4839-A69F-7D53BDA938F2}">
  <dimension ref="A1:L12"/>
  <sheetViews>
    <sheetView workbookViewId="0">
      <selection activeCell="E32" sqref="E32"/>
    </sheetView>
  </sheetViews>
  <sheetFormatPr defaultColWidth="8.90625" defaultRowHeight="11.5" x14ac:dyDescent="0.25"/>
  <cols>
    <col min="1" max="1" width="7.6328125" style="2" customWidth="1"/>
    <col min="2" max="2" width="6.6328125" style="2" customWidth="1"/>
    <col min="3" max="3" width="7.6328125" style="2" customWidth="1"/>
    <col min="4" max="4" width="50.6328125" style="2" customWidth="1"/>
    <col min="5" max="6" width="14.6328125" style="2" customWidth="1"/>
    <col min="7" max="9" width="11.6328125" style="2" customWidth="1"/>
    <col min="10" max="10" width="12.6328125" style="2" customWidth="1"/>
    <col min="11" max="11" width="14.6328125" style="2" customWidth="1"/>
    <col min="12" max="12" width="13.6328125" style="2" customWidth="1"/>
    <col min="13" max="16384" width="8.90625" style="2"/>
  </cols>
  <sheetData>
    <row r="1" spans="1:12" x14ac:dyDescent="0.25">
      <c r="A1" s="1" t="str">
        <f>CONCATENATE("Bijlage 7.1.8: ",tabeltype," glas")</f>
        <v>Bijlage 7.1.8: Invultabel glas</v>
      </c>
    </row>
    <row r="3" spans="1:12" ht="34.5" x14ac:dyDescent="0.25">
      <c r="A3" s="34" t="s">
        <v>1281</v>
      </c>
      <c r="B3" s="34" t="s">
        <v>7</v>
      </c>
      <c r="C3" s="34" t="s">
        <v>1409</v>
      </c>
      <c r="D3" s="34" t="s">
        <v>100</v>
      </c>
      <c r="E3" s="34" t="s">
        <v>103</v>
      </c>
      <c r="F3" s="34" t="s">
        <v>1410</v>
      </c>
      <c r="G3" s="34" t="s">
        <v>1411</v>
      </c>
      <c r="H3" s="34" t="s">
        <v>1412</v>
      </c>
      <c r="I3" s="34" t="s">
        <v>1283</v>
      </c>
      <c r="J3" s="34" t="s">
        <v>1413</v>
      </c>
      <c r="K3" s="34" t="s">
        <v>256</v>
      </c>
      <c r="L3" s="34" t="s">
        <v>1253</v>
      </c>
    </row>
    <row r="4" spans="1:12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</row>
    <row r="5" spans="1:12" x14ac:dyDescent="0.25">
      <c r="A5" s="38" t="s">
        <v>105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2" x14ac:dyDescent="0.25">
      <c r="A6" s="41" t="s">
        <v>1421</v>
      </c>
      <c r="B6" s="41" t="s">
        <v>24</v>
      </c>
      <c r="C6" s="42">
        <f>IF(ISBLANK(B6),0,IF(ISERROR(VALUE(B6)),VLOOKUP(B6,dagsoorttabel1,2,FALSE)*dagenperjaar1,VALUE(B6)))</f>
        <v>2</v>
      </c>
      <c r="D6" s="41" t="s">
        <v>1422</v>
      </c>
      <c r="E6" s="41" t="s">
        <v>1306</v>
      </c>
      <c r="F6" s="121">
        <v>5053</v>
      </c>
      <c r="G6" s="117"/>
      <c r="H6" s="122"/>
      <c r="I6" s="117"/>
      <c r="J6" s="45">
        <f>IF(ISBLANK(F6),0,F6)*ROUND(I6,2)</f>
        <v>0</v>
      </c>
      <c r="K6" s="45">
        <f>C6*J6</f>
        <v>0</v>
      </c>
      <c r="L6" s="45">
        <f>K6/12</f>
        <v>0</v>
      </c>
    </row>
    <row r="7" spans="1:12" x14ac:dyDescent="0.25">
      <c r="A7" s="46" t="s">
        <v>1423</v>
      </c>
      <c r="B7" s="46" t="s">
        <v>24</v>
      </c>
      <c r="C7" s="47">
        <f>IF(ISBLANK(B7),0,IF(ISERROR(VALUE(B7)),VLOOKUP(B7,dagsoorttabel1,2,FALSE)*dagenperjaar1,VALUE(B7)))</f>
        <v>2</v>
      </c>
      <c r="D7" s="46" t="s">
        <v>1424</v>
      </c>
      <c r="E7" s="46" t="s">
        <v>1306</v>
      </c>
      <c r="F7" s="123">
        <v>5053</v>
      </c>
      <c r="G7" s="118"/>
      <c r="H7" s="115"/>
      <c r="I7" s="118"/>
      <c r="J7" s="50">
        <f>IF(ISBLANK(F7),0,F7)*ROUND(I7,2)</f>
        <v>0</v>
      </c>
      <c r="K7" s="50">
        <f>C7*J7</f>
        <v>0</v>
      </c>
      <c r="L7" s="50">
        <f>K7/12</f>
        <v>0</v>
      </c>
    </row>
    <row r="8" spans="1:12" x14ac:dyDescent="0.25">
      <c r="A8" s="46" t="s">
        <v>1425</v>
      </c>
      <c r="B8" s="46" t="s">
        <v>24</v>
      </c>
      <c r="C8" s="47">
        <f>IF(ISBLANK(B8),0,IF(ISERROR(VALUE(B8)),VLOOKUP(B8,dagsoorttabel1,2,FALSE)*dagenperjaar1,VALUE(B8)))</f>
        <v>2</v>
      </c>
      <c r="D8" s="46" t="s">
        <v>1426</v>
      </c>
      <c r="E8" s="46" t="s">
        <v>1306</v>
      </c>
      <c r="F8" s="123">
        <v>4334</v>
      </c>
      <c r="G8" s="118"/>
      <c r="H8" s="115"/>
      <c r="I8" s="118"/>
      <c r="J8" s="50">
        <f>IF(ISBLANK(F8),0,F8)*ROUND(I8,2)</f>
        <v>0</v>
      </c>
      <c r="K8" s="50">
        <f>C8*J8</f>
        <v>0</v>
      </c>
      <c r="L8" s="50">
        <f>K8/12</f>
        <v>0</v>
      </c>
    </row>
    <row r="9" spans="1:12" x14ac:dyDescent="0.25">
      <c r="A9" s="51" t="s">
        <v>1427</v>
      </c>
      <c r="B9" s="51" t="s">
        <v>24</v>
      </c>
      <c r="C9" s="52">
        <f>IF(ISBLANK(B9),0,IF(ISERROR(VALUE(B9)),VLOOKUP(B9,dagsoorttabel1,2,FALSE)*dagenperjaar1,VALUE(B9)))</f>
        <v>2</v>
      </c>
      <c r="D9" s="51" t="s">
        <v>1428</v>
      </c>
      <c r="E9" s="51" t="s">
        <v>1429</v>
      </c>
      <c r="F9" s="127"/>
      <c r="G9" s="119"/>
      <c r="H9" s="125"/>
      <c r="I9" s="119"/>
      <c r="J9" s="55">
        <f>IF(ISBLANK(F9),0,F9)*ROUND(I9,2)</f>
        <v>0</v>
      </c>
      <c r="K9" s="55">
        <f>C9*J9</f>
        <v>0</v>
      </c>
      <c r="L9" s="55">
        <f>K9/12</f>
        <v>0</v>
      </c>
    </row>
    <row r="10" spans="1:12" x14ac:dyDescent="0.25">
      <c r="A10" s="65" t="s">
        <v>327</v>
      </c>
      <c r="B10" s="66"/>
      <c r="C10" s="66"/>
      <c r="D10" s="66"/>
      <c r="E10" s="66"/>
      <c r="F10" s="66"/>
      <c r="G10" s="66"/>
      <c r="H10" s="66"/>
      <c r="I10" s="66"/>
      <c r="J10" s="66"/>
      <c r="K10" s="68">
        <f>SUM(K6:K9)</f>
        <v>0</v>
      </c>
      <c r="L10" s="126">
        <f>K10/12</f>
        <v>0</v>
      </c>
    </row>
    <row r="12" spans="1:12" x14ac:dyDescent="0.25">
      <c r="A12" s="65" t="s">
        <v>1430</v>
      </c>
      <c r="B12" s="66"/>
      <c r="C12" s="66"/>
      <c r="D12" s="66"/>
      <c r="E12" s="66"/>
      <c r="F12" s="66"/>
      <c r="G12" s="66"/>
      <c r="H12" s="66"/>
      <c r="I12" s="66"/>
      <c r="J12" s="66"/>
      <c r="K12" s="68">
        <f>prijsjaarglas1</f>
        <v>0</v>
      </c>
      <c r="L12" s="126">
        <f>K12/12</f>
        <v>0</v>
      </c>
    </row>
  </sheetData>
  <sheetProtection algorithmName="SHA-512" hashValue="yt0bBBf+yffTp8KeYdUVFIzOkg8gCUIfx3ufzsOIv70Vk/LdvpJwDmuLZcGM6+alwzxUKW6vQqn+R8nsl2mPLA==" saltValue="FY2VOjE1djp1Myx54u9s1A==" spinCount="100000" sheet="1" objects="1" scenarios="1" autoFilter="0"/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2840-200A-49D3-9F96-67142D5E76C6}">
  <dimension ref="A1:M27"/>
  <sheetViews>
    <sheetView topLeftCell="A8" workbookViewId="0">
      <selection activeCell="F31" sqref="F31"/>
    </sheetView>
  </sheetViews>
  <sheetFormatPr defaultColWidth="8.90625" defaultRowHeight="11.5" x14ac:dyDescent="0.25"/>
  <cols>
    <col min="1" max="1" width="7.6328125" style="2" customWidth="1"/>
    <col min="2" max="2" width="6.6328125" style="2" customWidth="1"/>
    <col min="3" max="3" width="7.6328125" style="2" customWidth="1"/>
    <col min="4" max="4" width="11.6328125" style="2" customWidth="1"/>
    <col min="5" max="5" width="50.6328125" style="2" customWidth="1"/>
    <col min="6" max="7" width="14.6328125" style="2" customWidth="1"/>
    <col min="8" max="10" width="11.6328125" style="2" customWidth="1"/>
    <col min="11" max="11" width="12.6328125" style="2" customWidth="1"/>
    <col min="12" max="12" width="14.6328125" style="2" customWidth="1"/>
    <col min="13" max="13" width="13.6328125" style="2" customWidth="1"/>
    <col min="14" max="16384" width="8.90625" style="2"/>
  </cols>
  <sheetData>
    <row r="1" spans="1:13" x14ac:dyDescent="0.25">
      <c r="A1" s="1" t="str">
        <f>CONCATENATE("Bijlage 7.1.9: ",tabeltype," glas per locatie")</f>
        <v>Bijlage 7.1.9: Invultabel glas per locatie</v>
      </c>
    </row>
    <row r="3" spans="1:13" ht="34.5" x14ac:dyDescent="0.25">
      <c r="A3" s="34" t="s">
        <v>1281</v>
      </c>
      <c r="B3" s="34" t="s">
        <v>7</v>
      </c>
      <c r="C3" s="34" t="s">
        <v>1409</v>
      </c>
      <c r="D3" s="34" t="s">
        <v>1233</v>
      </c>
      <c r="E3" s="34" t="s">
        <v>100</v>
      </c>
      <c r="F3" s="34" t="s">
        <v>103</v>
      </c>
      <c r="G3" s="34" t="s">
        <v>1410</v>
      </c>
      <c r="H3" s="34" t="s">
        <v>1411</v>
      </c>
      <c r="I3" s="34" t="s">
        <v>1412</v>
      </c>
      <c r="J3" s="34" t="s">
        <v>1283</v>
      </c>
      <c r="K3" s="34" t="s">
        <v>1413</v>
      </c>
      <c r="L3" s="34" t="s">
        <v>256</v>
      </c>
      <c r="M3" s="34" t="s">
        <v>1253</v>
      </c>
    </row>
    <row r="5" spans="1:13" x14ac:dyDescent="0.25">
      <c r="A5" s="70" t="s">
        <v>340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120"/>
    </row>
    <row r="6" spans="1:13" x14ac:dyDescent="0.25">
      <c r="A6" s="41" t="s">
        <v>1421</v>
      </c>
      <c r="B6" s="41" t="s">
        <v>24</v>
      </c>
      <c r="C6" s="42">
        <f>IF(ISBLANK(B6),0,IF(ISERROR(VALUE(B6)),VLOOKUP(B6,dagsoorttabel1,2,FALSE)*dagenperjaar1,VALUE(B6)))</f>
        <v>2</v>
      </c>
      <c r="D6" s="41" t="s">
        <v>1244</v>
      </c>
      <c r="E6" s="41" t="s">
        <v>1422</v>
      </c>
      <c r="F6" s="41" t="s">
        <v>1306</v>
      </c>
      <c r="G6" s="121">
        <v>1563</v>
      </c>
      <c r="H6" s="45">
        <f>Glas!G6</f>
        <v>0</v>
      </c>
      <c r="I6" s="122"/>
      <c r="J6" s="45">
        <f>Glas!I6</f>
        <v>0</v>
      </c>
      <c r="K6" s="45">
        <f>IF(ISBLANK(G6),0,G6)*ROUND(J6,2)</f>
        <v>0</v>
      </c>
      <c r="L6" s="45">
        <f>C6*K6</f>
        <v>0</v>
      </c>
      <c r="M6" s="45">
        <f>L6/12</f>
        <v>0</v>
      </c>
    </row>
    <row r="7" spans="1:13" x14ac:dyDescent="0.25">
      <c r="A7" s="46" t="s">
        <v>1423</v>
      </c>
      <c r="B7" s="46" t="s">
        <v>24</v>
      </c>
      <c r="C7" s="47">
        <f>IF(ISBLANK(B7),0,IF(ISERROR(VALUE(B7)),VLOOKUP(B7,dagsoorttabel1,2,FALSE)*dagenperjaar1,VALUE(B7)))</f>
        <v>2</v>
      </c>
      <c r="D7" s="46" t="s">
        <v>1244</v>
      </c>
      <c r="E7" s="46" t="s">
        <v>1424</v>
      </c>
      <c r="F7" s="46" t="s">
        <v>1306</v>
      </c>
      <c r="G7" s="123">
        <v>1563</v>
      </c>
      <c r="H7" s="50">
        <f>Glas!G7</f>
        <v>0</v>
      </c>
      <c r="I7" s="115"/>
      <c r="J7" s="50">
        <f>Glas!I7</f>
        <v>0</v>
      </c>
      <c r="K7" s="50">
        <f>IF(ISBLANK(G7),0,G7)*ROUND(J7,2)</f>
        <v>0</v>
      </c>
      <c r="L7" s="50">
        <f>C7*K7</f>
        <v>0</v>
      </c>
      <c r="M7" s="50">
        <f>L7/12</f>
        <v>0</v>
      </c>
    </row>
    <row r="8" spans="1:13" x14ac:dyDescent="0.25">
      <c r="A8" s="51" t="s">
        <v>1425</v>
      </c>
      <c r="B8" s="51" t="s">
        <v>24</v>
      </c>
      <c r="C8" s="52">
        <f>IF(ISBLANK(B8),0,IF(ISERROR(VALUE(B8)),VLOOKUP(B8,dagsoorttabel1,2,FALSE)*dagenperjaar1,VALUE(B8)))</f>
        <v>2</v>
      </c>
      <c r="D8" s="51" t="s">
        <v>1244</v>
      </c>
      <c r="E8" s="51" t="s">
        <v>1426</v>
      </c>
      <c r="F8" s="51" t="s">
        <v>1306</v>
      </c>
      <c r="G8" s="124">
        <v>735</v>
      </c>
      <c r="H8" s="55">
        <f>Glas!G8</f>
        <v>0</v>
      </c>
      <c r="I8" s="125"/>
      <c r="J8" s="55">
        <f>Glas!I8</f>
        <v>0</v>
      </c>
      <c r="K8" s="55">
        <f>IF(ISBLANK(G8),0,G8)*ROUND(J8,2)</f>
        <v>0</v>
      </c>
      <c r="L8" s="55">
        <f>C8*K8</f>
        <v>0</v>
      </c>
      <c r="M8" s="55">
        <f>L8/12</f>
        <v>0</v>
      </c>
    </row>
    <row r="9" spans="1:13" x14ac:dyDescent="0.25">
      <c r="A9" s="65" t="s">
        <v>1431</v>
      </c>
      <c r="B9" s="66"/>
      <c r="C9" s="66"/>
      <c r="D9" s="66"/>
      <c r="E9" s="66"/>
      <c r="F9" s="66"/>
      <c r="G9" s="66"/>
      <c r="H9" s="66"/>
      <c r="I9" s="66"/>
      <c r="J9" s="66"/>
      <c r="K9" s="68">
        <f>SUM(K6:K8)</f>
        <v>0</v>
      </c>
      <c r="L9" s="68">
        <f>SUM(L6:L8)</f>
        <v>0</v>
      </c>
      <c r="M9" s="126">
        <f>L9/12</f>
        <v>0</v>
      </c>
    </row>
    <row r="11" spans="1:13" x14ac:dyDescent="0.25">
      <c r="A11" s="70" t="s">
        <v>632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120"/>
    </row>
    <row r="12" spans="1:13" x14ac:dyDescent="0.25">
      <c r="A12" s="41" t="s">
        <v>1421</v>
      </c>
      <c r="B12" s="41" t="s">
        <v>24</v>
      </c>
      <c r="C12" s="42">
        <f>IF(ISBLANK(B12),0,IF(ISERROR(VALUE(B12)),VLOOKUP(B12,dagsoorttabel1,2,FALSE)*dagenperjaar1,VALUE(B12)))</f>
        <v>2</v>
      </c>
      <c r="D12" s="41" t="s">
        <v>1244</v>
      </c>
      <c r="E12" s="41" t="s">
        <v>1422</v>
      </c>
      <c r="F12" s="41" t="s">
        <v>1306</v>
      </c>
      <c r="G12" s="121">
        <v>1272</v>
      </c>
      <c r="H12" s="45">
        <f>Glas!G6</f>
        <v>0</v>
      </c>
      <c r="I12" s="122"/>
      <c r="J12" s="45">
        <f>Glas!I6</f>
        <v>0</v>
      </c>
      <c r="K12" s="45">
        <f>IF(ISBLANK(G12),0,G12)*ROUND(J12,2)</f>
        <v>0</v>
      </c>
      <c r="L12" s="45">
        <f>C12*K12</f>
        <v>0</v>
      </c>
      <c r="M12" s="45">
        <f>L12/12</f>
        <v>0</v>
      </c>
    </row>
    <row r="13" spans="1:13" x14ac:dyDescent="0.25">
      <c r="A13" s="46" t="s">
        <v>1423</v>
      </c>
      <c r="B13" s="46" t="s">
        <v>24</v>
      </c>
      <c r="C13" s="47">
        <f>IF(ISBLANK(B13),0,IF(ISERROR(VALUE(B13)),VLOOKUP(B13,dagsoorttabel1,2,FALSE)*dagenperjaar1,VALUE(B13)))</f>
        <v>2</v>
      </c>
      <c r="D13" s="46" t="s">
        <v>1244</v>
      </c>
      <c r="E13" s="46" t="s">
        <v>1424</v>
      </c>
      <c r="F13" s="46" t="s">
        <v>1306</v>
      </c>
      <c r="G13" s="123">
        <v>1272</v>
      </c>
      <c r="H13" s="50">
        <f>Glas!G7</f>
        <v>0</v>
      </c>
      <c r="I13" s="115"/>
      <c r="J13" s="50">
        <f>Glas!I7</f>
        <v>0</v>
      </c>
      <c r="K13" s="50">
        <f>IF(ISBLANK(G13),0,G13)*ROUND(J13,2)</f>
        <v>0</v>
      </c>
      <c r="L13" s="50">
        <f>C13*K13</f>
        <v>0</v>
      </c>
      <c r="M13" s="50">
        <f>L13/12</f>
        <v>0</v>
      </c>
    </row>
    <row r="14" spans="1:13" x14ac:dyDescent="0.25">
      <c r="A14" s="51" t="s">
        <v>1425</v>
      </c>
      <c r="B14" s="51" t="s">
        <v>24</v>
      </c>
      <c r="C14" s="52">
        <f>IF(ISBLANK(B14),0,IF(ISERROR(VALUE(B14)),VLOOKUP(B14,dagsoorttabel1,2,FALSE)*dagenperjaar1,VALUE(B14)))</f>
        <v>2</v>
      </c>
      <c r="D14" s="51" t="s">
        <v>1244</v>
      </c>
      <c r="E14" s="51" t="s">
        <v>1426</v>
      </c>
      <c r="F14" s="51" t="s">
        <v>1306</v>
      </c>
      <c r="G14" s="124">
        <v>1872</v>
      </c>
      <c r="H14" s="55">
        <f>Glas!G8</f>
        <v>0</v>
      </c>
      <c r="I14" s="125"/>
      <c r="J14" s="55">
        <f>Glas!I8</f>
        <v>0</v>
      </c>
      <c r="K14" s="55">
        <f>IF(ISBLANK(G14),0,G14)*ROUND(J14,2)</f>
        <v>0</v>
      </c>
      <c r="L14" s="55">
        <f>C14*K14</f>
        <v>0</v>
      </c>
      <c r="M14" s="55">
        <f>L14/12</f>
        <v>0</v>
      </c>
    </row>
    <row r="15" spans="1:13" x14ac:dyDescent="0.25">
      <c r="A15" s="65" t="s">
        <v>1432</v>
      </c>
      <c r="B15" s="66"/>
      <c r="C15" s="66"/>
      <c r="D15" s="66"/>
      <c r="E15" s="66"/>
      <c r="F15" s="66"/>
      <c r="G15" s="66"/>
      <c r="H15" s="66"/>
      <c r="I15" s="66"/>
      <c r="J15" s="66"/>
      <c r="K15" s="68">
        <f>SUM(K12:K14)</f>
        <v>0</v>
      </c>
      <c r="L15" s="68">
        <f>SUM(L12:L14)</f>
        <v>0</v>
      </c>
      <c r="M15" s="126">
        <f>L15/12</f>
        <v>0</v>
      </c>
    </row>
    <row r="17" spans="1:13" x14ac:dyDescent="0.25">
      <c r="A17" s="70" t="s">
        <v>856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120"/>
    </row>
    <row r="18" spans="1:13" x14ac:dyDescent="0.25">
      <c r="A18" s="41" t="s">
        <v>1421</v>
      </c>
      <c r="B18" s="41" t="s">
        <v>24</v>
      </c>
      <c r="C18" s="42">
        <f>IF(ISBLANK(B18),0,IF(ISERROR(VALUE(B18)),VLOOKUP(B18,dagsoorttabel1,2,FALSE)*dagenperjaar1,VALUE(B18)))</f>
        <v>2</v>
      </c>
      <c r="D18" s="41" t="s">
        <v>1244</v>
      </c>
      <c r="E18" s="41" t="s">
        <v>1422</v>
      </c>
      <c r="F18" s="41" t="s">
        <v>1306</v>
      </c>
      <c r="G18" s="121">
        <v>680</v>
      </c>
      <c r="H18" s="45">
        <f>Glas!G6</f>
        <v>0</v>
      </c>
      <c r="I18" s="122"/>
      <c r="J18" s="45">
        <f>Glas!I6</f>
        <v>0</v>
      </c>
      <c r="K18" s="45">
        <f>IF(ISBLANK(G18),0,G18)*ROUND(J18,2)</f>
        <v>0</v>
      </c>
      <c r="L18" s="45">
        <f>C18*K18</f>
        <v>0</v>
      </c>
      <c r="M18" s="45">
        <f>L18/12</f>
        <v>0</v>
      </c>
    </row>
    <row r="19" spans="1:13" x14ac:dyDescent="0.25">
      <c r="A19" s="46" t="s">
        <v>1423</v>
      </c>
      <c r="B19" s="46" t="s">
        <v>24</v>
      </c>
      <c r="C19" s="47">
        <f>IF(ISBLANK(B19),0,IF(ISERROR(VALUE(B19)),VLOOKUP(B19,dagsoorttabel1,2,FALSE)*dagenperjaar1,VALUE(B19)))</f>
        <v>2</v>
      </c>
      <c r="D19" s="46" t="s">
        <v>1244</v>
      </c>
      <c r="E19" s="46" t="s">
        <v>1424</v>
      </c>
      <c r="F19" s="46" t="s">
        <v>1306</v>
      </c>
      <c r="G19" s="123">
        <v>680</v>
      </c>
      <c r="H19" s="50">
        <f>Glas!G7</f>
        <v>0</v>
      </c>
      <c r="I19" s="115"/>
      <c r="J19" s="50">
        <f>Glas!I7</f>
        <v>0</v>
      </c>
      <c r="K19" s="50">
        <f>IF(ISBLANK(G19),0,G19)*ROUND(J19,2)</f>
        <v>0</v>
      </c>
      <c r="L19" s="50">
        <f>C19*K19</f>
        <v>0</v>
      </c>
      <c r="M19" s="50">
        <f>L19/12</f>
        <v>0</v>
      </c>
    </row>
    <row r="20" spans="1:13" x14ac:dyDescent="0.25">
      <c r="A20" s="51" t="s">
        <v>1425</v>
      </c>
      <c r="B20" s="51" t="s">
        <v>24</v>
      </c>
      <c r="C20" s="52">
        <f>IF(ISBLANK(B20),0,IF(ISERROR(VALUE(B20)),VLOOKUP(B20,dagsoorttabel1,2,FALSE)*dagenperjaar1,VALUE(B20)))</f>
        <v>2</v>
      </c>
      <c r="D20" s="51" t="s">
        <v>1244</v>
      </c>
      <c r="E20" s="51" t="s">
        <v>1426</v>
      </c>
      <c r="F20" s="51" t="s">
        <v>1306</v>
      </c>
      <c r="G20" s="124">
        <v>117</v>
      </c>
      <c r="H20" s="55">
        <f>Glas!G8</f>
        <v>0</v>
      </c>
      <c r="I20" s="125"/>
      <c r="J20" s="55">
        <f>Glas!I8</f>
        <v>0</v>
      </c>
      <c r="K20" s="55">
        <f>IF(ISBLANK(G20),0,G20)*ROUND(J20,2)</f>
        <v>0</v>
      </c>
      <c r="L20" s="55">
        <f>C20*K20</f>
        <v>0</v>
      </c>
      <c r="M20" s="55">
        <f>L20/12</f>
        <v>0</v>
      </c>
    </row>
    <row r="21" spans="1:13" x14ac:dyDescent="0.25">
      <c r="A21" s="65" t="s">
        <v>1433</v>
      </c>
      <c r="B21" s="66"/>
      <c r="C21" s="66"/>
      <c r="D21" s="66"/>
      <c r="E21" s="66"/>
      <c r="F21" s="66"/>
      <c r="G21" s="66"/>
      <c r="H21" s="66"/>
      <c r="I21" s="66"/>
      <c r="J21" s="66"/>
      <c r="K21" s="68">
        <f>SUM(K18:K20)</f>
        <v>0</v>
      </c>
      <c r="L21" s="68">
        <f>SUM(L18:L20)</f>
        <v>0</v>
      </c>
      <c r="M21" s="126">
        <f>L21/12</f>
        <v>0</v>
      </c>
    </row>
    <row r="23" spans="1:13" x14ac:dyDescent="0.25">
      <c r="A23" s="70" t="s">
        <v>981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120"/>
    </row>
    <row r="24" spans="1:13" x14ac:dyDescent="0.25">
      <c r="A24" s="41" t="s">
        <v>1421</v>
      </c>
      <c r="B24" s="41" t="s">
        <v>24</v>
      </c>
      <c r="C24" s="42">
        <f>IF(ISBLANK(B24),0,IF(ISERROR(VALUE(B24)),VLOOKUP(B24,dagsoorttabel1,2,FALSE)*dagenperjaar1,VALUE(B24)))</f>
        <v>2</v>
      </c>
      <c r="D24" s="41" t="s">
        <v>1244</v>
      </c>
      <c r="E24" s="41" t="s">
        <v>1422</v>
      </c>
      <c r="F24" s="41" t="s">
        <v>1306</v>
      </c>
      <c r="G24" s="121">
        <v>1538</v>
      </c>
      <c r="H24" s="45">
        <f>Glas!G6</f>
        <v>0</v>
      </c>
      <c r="I24" s="122"/>
      <c r="J24" s="45">
        <f>Glas!I6</f>
        <v>0</v>
      </c>
      <c r="K24" s="45">
        <f>IF(ISBLANK(G24),0,G24)*ROUND(J24,2)</f>
        <v>0</v>
      </c>
      <c r="L24" s="45">
        <f>C24*K24</f>
        <v>0</v>
      </c>
      <c r="M24" s="45">
        <f>L24/12</f>
        <v>0</v>
      </c>
    </row>
    <row r="25" spans="1:13" x14ac:dyDescent="0.25">
      <c r="A25" s="46" t="s">
        <v>1423</v>
      </c>
      <c r="B25" s="46" t="s">
        <v>24</v>
      </c>
      <c r="C25" s="47">
        <f>IF(ISBLANK(B25),0,IF(ISERROR(VALUE(B25)),VLOOKUP(B25,dagsoorttabel1,2,FALSE)*dagenperjaar1,VALUE(B25)))</f>
        <v>2</v>
      </c>
      <c r="D25" s="46" t="s">
        <v>1244</v>
      </c>
      <c r="E25" s="46" t="s">
        <v>1424</v>
      </c>
      <c r="F25" s="46" t="s">
        <v>1306</v>
      </c>
      <c r="G25" s="123">
        <v>1538</v>
      </c>
      <c r="H25" s="50">
        <f>Glas!G7</f>
        <v>0</v>
      </c>
      <c r="I25" s="115"/>
      <c r="J25" s="50">
        <f>Glas!I7</f>
        <v>0</v>
      </c>
      <c r="K25" s="50">
        <f>IF(ISBLANK(G25),0,G25)*ROUND(J25,2)</f>
        <v>0</v>
      </c>
      <c r="L25" s="50">
        <f>C25*K25</f>
        <v>0</v>
      </c>
      <c r="M25" s="50">
        <f>L25/12</f>
        <v>0</v>
      </c>
    </row>
    <row r="26" spans="1:13" x14ac:dyDescent="0.25">
      <c r="A26" s="51" t="s">
        <v>1425</v>
      </c>
      <c r="B26" s="51" t="s">
        <v>24</v>
      </c>
      <c r="C26" s="52">
        <f>IF(ISBLANK(B26),0,IF(ISERROR(VALUE(B26)),VLOOKUP(B26,dagsoorttabel1,2,FALSE)*dagenperjaar1,VALUE(B26)))</f>
        <v>2</v>
      </c>
      <c r="D26" s="51" t="s">
        <v>1244</v>
      </c>
      <c r="E26" s="51" t="s">
        <v>1426</v>
      </c>
      <c r="F26" s="51" t="s">
        <v>1306</v>
      </c>
      <c r="G26" s="124">
        <v>1610</v>
      </c>
      <c r="H26" s="55">
        <f>Glas!G8</f>
        <v>0</v>
      </c>
      <c r="I26" s="125"/>
      <c r="J26" s="55">
        <f>Glas!I8</f>
        <v>0</v>
      </c>
      <c r="K26" s="55">
        <f>IF(ISBLANK(G26),0,G26)*ROUND(J26,2)</f>
        <v>0</v>
      </c>
      <c r="L26" s="55">
        <f>C26*K26</f>
        <v>0</v>
      </c>
      <c r="M26" s="55">
        <f>L26/12</f>
        <v>0</v>
      </c>
    </row>
    <row r="27" spans="1:13" x14ac:dyDescent="0.25">
      <c r="A27" s="65" t="s">
        <v>1434</v>
      </c>
      <c r="B27" s="66"/>
      <c r="C27" s="66"/>
      <c r="D27" s="66"/>
      <c r="E27" s="66"/>
      <c r="F27" s="66"/>
      <c r="G27" s="66"/>
      <c r="H27" s="66"/>
      <c r="I27" s="66"/>
      <c r="J27" s="66"/>
      <c r="K27" s="68">
        <f>SUM(K24:K26)</f>
        <v>0</v>
      </c>
      <c r="L27" s="68">
        <f>SUM(L24:L26)</f>
        <v>0</v>
      </c>
      <c r="M27" s="126">
        <f>L27/12</f>
        <v>0</v>
      </c>
    </row>
  </sheetData>
  <sheetProtection algorithmName="SHA-512" hashValue="hs8N7WPt4TsUqd+fTz4e10lkT3IneihGyQjaKz0KFDkLWFV36FUWMftnhP4RD7AlO/z95ONPmTf4AQ7sFRHnug==" saltValue="BF/mlcHdskedLGEmBFZxPw==" spinCount="100000" sheet="1" objects="1" scenarios="1" autoFilter="0"/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28B9-7C11-40E6-BB27-D98A74ECEDCB}">
  <dimension ref="A1:E11"/>
  <sheetViews>
    <sheetView tabSelected="1" workbookViewId="0">
      <selection activeCell="D15" sqref="D15"/>
    </sheetView>
  </sheetViews>
  <sheetFormatPr defaultColWidth="8.90625" defaultRowHeight="11.5" x14ac:dyDescent="0.25"/>
  <cols>
    <col min="1" max="1" width="30.6328125" style="2" customWidth="1"/>
    <col min="2" max="5" width="20.6328125" style="2" customWidth="1"/>
    <col min="6" max="16384" width="8.90625" style="2"/>
  </cols>
  <sheetData>
    <row r="1" spans="1:5" x14ac:dyDescent="0.25">
      <c r="A1" s="1" t="str">
        <f>CONCATENATE("Bijlage 7.1.10: ",tabeltype," totaalblad schoonmaakwerk")</f>
        <v>Bijlage 7.1.10: Invultabel totaalblad schoonmaakwerk</v>
      </c>
    </row>
    <row r="3" spans="1:5" ht="23" x14ac:dyDescent="0.25">
      <c r="A3" s="34" t="s">
        <v>1435</v>
      </c>
      <c r="B3" s="34" t="s">
        <v>1436</v>
      </c>
      <c r="C3" s="34" t="s">
        <v>1437</v>
      </c>
      <c r="D3" s="34" t="s">
        <v>1438</v>
      </c>
      <c r="E3" s="34" t="s">
        <v>1439</v>
      </c>
    </row>
    <row r="4" spans="1:5" x14ac:dyDescent="0.25">
      <c r="A4" s="110" t="s">
        <v>1440</v>
      </c>
      <c r="B4" s="56">
        <f>urenjaartotaaloverzicht</f>
        <v>0</v>
      </c>
      <c r="C4" s="56">
        <f>urenjaartotaaloverzichthf</f>
        <v>0</v>
      </c>
      <c r="D4" s="45">
        <f>prijsjaartotaaloverzicht</f>
        <v>0</v>
      </c>
      <c r="E4" s="45">
        <f>D4*1.21</f>
        <v>0</v>
      </c>
    </row>
    <row r="5" spans="1:5" x14ac:dyDescent="0.25">
      <c r="A5" s="112" t="s">
        <v>1441</v>
      </c>
      <c r="B5" s="115"/>
      <c r="C5" s="115"/>
      <c r="D5" s="50">
        <f>prijsjaarregie</f>
        <v>0</v>
      </c>
      <c r="E5" s="50">
        <f>D5*1.21</f>
        <v>0</v>
      </c>
    </row>
    <row r="6" spans="1:5" x14ac:dyDescent="0.25">
      <c r="A6" s="116" t="s">
        <v>1442</v>
      </c>
      <c r="B6" s="125"/>
      <c r="C6" s="125"/>
      <c r="D6" s="55">
        <f>prijsjaarglas</f>
        <v>0</v>
      </c>
      <c r="E6" s="55">
        <f>D6*1.21</f>
        <v>0</v>
      </c>
    </row>
    <row r="8" spans="1:5" x14ac:dyDescent="0.25">
      <c r="A8" s="34" t="s">
        <v>1443</v>
      </c>
      <c r="B8" s="67">
        <f>SUM(B4:B6)</f>
        <v>0</v>
      </c>
      <c r="C8" s="67">
        <f>SUM(C4:C6)</f>
        <v>0</v>
      </c>
      <c r="D8" s="68">
        <f>SUM(D4:D6)</f>
        <v>0</v>
      </c>
      <c r="E8" s="68">
        <f>D8*1.21</f>
        <v>0</v>
      </c>
    </row>
    <row r="11" spans="1:5" x14ac:dyDescent="0.25">
      <c r="A11" s="128" t="s">
        <v>1444</v>
      </c>
      <c r="B11" s="67"/>
      <c r="C11" s="103"/>
      <c r="D11" s="103"/>
      <c r="E11" s="129">
        <f>ROUND(SUM(vp_regulier,vp_regie),2)</f>
        <v>0</v>
      </c>
    </row>
  </sheetData>
  <sheetProtection algorithmName="SHA-512" hashValue="BHjgaIlvadgSWLMUbyXS7tlDzfeBau84tIhMlG66YYnwKwslBE+Wno3jrHsSWnFWqgMHvC9Jc4fXGLAWIpjOOg==" saltValue="NlTJA5ckmmMpjONzIiNUqg==" spinCount="100000" sheet="1" objects="1" scenarios="1" autoFilter="0"/>
  <pageMargins left="0.7" right="0.7" top="0.75" bottom="0.75" header="0.3" footer="0.3"/>
  <pageSetup paperSize="9" scale="70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57CF-E8C3-4E1E-9D6F-40BC4C6248D5}">
  <dimension ref="A1:S62"/>
  <sheetViews>
    <sheetView workbookViewId="0">
      <selection activeCell="B7" sqref="B7:C7"/>
    </sheetView>
  </sheetViews>
  <sheetFormatPr defaultColWidth="8.90625" defaultRowHeight="11.5" x14ac:dyDescent="0.25"/>
  <cols>
    <col min="1" max="1" width="38.08984375" style="2" bestFit="1" customWidth="1"/>
    <col min="2" max="2" width="8.90625" style="2" bestFit="1" customWidth="1"/>
    <col min="3" max="3" width="9.6328125" style="2" customWidth="1"/>
    <col min="4" max="4" width="8.90625" style="2" bestFit="1" customWidth="1"/>
    <col min="5" max="5" width="9.6328125" style="2" customWidth="1"/>
    <col min="6" max="6" width="8.90625" style="2" bestFit="1" customWidth="1"/>
    <col min="7" max="7" width="9.6328125" style="2" customWidth="1"/>
    <col min="8" max="8" width="8.90625" style="2" bestFit="1" customWidth="1"/>
    <col min="9" max="9" width="9.6328125" style="2" customWidth="1"/>
    <col min="10" max="10" width="8.90625" style="2" bestFit="1" customWidth="1"/>
    <col min="11" max="11" width="9.6328125" style="2" customWidth="1"/>
    <col min="12" max="12" width="8.90625" style="2" bestFit="1" customWidth="1"/>
    <col min="13" max="13" width="9.6328125" style="2" customWidth="1"/>
    <col min="14" max="14" width="8.90625" style="2" bestFit="1" customWidth="1"/>
    <col min="15" max="15" width="9.6328125" style="2" customWidth="1"/>
    <col min="16" max="16" width="8.90625" style="2" bestFit="1" customWidth="1"/>
    <col min="17" max="17" width="9.6328125" style="2" customWidth="1"/>
    <col min="18" max="18" width="8.90625" style="2" bestFit="1" customWidth="1"/>
    <col min="19" max="19" width="9.6328125" style="2" customWidth="1"/>
    <col min="20" max="16384" width="8.90625" style="2"/>
  </cols>
  <sheetData>
    <row r="1" spans="1:19" x14ac:dyDescent="0.25">
      <c r="A1" s="1" t="s">
        <v>29</v>
      </c>
    </row>
    <row r="3" spans="1:19" x14ac:dyDescent="0.25">
      <c r="A3" s="14"/>
      <c r="B3" s="130" t="s">
        <v>30</v>
      </c>
      <c r="C3" s="130"/>
      <c r="D3" s="130" t="s">
        <v>30</v>
      </c>
      <c r="E3" s="130"/>
      <c r="F3" s="130" t="s">
        <v>30</v>
      </c>
      <c r="G3" s="130"/>
      <c r="H3" s="130" t="s">
        <v>30</v>
      </c>
      <c r="I3" s="130"/>
      <c r="J3" s="130" t="s">
        <v>30</v>
      </c>
      <c r="K3" s="130"/>
      <c r="L3" s="130" t="s">
        <v>30</v>
      </c>
      <c r="M3" s="130"/>
      <c r="N3" s="130" t="s">
        <v>31</v>
      </c>
      <c r="O3" s="130"/>
      <c r="P3" s="130" t="s">
        <v>31</v>
      </c>
      <c r="Q3" s="130"/>
      <c r="R3" s="130" t="s">
        <v>31</v>
      </c>
      <c r="S3" s="131"/>
    </row>
    <row r="4" spans="1:19" x14ac:dyDescent="0.25">
      <c r="A4" s="15"/>
      <c r="B4" s="132" t="s">
        <v>32</v>
      </c>
      <c r="C4" s="132"/>
      <c r="D4" s="132" t="s">
        <v>32</v>
      </c>
      <c r="E4" s="132"/>
      <c r="F4" s="132" t="s">
        <v>32</v>
      </c>
      <c r="G4" s="132"/>
      <c r="H4" s="132" t="s">
        <v>32</v>
      </c>
      <c r="I4" s="132"/>
      <c r="J4" s="132" t="s">
        <v>33</v>
      </c>
      <c r="K4" s="132"/>
      <c r="L4" s="132" t="s">
        <v>33</v>
      </c>
      <c r="M4" s="132"/>
      <c r="N4" s="132" t="s">
        <v>32</v>
      </c>
      <c r="O4" s="132"/>
      <c r="P4" s="132" t="s">
        <v>32</v>
      </c>
      <c r="Q4" s="132"/>
      <c r="R4" s="132" t="s">
        <v>33</v>
      </c>
      <c r="S4" s="133"/>
    </row>
    <row r="5" spans="1:19" ht="29" customHeight="1" x14ac:dyDescent="0.25">
      <c r="A5" s="18" t="s">
        <v>34</v>
      </c>
      <c r="B5" s="134" t="s">
        <v>35</v>
      </c>
      <c r="C5" s="134"/>
      <c r="D5" s="134" t="s">
        <v>35</v>
      </c>
      <c r="E5" s="134"/>
      <c r="F5" s="134" t="s">
        <v>36</v>
      </c>
      <c r="G5" s="134"/>
      <c r="H5" s="134" t="s">
        <v>35</v>
      </c>
      <c r="I5" s="134"/>
      <c r="J5" s="134" t="s">
        <v>37</v>
      </c>
      <c r="K5" s="134"/>
      <c r="L5" s="134" t="s">
        <v>37</v>
      </c>
      <c r="M5" s="134"/>
      <c r="N5" s="134" t="s">
        <v>38</v>
      </c>
      <c r="O5" s="134"/>
      <c r="P5" s="134" t="s">
        <v>38</v>
      </c>
      <c r="Q5" s="134"/>
      <c r="R5" s="134" t="s">
        <v>39</v>
      </c>
      <c r="S5" s="135"/>
    </row>
    <row r="6" spans="1:19" ht="43.5" customHeight="1" x14ac:dyDescent="0.25">
      <c r="A6" s="19" t="s">
        <v>40</v>
      </c>
      <c r="B6" s="134" t="s">
        <v>41</v>
      </c>
      <c r="C6" s="134"/>
      <c r="D6" s="136" t="s">
        <v>42</v>
      </c>
      <c r="E6" s="136"/>
      <c r="F6" s="134" t="s">
        <v>43</v>
      </c>
      <c r="G6" s="134"/>
      <c r="H6" s="134" t="s">
        <v>44</v>
      </c>
      <c r="I6" s="134"/>
      <c r="J6" s="134" t="s">
        <v>43</v>
      </c>
      <c r="K6" s="134"/>
      <c r="L6" s="134" t="s">
        <v>45</v>
      </c>
      <c r="M6" s="134"/>
      <c r="N6" s="136" t="s">
        <v>42</v>
      </c>
      <c r="O6" s="136"/>
      <c r="P6" s="134" t="s">
        <v>46</v>
      </c>
      <c r="Q6" s="134"/>
      <c r="R6" s="136" t="s">
        <v>42</v>
      </c>
      <c r="S6" s="137"/>
    </row>
    <row r="7" spans="1:19" x14ac:dyDescent="0.25">
      <c r="A7" s="20" t="s">
        <v>47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9"/>
    </row>
    <row r="8" spans="1:19" x14ac:dyDescent="0.25">
      <c r="A8" s="20" t="s">
        <v>48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9"/>
    </row>
    <row r="9" spans="1:19" x14ac:dyDescent="0.25">
      <c r="A9" s="15" t="s">
        <v>49</v>
      </c>
      <c r="B9" s="140">
        <f>SUM(B7:B8)</f>
        <v>0</v>
      </c>
      <c r="C9" s="140"/>
      <c r="D9" s="140">
        <f>SUM(D7:D8)</f>
        <v>0</v>
      </c>
      <c r="E9" s="140"/>
      <c r="F9" s="140">
        <f>SUM(F7:F8)</f>
        <v>0</v>
      </c>
      <c r="G9" s="140"/>
      <c r="H9" s="140">
        <f>SUM(H7:H8)</f>
        <v>0</v>
      </c>
      <c r="I9" s="140"/>
      <c r="J9" s="140">
        <f>SUM(J7:J8)</f>
        <v>0</v>
      </c>
      <c r="K9" s="140"/>
      <c r="L9" s="140">
        <f>SUM(L7:L8)</f>
        <v>0</v>
      </c>
      <c r="M9" s="140"/>
      <c r="N9" s="140">
        <f>SUM(N7:N8)</f>
        <v>0</v>
      </c>
      <c r="O9" s="140"/>
      <c r="P9" s="140">
        <f>SUM(P7:P8)</f>
        <v>0</v>
      </c>
      <c r="Q9" s="140"/>
      <c r="R9" s="140">
        <f>SUM(R7:R8)</f>
        <v>0</v>
      </c>
      <c r="S9" s="141"/>
    </row>
    <row r="10" spans="1:19" x14ac:dyDescent="0.25">
      <c r="A10" s="20" t="s">
        <v>50</v>
      </c>
      <c r="B10" s="23"/>
      <c r="C10" s="21">
        <f>TariefOpbouwBasisloon1*B10</f>
        <v>0</v>
      </c>
      <c r="D10" s="23"/>
      <c r="E10" s="21">
        <f>TariefOpbouwBasisloon2*D10</f>
        <v>0</v>
      </c>
      <c r="F10" s="23"/>
      <c r="G10" s="21">
        <f>TariefOpbouwBasisloon3*F10</f>
        <v>0</v>
      </c>
      <c r="H10" s="23"/>
      <c r="I10" s="21">
        <f>TariefOpbouwBasisloon4*H10</f>
        <v>0</v>
      </c>
      <c r="J10" s="23"/>
      <c r="K10" s="21">
        <f>TariefOpbouwBasisloon5*J10</f>
        <v>0</v>
      </c>
      <c r="L10" s="23"/>
      <c r="M10" s="21">
        <f>TariefOpbouwBasisloon6*L10</f>
        <v>0</v>
      </c>
      <c r="N10" s="23"/>
      <c r="O10" s="21">
        <f>TariefOpbouwBasisloon7*N10</f>
        <v>0</v>
      </c>
      <c r="P10" s="23"/>
      <c r="Q10" s="21">
        <f>TariefOpbouwBasisloon8*P10</f>
        <v>0</v>
      </c>
      <c r="R10" s="23"/>
      <c r="S10" s="22">
        <f>TariefOpbouwBasisloon9*R10</f>
        <v>0</v>
      </c>
    </row>
    <row r="11" spans="1:19" x14ac:dyDescent="0.25">
      <c r="A11" s="20" t="s">
        <v>51</v>
      </c>
      <c r="B11" s="23"/>
      <c r="C11" s="21">
        <f>TariefOpbouwBasisloon1*B11</f>
        <v>0</v>
      </c>
      <c r="D11" s="23"/>
      <c r="E11" s="21">
        <f>TariefOpbouwBasisloon2*D11</f>
        <v>0</v>
      </c>
      <c r="F11" s="23"/>
      <c r="G11" s="21">
        <f>TariefOpbouwBasisloon3*F11</f>
        <v>0</v>
      </c>
      <c r="H11" s="23"/>
      <c r="I11" s="21">
        <f>TariefOpbouwBasisloon4*H11</f>
        <v>0</v>
      </c>
      <c r="J11" s="23"/>
      <c r="K11" s="21">
        <f>TariefOpbouwBasisloon5*J11</f>
        <v>0</v>
      </c>
      <c r="L11" s="23"/>
      <c r="M11" s="21">
        <f>TariefOpbouwBasisloon6*L11</f>
        <v>0</v>
      </c>
      <c r="N11" s="23"/>
      <c r="O11" s="21">
        <f>TariefOpbouwBasisloon7*N11</f>
        <v>0</v>
      </c>
      <c r="P11" s="23"/>
      <c r="Q11" s="21">
        <f>TariefOpbouwBasisloon8*P11</f>
        <v>0</v>
      </c>
      <c r="R11" s="23"/>
      <c r="S11" s="22">
        <f>TariefOpbouwBasisloon9*R11</f>
        <v>0</v>
      </c>
    </row>
    <row r="12" spans="1:19" x14ac:dyDescent="0.25">
      <c r="A12" s="15" t="s">
        <v>52</v>
      </c>
      <c r="B12" s="140">
        <f>SUM(TariefOpbouwBasisloon1,C10:C11)</f>
        <v>0</v>
      </c>
      <c r="C12" s="140"/>
      <c r="D12" s="140">
        <f>SUM(TariefOpbouwBasisloon2,E10:E11)</f>
        <v>0</v>
      </c>
      <c r="E12" s="140"/>
      <c r="F12" s="140">
        <f>SUM(TariefOpbouwBasisloon3,G10:G11)</f>
        <v>0</v>
      </c>
      <c r="G12" s="140"/>
      <c r="H12" s="140">
        <f>SUM(TariefOpbouwBasisloon4,I10:I11)</f>
        <v>0</v>
      </c>
      <c r="I12" s="140"/>
      <c r="J12" s="140">
        <f>SUM(TariefOpbouwBasisloon5,K10:K11)</f>
        <v>0</v>
      </c>
      <c r="K12" s="140"/>
      <c r="L12" s="140">
        <f>SUM(TariefOpbouwBasisloon6,M10:M11)</f>
        <v>0</v>
      </c>
      <c r="M12" s="140"/>
      <c r="N12" s="140">
        <f>SUM(TariefOpbouwBasisloon7,O10:O11)</f>
        <v>0</v>
      </c>
      <c r="O12" s="140"/>
      <c r="P12" s="140">
        <f>SUM(TariefOpbouwBasisloon8,Q10:Q11)</f>
        <v>0</v>
      </c>
      <c r="Q12" s="140"/>
      <c r="R12" s="140">
        <f>SUM(TariefOpbouwBasisloon9,S10:S11)</f>
        <v>0</v>
      </c>
      <c r="S12" s="141"/>
    </row>
    <row r="13" spans="1:19" x14ac:dyDescent="0.25">
      <c r="A13" s="20" t="s">
        <v>53</v>
      </c>
      <c r="B13" s="23"/>
      <c r="C13" s="21">
        <f>TariefOpbouwUurloon1*B13</f>
        <v>0</v>
      </c>
      <c r="D13" s="23"/>
      <c r="E13" s="21">
        <f>TariefOpbouwUurloon2*D13</f>
        <v>0</v>
      </c>
      <c r="F13" s="23"/>
      <c r="G13" s="21">
        <f>TariefOpbouwUurloon3*F13</f>
        <v>0</v>
      </c>
      <c r="H13" s="23"/>
      <c r="I13" s="21">
        <f>TariefOpbouwUurloon4*H13</f>
        <v>0</v>
      </c>
      <c r="J13" s="23"/>
      <c r="K13" s="21">
        <f>TariefOpbouwUurloon5*J13</f>
        <v>0</v>
      </c>
      <c r="L13" s="23"/>
      <c r="M13" s="21">
        <f>TariefOpbouwUurloon6*L13</f>
        <v>0</v>
      </c>
      <c r="N13" s="23"/>
      <c r="O13" s="21">
        <f>TariefOpbouwUurloon7*N13</f>
        <v>0</v>
      </c>
      <c r="P13" s="23"/>
      <c r="Q13" s="21">
        <f>TariefOpbouwUurloon8*P13</f>
        <v>0</v>
      </c>
      <c r="R13" s="23"/>
      <c r="S13" s="22">
        <f>TariefOpbouwUurloon9*R13</f>
        <v>0</v>
      </c>
    </row>
    <row r="14" spans="1:19" x14ac:dyDescent="0.25">
      <c r="A14" s="15" t="s">
        <v>54</v>
      </c>
      <c r="B14" s="140">
        <f>SUM(TariefOpbouwUurloon1,C13:C13)</f>
        <v>0</v>
      </c>
      <c r="C14" s="140"/>
      <c r="D14" s="140">
        <f>SUM(TariefOpbouwUurloon2,E13:E13)</f>
        <v>0</v>
      </c>
      <c r="E14" s="140"/>
      <c r="F14" s="140">
        <f>SUM(TariefOpbouwUurloon3,G13:G13)</f>
        <v>0</v>
      </c>
      <c r="G14" s="140"/>
      <c r="H14" s="140">
        <f>SUM(TariefOpbouwUurloon4,I13:I13)</f>
        <v>0</v>
      </c>
      <c r="I14" s="140"/>
      <c r="J14" s="140">
        <f>SUM(TariefOpbouwUurloon5,K13:K13)</f>
        <v>0</v>
      </c>
      <c r="K14" s="140"/>
      <c r="L14" s="140">
        <f>SUM(TariefOpbouwUurloon6,M13:M13)</f>
        <v>0</v>
      </c>
      <c r="M14" s="140"/>
      <c r="N14" s="140">
        <f>SUM(TariefOpbouwUurloon7,O13:O13)</f>
        <v>0</v>
      </c>
      <c r="O14" s="140"/>
      <c r="P14" s="140">
        <f>SUM(TariefOpbouwUurloon8,Q13:Q13)</f>
        <v>0</v>
      </c>
      <c r="Q14" s="140"/>
      <c r="R14" s="140">
        <f>SUM(TariefOpbouwUurloon9,S13:S13)</f>
        <v>0</v>
      </c>
      <c r="S14" s="141"/>
    </row>
    <row r="15" spans="1:19" x14ac:dyDescent="0.25">
      <c r="A15" s="20" t="s">
        <v>55</v>
      </c>
      <c r="B15" s="23"/>
      <c r="C15" s="21">
        <f>TariefOpbouwUurloonkosten1*B15</f>
        <v>0</v>
      </c>
      <c r="D15" s="23"/>
      <c r="E15" s="21">
        <f>TariefOpbouwUurloonkosten2*D15</f>
        <v>0</v>
      </c>
      <c r="F15" s="23"/>
      <c r="G15" s="21">
        <f>TariefOpbouwUurloonkosten3*F15</f>
        <v>0</v>
      </c>
      <c r="H15" s="23"/>
      <c r="I15" s="21">
        <f>TariefOpbouwUurloonkosten4*H15</f>
        <v>0</v>
      </c>
      <c r="J15" s="23"/>
      <c r="K15" s="21">
        <f>TariefOpbouwUurloonkosten5*J15</f>
        <v>0</v>
      </c>
      <c r="L15" s="23"/>
      <c r="M15" s="21">
        <f>TariefOpbouwUurloonkosten6*L15</f>
        <v>0</v>
      </c>
      <c r="N15" s="23"/>
      <c r="O15" s="21">
        <f>TariefOpbouwUurloonkosten7*N15</f>
        <v>0</v>
      </c>
      <c r="P15" s="23"/>
      <c r="Q15" s="21">
        <f>TariefOpbouwUurloonkosten8*P15</f>
        <v>0</v>
      </c>
      <c r="R15" s="23"/>
      <c r="S15" s="22">
        <f>TariefOpbouwUurloonkosten9*R15</f>
        <v>0</v>
      </c>
    </row>
    <row r="16" spans="1:19" x14ac:dyDescent="0.25">
      <c r="A16" s="20" t="s">
        <v>56</v>
      </c>
      <c r="B16" s="23"/>
      <c r="C16" s="21">
        <f>TariefOpbouwUurloonkosten1*B16</f>
        <v>0</v>
      </c>
      <c r="D16" s="23"/>
      <c r="E16" s="21">
        <f>TariefOpbouwUurloonkosten2*D16</f>
        <v>0</v>
      </c>
      <c r="F16" s="23"/>
      <c r="G16" s="21">
        <f>TariefOpbouwUurloonkosten3*F16</f>
        <v>0</v>
      </c>
      <c r="H16" s="23"/>
      <c r="I16" s="21">
        <f>TariefOpbouwUurloonkosten4*H16</f>
        <v>0</v>
      </c>
      <c r="J16" s="23"/>
      <c r="K16" s="21">
        <f>TariefOpbouwUurloonkosten5*J16</f>
        <v>0</v>
      </c>
      <c r="L16" s="23"/>
      <c r="M16" s="21">
        <f>TariefOpbouwUurloonkosten6*L16</f>
        <v>0</v>
      </c>
      <c r="N16" s="23"/>
      <c r="O16" s="21">
        <f>TariefOpbouwUurloonkosten7*N16</f>
        <v>0</v>
      </c>
      <c r="P16" s="23"/>
      <c r="Q16" s="21">
        <f>TariefOpbouwUurloonkosten8*P16</f>
        <v>0</v>
      </c>
      <c r="R16" s="23"/>
      <c r="S16" s="22">
        <f>TariefOpbouwUurloonkosten9*R16</f>
        <v>0</v>
      </c>
    </row>
    <row r="17" spans="1:19" x14ac:dyDescent="0.25">
      <c r="A17" s="20" t="s">
        <v>57</v>
      </c>
      <c r="B17" s="23"/>
      <c r="C17" s="21">
        <f>TariefOpbouwUurloonkosten1*B17</f>
        <v>0</v>
      </c>
      <c r="D17" s="23"/>
      <c r="E17" s="21">
        <f>TariefOpbouwUurloonkosten2*D17</f>
        <v>0</v>
      </c>
      <c r="F17" s="23"/>
      <c r="G17" s="21">
        <f>TariefOpbouwUurloonkosten3*F17</f>
        <v>0</v>
      </c>
      <c r="H17" s="23"/>
      <c r="I17" s="21">
        <f>TariefOpbouwUurloonkosten4*H17</f>
        <v>0</v>
      </c>
      <c r="J17" s="23"/>
      <c r="K17" s="21">
        <f>TariefOpbouwUurloonkosten5*J17</f>
        <v>0</v>
      </c>
      <c r="L17" s="23"/>
      <c r="M17" s="21">
        <f>TariefOpbouwUurloonkosten6*L17</f>
        <v>0</v>
      </c>
      <c r="N17" s="23"/>
      <c r="O17" s="21">
        <f>TariefOpbouwUurloonkosten7*N17</f>
        <v>0</v>
      </c>
      <c r="P17" s="23"/>
      <c r="Q17" s="21">
        <f>TariefOpbouwUurloonkosten8*P17</f>
        <v>0</v>
      </c>
      <c r="R17" s="23"/>
      <c r="S17" s="22">
        <f>TariefOpbouwUurloonkosten9*R17</f>
        <v>0</v>
      </c>
    </row>
    <row r="18" spans="1:19" x14ac:dyDescent="0.25">
      <c r="A18" s="20" t="s">
        <v>58</v>
      </c>
      <c r="B18" s="23"/>
      <c r="C18" s="21">
        <f>TariefOpbouwUurloonkosten1*B18</f>
        <v>0</v>
      </c>
      <c r="D18" s="23"/>
      <c r="E18" s="21">
        <f>TariefOpbouwUurloonkosten2*D18</f>
        <v>0</v>
      </c>
      <c r="F18" s="23"/>
      <c r="G18" s="21">
        <f>TariefOpbouwUurloonkosten3*F18</f>
        <v>0</v>
      </c>
      <c r="H18" s="23"/>
      <c r="I18" s="21">
        <f>TariefOpbouwUurloonkosten4*H18</f>
        <v>0</v>
      </c>
      <c r="J18" s="23"/>
      <c r="K18" s="21">
        <f>TariefOpbouwUurloonkosten5*J18</f>
        <v>0</v>
      </c>
      <c r="L18" s="23"/>
      <c r="M18" s="21">
        <f>TariefOpbouwUurloonkosten6*L18</f>
        <v>0</v>
      </c>
      <c r="N18" s="23"/>
      <c r="O18" s="21">
        <f>TariefOpbouwUurloonkosten7*N18</f>
        <v>0</v>
      </c>
      <c r="P18" s="23"/>
      <c r="Q18" s="21">
        <f>TariefOpbouwUurloonkosten8*P18</f>
        <v>0</v>
      </c>
      <c r="R18" s="23"/>
      <c r="S18" s="22">
        <f>TariefOpbouwUurloonkosten9*R18</f>
        <v>0</v>
      </c>
    </row>
    <row r="19" spans="1:19" x14ac:dyDescent="0.25">
      <c r="A19" s="15" t="s">
        <v>59</v>
      </c>
      <c r="B19" s="140">
        <f>SUM(TariefOpbouwUurloonkosten1,C15:C18)</f>
        <v>0</v>
      </c>
      <c r="C19" s="140"/>
      <c r="D19" s="140">
        <f>SUM(TariefOpbouwUurloonkosten2,E15:E18)</f>
        <v>0</v>
      </c>
      <c r="E19" s="140"/>
      <c r="F19" s="140">
        <f>SUM(TariefOpbouwUurloonkosten3,G15:G18)</f>
        <v>0</v>
      </c>
      <c r="G19" s="140"/>
      <c r="H19" s="140">
        <f>SUM(TariefOpbouwUurloonkosten4,I15:I18)</f>
        <v>0</v>
      </c>
      <c r="I19" s="140"/>
      <c r="J19" s="140">
        <f>SUM(TariefOpbouwUurloonkosten5,K15:K18)</f>
        <v>0</v>
      </c>
      <c r="K19" s="140"/>
      <c r="L19" s="140">
        <f>SUM(TariefOpbouwUurloonkosten6,M15:M18)</f>
        <v>0</v>
      </c>
      <c r="M19" s="140"/>
      <c r="N19" s="140">
        <f>SUM(TariefOpbouwUurloonkosten7,O15:O18)</f>
        <v>0</v>
      </c>
      <c r="O19" s="140"/>
      <c r="P19" s="140">
        <f>SUM(TariefOpbouwUurloonkosten8,Q15:Q18)</f>
        <v>0</v>
      </c>
      <c r="Q19" s="140"/>
      <c r="R19" s="140">
        <f>SUM(TariefOpbouwUurloonkosten9,S15:S18)</f>
        <v>0</v>
      </c>
      <c r="S19" s="141"/>
    </row>
    <row r="20" spans="1:19" x14ac:dyDescent="0.25">
      <c r="A20" s="20" t="s">
        <v>60</v>
      </c>
      <c r="B20" s="23"/>
      <c r="C20" s="21">
        <f t="shared" ref="C20:C25" si="0">TariefOpbouwTotaalLoonkosten1*B20</f>
        <v>0</v>
      </c>
      <c r="D20" s="23"/>
      <c r="E20" s="21">
        <f t="shared" ref="E20:E25" si="1">TariefOpbouwTotaalLoonkosten2*D20</f>
        <v>0</v>
      </c>
      <c r="F20" s="23"/>
      <c r="G20" s="21">
        <f t="shared" ref="G20:G25" si="2">TariefOpbouwTotaalLoonkosten3*F20</f>
        <v>0</v>
      </c>
      <c r="H20" s="23"/>
      <c r="I20" s="21">
        <f t="shared" ref="I20:I25" si="3">TariefOpbouwTotaalLoonkosten4*H20</f>
        <v>0</v>
      </c>
      <c r="J20" s="23"/>
      <c r="K20" s="21">
        <f t="shared" ref="K20:K25" si="4">TariefOpbouwTotaalLoonkosten5*J20</f>
        <v>0</v>
      </c>
      <c r="L20" s="23"/>
      <c r="M20" s="21">
        <f t="shared" ref="M20:M25" si="5">TariefOpbouwTotaalLoonkosten6*L20</f>
        <v>0</v>
      </c>
      <c r="N20" s="23"/>
      <c r="O20" s="21">
        <f t="shared" ref="O20:O25" si="6">TariefOpbouwTotaalLoonkosten7*N20</f>
        <v>0</v>
      </c>
      <c r="P20" s="23"/>
      <c r="Q20" s="21">
        <f t="shared" ref="Q20:Q25" si="7">TariefOpbouwTotaalLoonkosten8*P20</f>
        <v>0</v>
      </c>
      <c r="R20" s="23"/>
      <c r="S20" s="22">
        <f t="shared" ref="S20:S25" si="8">TariefOpbouwTotaalLoonkosten9*R20</f>
        <v>0</v>
      </c>
    </row>
    <row r="21" spans="1:19" x14ac:dyDescent="0.25">
      <c r="A21" s="20" t="s">
        <v>61</v>
      </c>
      <c r="B21" s="23"/>
      <c r="C21" s="21">
        <f t="shared" si="0"/>
        <v>0</v>
      </c>
      <c r="D21" s="23"/>
      <c r="E21" s="21">
        <f t="shared" si="1"/>
        <v>0</v>
      </c>
      <c r="F21" s="23"/>
      <c r="G21" s="21">
        <f t="shared" si="2"/>
        <v>0</v>
      </c>
      <c r="H21" s="23"/>
      <c r="I21" s="21">
        <f t="shared" si="3"/>
        <v>0</v>
      </c>
      <c r="J21" s="23"/>
      <c r="K21" s="21">
        <f t="shared" si="4"/>
        <v>0</v>
      </c>
      <c r="L21" s="23"/>
      <c r="M21" s="21">
        <f t="shared" si="5"/>
        <v>0</v>
      </c>
      <c r="N21" s="23"/>
      <c r="O21" s="21">
        <f t="shared" si="6"/>
        <v>0</v>
      </c>
      <c r="P21" s="23"/>
      <c r="Q21" s="21">
        <f t="shared" si="7"/>
        <v>0</v>
      </c>
      <c r="R21" s="23"/>
      <c r="S21" s="22">
        <f t="shared" si="8"/>
        <v>0</v>
      </c>
    </row>
    <row r="22" spans="1:19" x14ac:dyDescent="0.25">
      <c r="A22" s="20" t="s">
        <v>62</v>
      </c>
      <c r="B22" s="23"/>
      <c r="C22" s="21">
        <f t="shared" si="0"/>
        <v>0</v>
      </c>
      <c r="D22" s="23"/>
      <c r="E22" s="21">
        <f t="shared" si="1"/>
        <v>0</v>
      </c>
      <c r="F22" s="23"/>
      <c r="G22" s="21">
        <f t="shared" si="2"/>
        <v>0</v>
      </c>
      <c r="H22" s="23"/>
      <c r="I22" s="21">
        <f t="shared" si="3"/>
        <v>0</v>
      </c>
      <c r="J22" s="23"/>
      <c r="K22" s="21">
        <f t="shared" si="4"/>
        <v>0</v>
      </c>
      <c r="L22" s="23"/>
      <c r="M22" s="21">
        <f t="shared" si="5"/>
        <v>0</v>
      </c>
      <c r="N22" s="23"/>
      <c r="O22" s="21">
        <f t="shared" si="6"/>
        <v>0</v>
      </c>
      <c r="P22" s="23"/>
      <c r="Q22" s="21">
        <f t="shared" si="7"/>
        <v>0</v>
      </c>
      <c r="R22" s="23"/>
      <c r="S22" s="22">
        <f t="shared" si="8"/>
        <v>0</v>
      </c>
    </row>
    <row r="23" spans="1:19" x14ac:dyDescent="0.25">
      <c r="A23" s="20" t="s">
        <v>63</v>
      </c>
      <c r="B23" s="23"/>
      <c r="C23" s="21">
        <f t="shared" si="0"/>
        <v>0</v>
      </c>
      <c r="D23" s="23"/>
      <c r="E23" s="21">
        <f t="shared" si="1"/>
        <v>0</v>
      </c>
      <c r="F23" s="23"/>
      <c r="G23" s="21">
        <f t="shared" si="2"/>
        <v>0</v>
      </c>
      <c r="H23" s="23"/>
      <c r="I23" s="21">
        <f t="shared" si="3"/>
        <v>0</v>
      </c>
      <c r="J23" s="23"/>
      <c r="K23" s="21">
        <f t="shared" si="4"/>
        <v>0</v>
      </c>
      <c r="L23" s="23"/>
      <c r="M23" s="21">
        <f t="shared" si="5"/>
        <v>0</v>
      </c>
      <c r="N23" s="23"/>
      <c r="O23" s="21">
        <f t="shared" si="6"/>
        <v>0</v>
      </c>
      <c r="P23" s="23"/>
      <c r="Q23" s="21">
        <f t="shared" si="7"/>
        <v>0</v>
      </c>
      <c r="R23" s="23"/>
      <c r="S23" s="22">
        <f t="shared" si="8"/>
        <v>0</v>
      </c>
    </row>
    <row r="24" spans="1:19" x14ac:dyDescent="0.25">
      <c r="A24" s="20" t="s">
        <v>64</v>
      </c>
      <c r="B24" s="23"/>
      <c r="C24" s="21">
        <f t="shared" si="0"/>
        <v>0</v>
      </c>
      <c r="D24" s="23"/>
      <c r="E24" s="21">
        <f t="shared" si="1"/>
        <v>0</v>
      </c>
      <c r="F24" s="23"/>
      <c r="G24" s="21">
        <f t="shared" si="2"/>
        <v>0</v>
      </c>
      <c r="H24" s="23"/>
      <c r="I24" s="21">
        <f t="shared" si="3"/>
        <v>0</v>
      </c>
      <c r="J24" s="23"/>
      <c r="K24" s="21">
        <f t="shared" si="4"/>
        <v>0</v>
      </c>
      <c r="L24" s="23"/>
      <c r="M24" s="21">
        <f t="shared" si="5"/>
        <v>0</v>
      </c>
      <c r="N24" s="23"/>
      <c r="O24" s="21">
        <f t="shared" si="6"/>
        <v>0</v>
      </c>
      <c r="P24" s="23"/>
      <c r="Q24" s="21">
        <f t="shared" si="7"/>
        <v>0</v>
      </c>
      <c r="R24" s="23"/>
      <c r="S24" s="22">
        <f t="shared" si="8"/>
        <v>0</v>
      </c>
    </row>
    <row r="25" spans="1:19" x14ac:dyDescent="0.25">
      <c r="A25" s="20" t="s">
        <v>65</v>
      </c>
      <c r="B25" s="23"/>
      <c r="C25" s="21">
        <f t="shared" si="0"/>
        <v>0</v>
      </c>
      <c r="D25" s="23"/>
      <c r="E25" s="21">
        <f t="shared" si="1"/>
        <v>0</v>
      </c>
      <c r="F25" s="23"/>
      <c r="G25" s="21">
        <f t="shared" si="2"/>
        <v>0</v>
      </c>
      <c r="H25" s="23"/>
      <c r="I25" s="21">
        <f t="shared" si="3"/>
        <v>0</v>
      </c>
      <c r="J25" s="23"/>
      <c r="K25" s="21">
        <f t="shared" si="4"/>
        <v>0</v>
      </c>
      <c r="L25" s="23"/>
      <c r="M25" s="21">
        <f t="shared" si="5"/>
        <v>0</v>
      </c>
      <c r="N25" s="23"/>
      <c r="O25" s="21">
        <f t="shared" si="6"/>
        <v>0</v>
      </c>
      <c r="P25" s="23"/>
      <c r="Q25" s="21">
        <f t="shared" si="7"/>
        <v>0</v>
      </c>
      <c r="R25" s="23"/>
      <c r="S25" s="22">
        <f t="shared" si="8"/>
        <v>0</v>
      </c>
    </row>
    <row r="26" spans="1:19" x14ac:dyDescent="0.25">
      <c r="A26" s="15" t="s">
        <v>66</v>
      </c>
      <c r="B26" s="140">
        <f>SUM(TariefOpbouwTotaalLoonkosten1,C20:C25)</f>
        <v>0</v>
      </c>
      <c r="C26" s="140"/>
      <c r="D26" s="140">
        <f>SUM(TariefOpbouwTotaalLoonkosten2,E20:E25)</f>
        <v>0</v>
      </c>
      <c r="E26" s="140"/>
      <c r="F26" s="140">
        <f>SUM(TariefOpbouwTotaalLoonkosten3,G20:G25)</f>
        <v>0</v>
      </c>
      <c r="G26" s="140"/>
      <c r="H26" s="140">
        <f>SUM(TariefOpbouwTotaalLoonkosten4,I20:I25)</f>
        <v>0</v>
      </c>
      <c r="I26" s="140"/>
      <c r="J26" s="140">
        <f>SUM(TariefOpbouwTotaalLoonkosten5,K20:K25)</f>
        <v>0</v>
      </c>
      <c r="K26" s="140"/>
      <c r="L26" s="140">
        <f>SUM(TariefOpbouwTotaalLoonkosten6,M20:M25)</f>
        <v>0</v>
      </c>
      <c r="M26" s="140"/>
      <c r="N26" s="140">
        <f>SUM(TariefOpbouwTotaalLoonkosten7,O20:O25)</f>
        <v>0</v>
      </c>
      <c r="O26" s="140"/>
      <c r="P26" s="140">
        <f>SUM(TariefOpbouwTotaalLoonkosten8,Q20:Q25)</f>
        <v>0</v>
      </c>
      <c r="Q26" s="140"/>
      <c r="R26" s="140">
        <f>SUM(TariefOpbouwTotaalLoonkosten9,S20:S25)</f>
        <v>0</v>
      </c>
      <c r="S26" s="141"/>
    </row>
    <row r="27" spans="1:19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/>
    </row>
    <row r="28" spans="1:19" x14ac:dyDescent="0.25">
      <c r="A28" s="20" t="s">
        <v>67</v>
      </c>
      <c r="B28" s="23"/>
      <c r="C28" s="21">
        <f t="shared" ref="C28:C34" si="9">TariefOpbouwDirecteKosten1*B28</f>
        <v>0</v>
      </c>
      <c r="D28" s="23"/>
      <c r="E28" s="21">
        <f t="shared" ref="E28:E34" si="10">TariefOpbouwDirecteKosten2*D28</f>
        <v>0</v>
      </c>
      <c r="F28" s="23"/>
      <c r="G28" s="21">
        <f t="shared" ref="G28:G34" si="11">TariefOpbouwDirecteKosten3*F28</f>
        <v>0</v>
      </c>
      <c r="H28" s="23"/>
      <c r="I28" s="21">
        <f t="shared" ref="I28:I34" si="12">TariefOpbouwDirecteKosten4*H28</f>
        <v>0</v>
      </c>
      <c r="J28" s="23"/>
      <c r="K28" s="21">
        <f t="shared" ref="K28:K34" si="13">TariefOpbouwDirecteKosten5*J28</f>
        <v>0</v>
      </c>
      <c r="L28" s="23"/>
      <c r="M28" s="21">
        <f t="shared" ref="M28:M34" si="14">TariefOpbouwDirecteKosten6*L28</f>
        <v>0</v>
      </c>
      <c r="N28" s="23"/>
      <c r="O28" s="21">
        <f t="shared" ref="O28:O34" si="15">TariefOpbouwDirecteKosten7*N28</f>
        <v>0</v>
      </c>
      <c r="P28" s="23"/>
      <c r="Q28" s="21">
        <f t="shared" ref="Q28:Q34" si="16">TariefOpbouwDirecteKosten8*P28</f>
        <v>0</v>
      </c>
      <c r="R28" s="23"/>
      <c r="S28" s="22">
        <f t="shared" ref="S28:S34" si="17">TariefOpbouwDirecteKosten9*R28</f>
        <v>0</v>
      </c>
    </row>
    <row r="29" spans="1:19" x14ac:dyDescent="0.25">
      <c r="A29" s="20" t="s">
        <v>68</v>
      </c>
      <c r="B29" s="23"/>
      <c r="C29" s="21">
        <f t="shared" si="9"/>
        <v>0</v>
      </c>
      <c r="D29" s="23"/>
      <c r="E29" s="21">
        <f t="shared" si="10"/>
        <v>0</v>
      </c>
      <c r="F29" s="23"/>
      <c r="G29" s="21">
        <f t="shared" si="11"/>
        <v>0</v>
      </c>
      <c r="H29" s="23"/>
      <c r="I29" s="21">
        <f t="shared" si="12"/>
        <v>0</v>
      </c>
      <c r="J29" s="23"/>
      <c r="K29" s="21">
        <f t="shared" si="13"/>
        <v>0</v>
      </c>
      <c r="L29" s="23"/>
      <c r="M29" s="21">
        <f t="shared" si="14"/>
        <v>0</v>
      </c>
      <c r="N29" s="23"/>
      <c r="O29" s="21">
        <f t="shared" si="15"/>
        <v>0</v>
      </c>
      <c r="P29" s="23"/>
      <c r="Q29" s="21">
        <f t="shared" si="16"/>
        <v>0</v>
      </c>
      <c r="R29" s="23"/>
      <c r="S29" s="22">
        <f t="shared" si="17"/>
        <v>0</v>
      </c>
    </row>
    <row r="30" spans="1:19" x14ac:dyDescent="0.25">
      <c r="A30" s="20" t="s">
        <v>69</v>
      </c>
      <c r="B30" s="23"/>
      <c r="C30" s="21">
        <f t="shared" si="9"/>
        <v>0</v>
      </c>
      <c r="D30" s="23"/>
      <c r="E30" s="21">
        <f t="shared" si="10"/>
        <v>0</v>
      </c>
      <c r="F30" s="23"/>
      <c r="G30" s="21">
        <f t="shared" si="11"/>
        <v>0</v>
      </c>
      <c r="H30" s="23"/>
      <c r="I30" s="21">
        <f t="shared" si="12"/>
        <v>0</v>
      </c>
      <c r="J30" s="23"/>
      <c r="K30" s="21">
        <f t="shared" si="13"/>
        <v>0</v>
      </c>
      <c r="L30" s="23"/>
      <c r="M30" s="21">
        <f t="shared" si="14"/>
        <v>0</v>
      </c>
      <c r="N30" s="23"/>
      <c r="O30" s="21">
        <f t="shared" si="15"/>
        <v>0</v>
      </c>
      <c r="P30" s="23"/>
      <c r="Q30" s="21">
        <f t="shared" si="16"/>
        <v>0</v>
      </c>
      <c r="R30" s="23"/>
      <c r="S30" s="22">
        <f t="shared" si="17"/>
        <v>0</v>
      </c>
    </row>
    <row r="31" spans="1:19" x14ac:dyDescent="0.25">
      <c r="A31" s="20" t="s">
        <v>70</v>
      </c>
      <c r="B31" s="23"/>
      <c r="C31" s="21">
        <f t="shared" si="9"/>
        <v>0</v>
      </c>
      <c r="D31" s="23"/>
      <c r="E31" s="21">
        <f t="shared" si="10"/>
        <v>0</v>
      </c>
      <c r="F31" s="23"/>
      <c r="G31" s="21">
        <f t="shared" si="11"/>
        <v>0</v>
      </c>
      <c r="H31" s="23"/>
      <c r="I31" s="21">
        <f t="shared" si="12"/>
        <v>0</v>
      </c>
      <c r="J31" s="23"/>
      <c r="K31" s="21">
        <f t="shared" si="13"/>
        <v>0</v>
      </c>
      <c r="L31" s="23"/>
      <c r="M31" s="21">
        <f t="shared" si="14"/>
        <v>0</v>
      </c>
      <c r="N31" s="23"/>
      <c r="O31" s="21">
        <f t="shared" si="15"/>
        <v>0</v>
      </c>
      <c r="P31" s="23"/>
      <c r="Q31" s="21">
        <f t="shared" si="16"/>
        <v>0</v>
      </c>
      <c r="R31" s="23"/>
      <c r="S31" s="22">
        <f t="shared" si="17"/>
        <v>0</v>
      </c>
    </row>
    <row r="32" spans="1:19" x14ac:dyDescent="0.25">
      <c r="A32" s="20" t="s">
        <v>71</v>
      </c>
      <c r="B32" s="23"/>
      <c r="C32" s="21">
        <f t="shared" si="9"/>
        <v>0</v>
      </c>
      <c r="D32" s="23"/>
      <c r="E32" s="21">
        <f t="shared" si="10"/>
        <v>0</v>
      </c>
      <c r="F32" s="23"/>
      <c r="G32" s="21">
        <f t="shared" si="11"/>
        <v>0</v>
      </c>
      <c r="H32" s="23"/>
      <c r="I32" s="21">
        <f t="shared" si="12"/>
        <v>0</v>
      </c>
      <c r="J32" s="23"/>
      <c r="K32" s="21">
        <f t="shared" si="13"/>
        <v>0</v>
      </c>
      <c r="L32" s="23"/>
      <c r="M32" s="21">
        <f t="shared" si="14"/>
        <v>0</v>
      </c>
      <c r="N32" s="23"/>
      <c r="O32" s="21">
        <f t="shared" si="15"/>
        <v>0</v>
      </c>
      <c r="P32" s="23"/>
      <c r="Q32" s="21">
        <f t="shared" si="16"/>
        <v>0</v>
      </c>
      <c r="R32" s="23"/>
      <c r="S32" s="22">
        <f t="shared" si="17"/>
        <v>0</v>
      </c>
    </row>
    <row r="33" spans="1:19" x14ac:dyDescent="0.25">
      <c r="A33" s="20" t="s">
        <v>72</v>
      </c>
      <c r="B33" s="23"/>
      <c r="C33" s="21">
        <f t="shared" si="9"/>
        <v>0</v>
      </c>
      <c r="D33" s="23"/>
      <c r="E33" s="21">
        <f t="shared" si="10"/>
        <v>0</v>
      </c>
      <c r="F33" s="23"/>
      <c r="G33" s="21">
        <f t="shared" si="11"/>
        <v>0</v>
      </c>
      <c r="H33" s="23"/>
      <c r="I33" s="21">
        <f t="shared" si="12"/>
        <v>0</v>
      </c>
      <c r="J33" s="23"/>
      <c r="K33" s="21">
        <f t="shared" si="13"/>
        <v>0</v>
      </c>
      <c r="L33" s="23"/>
      <c r="M33" s="21">
        <f t="shared" si="14"/>
        <v>0</v>
      </c>
      <c r="N33" s="23"/>
      <c r="O33" s="21">
        <f t="shared" si="15"/>
        <v>0</v>
      </c>
      <c r="P33" s="23"/>
      <c r="Q33" s="21">
        <f t="shared" si="16"/>
        <v>0</v>
      </c>
      <c r="R33" s="23"/>
      <c r="S33" s="22">
        <f t="shared" si="17"/>
        <v>0</v>
      </c>
    </row>
    <row r="34" spans="1:19" x14ac:dyDescent="0.25">
      <c r="A34" s="20" t="s">
        <v>73</v>
      </c>
      <c r="B34" s="23"/>
      <c r="C34" s="21">
        <f t="shared" si="9"/>
        <v>0</v>
      </c>
      <c r="D34" s="23"/>
      <c r="E34" s="21">
        <f t="shared" si="10"/>
        <v>0</v>
      </c>
      <c r="F34" s="23"/>
      <c r="G34" s="21">
        <f t="shared" si="11"/>
        <v>0</v>
      </c>
      <c r="H34" s="23"/>
      <c r="I34" s="21">
        <f t="shared" si="12"/>
        <v>0</v>
      </c>
      <c r="J34" s="23"/>
      <c r="K34" s="21">
        <f t="shared" si="13"/>
        <v>0</v>
      </c>
      <c r="L34" s="23"/>
      <c r="M34" s="21">
        <f t="shared" si="14"/>
        <v>0</v>
      </c>
      <c r="N34" s="23"/>
      <c r="O34" s="21">
        <f t="shared" si="15"/>
        <v>0</v>
      </c>
      <c r="P34" s="23"/>
      <c r="Q34" s="21">
        <f t="shared" si="16"/>
        <v>0</v>
      </c>
      <c r="R34" s="23"/>
      <c r="S34" s="22">
        <f t="shared" si="17"/>
        <v>0</v>
      </c>
    </row>
    <row r="35" spans="1:19" x14ac:dyDescent="0.25">
      <c r="A35" s="15" t="s">
        <v>74</v>
      </c>
      <c r="B35" s="140">
        <f>SUM(C28:C34)</f>
        <v>0</v>
      </c>
      <c r="C35" s="140"/>
      <c r="D35" s="140">
        <f>SUM(E28:E34)</f>
        <v>0</v>
      </c>
      <c r="E35" s="140"/>
      <c r="F35" s="140">
        <f>SUM(G28:G34)</f>
        <v>0</v>
      </c>
      <c r="G35" s="140"/>
      <c r="H35" s="140">
        <f>SUM(I28:I34)</f>
        <v>0</v>
      </c>
      <c r="I35" s="140"/>
      <c r="J35" s="140">
        <f>SUM(K28:K34)</f>
        <v>0</v>
      </c>
      <c r="K35" s="140"/>
      <c r="L35" s="140">
        <f>SUM(M28:M34)</f>
        <v>0</v>
      </c>
      <c r="M35" s="140"/>
      <c r="N35" s="140">
        <f>SUM(O28:O34)</f>
        <v>0</v>
      </c>
      <c r="O35" s="140"/>
      <c r="P35" s="140">
        <f>SUM(Q28:Q34)</f>
        <v>0</v>
      </c>
      <c r="Q35" s="140"/>
      <c r="R35" s="140">
        <f>SUM(S28:S34)</f>
        <v>0</v>
      </c>
      <c r="S35" s="141"/>
    </row>
    <row r="36" spans="1:19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/>
    </row>
    <row r="37" spans="1:19" x14ac:dyDescent="0.25">
      <c r="A37" s="15" t="s">
        <v>75</v>
      </c>
      <c r="B37" s="23"/>
      <c r="C37" s="21">
        <f>(TariefOpbouwDirecteKosten1+TariefOpbouwIndirecteKosten1)*B37</f>
        <v>0</v>
      </c>
      <c r="D37" s="23"/>
      <c r="E37" s="21">
        <f>(TariefOpbouwDirecteKosten2+TariefOpbouwIndirecteKosten2)*D37</f>
        <v>0</v>
      </c>
      <c r="F37" s="23"/>
      <c r="G37" s="21">
        <f>(TariefOpbouwDirecteKosten3+TariefOpbouwIndirecteKosten3)*F37</f>
        <v>0</v>
      </c>
      <c r="H37" s="23"/>
      <c r="I37" s="21">
        <f>(TariefOpbouwDirecteKosten4+TariefOpbouwIndirecteKosten4)*H37</f>
        <v>0</v>
      </c>
      <c r="J37" s="23"/>
      <c r="K37" s="21">
        <f>(TariefOpbouwDirecteKosten5+TariefOpbouwIndirecteKosten5)*J37</f>
        <v>0</v>
      </c>
      <c r="L37" s="23"/>
      <c r="M37" s="21">
        <f>(TariefOpbouwDirecteKosten6+TariefOpbouwIndirecteKosten6)*L37</f>
        <v>0</v>
      </c>
      <c r="N37" s="23"/>
      <c r="O37" s="21">
        <f>(TariefOpbouwDirecteKosten7+TariefOpbouwIndirecteKosten7)*N37</f>
        <v>0</v>
      </c>
      <c r="P37" s="23"/>
      <c r="Q37" s="21">
        <f>(TariefOpbouwDirecteKosten8+TariefOpbouwIndirecteKosten8)*P37</f>
        <v>0</v>
      </c>
      <c r="R37" s="23"/>
      <c r="S37" s="22">
        <f>(TariefOpbouwDirecteKosten9+TariefOpbouwIndirecteKosten9)*R37</f>
        <v>0</v>
      </c>
    </row>
    <row r="38" spans="1:19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/>
    </row>
    <row r="39" spans="1:19" x14ac:dyDescent="0.25">
      <c r="A39" s="15" t="s">
        <v>76</v>
      </c>
      <c r="B39" s="140">
        <f>TariefOpbouwDirecteKosten1+TariefOpbouwIndirecteKosten1+TariefOpbouwRisicoWinst1</f>
        <v>0</v>
      </c>
      <c r="C39" s="140"/>
      <c r="D39" s="140">
        <f>TariefOpbouwDirecteKosten2+TariefOpbouwIndirecteKosten2+TariefOpbouwRisicoWinst2</f>
        <v>0</v>
      </c>
      <c r="E39" s="140"/>
      <c r="F39" s="140">
        <f>TariefOpbouwDirecteKosten3+TariefOpbouwIndirecteKosten3+TariefOpbouwRisicoWinst3</f>
        <v>0</v>
      </c>
      <c r="G39" s="140"/>
      <c r="H39" s="140">
        <f>TariefOpbouwDirecteKosten4+TariefOpbouwIndirecteKosten4+TariefOpbouwRisicoWinst4</f>
        <v>0</v>
      </c>
      <c r="I39" s="140"/>
      <c r="J39" s="140">
        <f>TariefOpbouwDirecteKosten5+TariefOpbouwIndirecteKosten5+TariefOpbouwRisicoWinst5</f>
        <v>0</v>
      </c>
      <c r="K39" s="140"/>
      <c r="L39" s="140">
        <f>TariefOpbouwDirecteKosten6+TariefOpbouwIndirecteKosten6+TariefOpbouwRisicoWinst6</f>
        <v>0</v>
      </c>
      <c r="M39" s="140"/>
      <c r="N39" s="140">
        <f>TariefOpbouwDirecteKosten7+TariefOpbouwIndirecteKosten7+TariefOpbouwRisicoWinst7</f>
        <v>0</v>
      </c>
      <c r="O39" s="140"/>
      <c r="P39" s="140">
        <f>TariefOpbouwDirecteKosten8+TariefOpbouwIndirecteKosten8+TariefOpbouwRisicoWinst8</f>
        <v>0</v>
      </c>
      <c r="Q39" s="140"/>
      <c r="R39" s="140">
        <f>TariefOpbouwDirecteKosten9+TariefOpbouwIndirecteKosten9+TariefOpbouwRisicoWinst9</f>
        <v>0</v>
      </c>
      <c r="S39" s="141"/>
    </row>
    <row r="40" spans="1:19" x14ac:dyDescent="0.25">
      <c r="A40" s="15" t="s">
        <v>77</v>
      </c>
      <c r="B40" s="16" t="s">
        <v>78</v>
      </c>
      <c r="C40" s="16" t="s">
        <v>79</v>
      </c>
      <c r="D40" s="16" t="s">
        <v>78</v>
      </c>
      <c r="E40" s="16" t="s">
        <v>79</v>
      </c>
      <c r="F40" s="16" t="s">
        <v>78</v>
      </c>
      <c r="G40" s="16" t="s">
        <v>79</v>
      </c>
      <c r="H40" s="16" t="s">
        <v>78</v>
      </c>
      <c r="I40" s="16" t="s">
        <v>79</v>
      </c>
      <c r="J40" s="16" t="s">
        <v>78</v>
      </c>
      <c r="K40" s="16" t="s">
        <v>79</v>
      </c>
      <c r="L40" s="16" t="s">
        <v>78</v>
      </c>
      <c r="M40" s="16" t="s">
        <v>79</v>
      </c>
      <c r="N40" s="16" t="s">
        <v>78</v>
      </c>
      <c r="O40" s="16" t="s">
        <v>79</v>
      </c>
      <c r="P40" s="16" t="s">
        <v>78</v>
      </c>
      <c r="Q40" s="16" t="s">
        <v>79</v>
      </c>
      <c r="R40" s="16" t="s">
        <v>78</v>
      </c>
      <c r="S40" s="17" t="s">
        <v>79</v>
      </c>
    </row>
    <row r="41" spans="1:19" x14ac:dyDescent="0.25">
      <c r="A41" s="15" t="s">
        <v>80</v>
      </c>
      <c r="B41" s="27">
        <v>0.3</v>
      </c>
      <c r="C41" s="21">
        <f>((1+B41)*TariefOpbouwTotaalLoonkosten1+TariefOpbouwDirecteKosten1-TariefOpbouwTotaalLoonkosten1+TariefOpbouwIndirecteKosten1)*(1+TariefOpbouwRisicoWinstPercentage1)</f>
        <v>0</v>
      </c>
      <c r="D41" s="27">
        <v>0.3</v>
      </c>
      <c r="E41" s="21">
        <f>((1+D41)*TariefOpbouwTotaalLoonkosten2+TariefOpbouwDirecteKosten2-TariefOpbouwTotaalLoonkosten2+TariefOpbouwIndirecteKosten2)*(1+TariefOpbouwRisicoWinstPercentage2)</f>
        <v>0</v>
      </c>
      <c r="F41" s="27">
        <v>0.3</v>
      </c>
      <c r="G41" s="21">
        <f>((1+F41)*TariefOpbouwTotaalLoonkosten3+TariefOpbouwDirecteKosten3-TariefOpbouwTotaalLoonkosten3+TariefOpbouwIndirecteKosten3)*(1+TariefOpbouwRisicoWinstPercentage3)</f>
        <v>0</v>
      </c>
      <c r="H41" s="27">
        <v>0.3</v>
      </c>
      <c r="I41" s="21">
        <f>((1+H41)*TariefOpbouwTotaalLoonkosten4+TariefOpbouwDirecteKosten4-TariefOpbouwTotaalLoonkosten4+TariefOpbouwIndirecteKosten4)*(1+TariefOpbouwRisicoWinstPercentage4)</f>
        <v>0</v>
      </c>
      <c r="J41" s="27">
        <v>0.3</v>
      </c>
      <c r="K41" s="21">
        <f>((1+J41)*TariefOpbouwTotaalLoonkosten5+TariefOpbouwDirecteKosten5-TariefOpbouwTotaalLoonkosten5+TariefOpbouwIndirecteKosten5)*(1+TariefOpbouwRisicoWinstPercentage5)</f>
        <v>0</v>
      </c>
      <c r="L41" s="27">
        <v>0.3</v>
      </c>
      <c r="M41" s="21">
        <f>((1+L41)*TariefOpbouwTotaalLoonkosten6+TariefOpbouwDirecteKosten6-TariefOpbouwTotaalLoonkosten6+TariefOpbouwIndirecteKosten6)*(1+TariefOpbouwRisicoWinstPercentage6)</f>
        <v>0</v>
      </c>
      <c r="N41" s="27">
        <v>0.3</v>
      </c>
      <c r="O41" s="21">
        <f>((1+N41)*TariefOpbouwTotaalLoonkosten7+TariefOpbouwDirecteKosten7-TariefOpbouwTotaalLoonkosten7+TariefOpbouwIndirecteKosten7)*(1+TariefOpbouwRisicoWinstPercentage7)</f>
        <v>0</v>
      </c>
      <c r="P41" s="27">
        <v>0.3</v>
      </c>
      <c r="Q41" s="21">
        <f>((1+P41)*TariefOpbouwTotaalLoonkosten8+TariefOpbouwDirecteKosten8-TariefOpbouwTotaalLoonkosten8+TariefOpbouwIndirecteKosten8)*(1+TariefOpbouwRisicoWinstPercentage8)</f>
        <v>0</v>
      </c>
      <c r="R41" s="27">
        <v>0.3</v>
      </c>
      <c r="S41" s="22">
        <f>((1+R41)*TariefOpbouwTotaalLoonkosten9+TariefOpbouwDirecteKosten9-TariefOpbouwTotaalLoonkosten9+TariefOpbouwIndirecteKosten9)*(1+TariefOpbouwRisicoWinstPercentage9)</f>
        <v>0</v>
      </c>
    </row>
    <row r="42" spans="1:19" x14ac:dyDescent="0.25">
      <c r="A42" s="15" t="s">
        <v>81</v>
      </c>
      <c r="B42" s="27">
        <v>0.5</v>
      </c>
      <c r="C42" s="21">
        <f>((1+B42)*TariefOpbouwTotaalLoonkosten1+TariefOpbouwDirecteKosten1-TariefOpbouwTotaalLoonkosten1+TariefOpbouwIndirecteKosten1)*(1+TariefOpbouwRisicoWinstPercentage1)</f>
        <v>0</v>
      </c>
      <c r="D42" s="27">
        <v>0.5</v>
      </c>
      <c r="E42" s="21">
        <f>((1+D42)*TariefOpbouwTotaalLoonkosten2+TariefOpbouwDirecteKosten2-TariefOpbouwTotaalLoonkosten2+TariefOpbouwIndirecteKosten2)*(1+TariefOpbouwRisicoWinstPercentage2)</f>
        <v>0</v>
      </c>
      <c r="F42" s="27">
        <v>0.5</v>
      </c>
      <c r="G42" s="21">
        <f>((1+F42)*TariefOpbouwTotaalLoonkosten3+TariefOpbouwDirecteKosten3-TariefOpbouwTotaalLoonkosten3+TariefOpbouwIndirecteKosten3)*(1+TariefOpbouwRisicoWinstPercentage3)</f>
        <v>0</v>
      </c>
      <c r="H42" s="27">
        <v>0.5</v>
      </c>
      <c r="I42" s="21">
        <f>((1+H42)*TariefOpbouwTotaalLoonkosten4+TariefOpbouwDirecteKosten4-TariefOpbouwTotaalLoonkosten4+TariefOpbouwIndirecteKosten4)*(1+TariefOpbouwRisicoWinstPercentage4)</f>
        <v>0</v>
      </c>
      <c r="J42" s="27">
        <v>0.5</v>
      </c>
      <c r="K42" s="21">
        <f>((1+J42)*TariefOpbouwTotaalLoonkosten5+TariefOpbouwDirecteKosten5-TariefOpbouwTotaalLoonkosten5+TariefOpbouwIndirecteKosten5)*(1+TariefOpbouwRisicoWinstPercentage5)</f>
        <v>0</v>
      </c>
      <c r="L42" s="27">
        <v>0.5</v>
      </c>
      <c r="M42" s="21">
        <f>((1+L42)*TariefOpbouwTotaalLoonkosten6+TariefOpbouwDirecteKosten6-TariefOpbouwTotaalLoonkosten6+TariefOpbouwIndirecteKosten6)*(1+TariefOpbouwRisicoWinstPercentage6)</f>
        <v>0</v>
      </c>
      <c r="N42" s="27">
        <v>0.5</v>
      </c>
      <c r="O42" s="21">
        <f>((1+N42)*TariefOpbouwTotaalLoonkosten7+TariefOpbouwDirecteKosten7-TariefOpbouwTotaalLoonkosten7+TariefOpbouwIndirecteKosten7)*(1+TariefOpbouwRisicoWinstPercentage7)</f>
        <v>0</v>
      </c>
      <c r="P42" s="27">
        <v>0.5</v>
      </c>
      <c r="Q42" s="21">
        <f>((1+P42)*TariefOpbouwTotaalLoonkosten8+TariefOpbouwDirecteKosten8-TariefOpbouwTotaalLoonkosten8+TariefOpbouwIndirecteKosten8)*(1+TariefOpbouwRisicoWinstPercentage8)</f>
        <v>0</v>
      </c>
      <c r="R42" s="27">
        <v>0.5</v>
      </c>
      <c r="S42" s="22">
        <f>((1+R42)*TariefOpbouwTotaalLoonkosten9+TariefOpbouwDirecteKosten9-TariefOpbouwTotaalLoonkosten9+TariefOpbouwIndirecteKosten9)*(1+TariefOpbouwRisicoWinstPercentage9)</f>
        <v>0</v>
      </c>
    </row>
    <row r="43" spans="1:19" x14ac:dyDescent="0.25">
      <c r="A43" s="28" t="s">
        <v>82</v>
      </c>
      <c r="B43" s="29">
        <v>1.5</v>
      </c>
      <c r="C43" s="30">
        <f>((1+B43)*TariefOpbouwTotaalLoonkosten1+TariefOpbouwDirecteKosten1-TariefOpbouwTotaalLoonkosten1+TariefOpbouwIndirecteKosten1)*(1+TariefOpbouwRisicoWinstPercentage1)</f>
        <v>0</v>
      </c>
      <c r="D43" s="29">
        <v>1.5</v>
      </c>
      <c r="E43" s="30">
        <f>((1+D43)*TariefOpbouwTotaalLoonkosten2+TariefOpbouwDirecteKosten2-TariefOpbouwTotaalLoonkosten2+TariefOpbouwIndirecteKosten2)*(1+TariefOpbouwRisicoWinstPercentage2)</f>
        <v>0</v>
      </c>
      <c r="F43" s="29">
        <v>1.5</v>
      </c>
      <c r="G43" s="30">
        <f>((1+F43)*TariefOpbouwTotaalLoonkosten3+TariefOpbouwDirecteKosten3-TariefOpbouwTotaalLoonkosten3+TariefOpbouwIndirecteKosten3)*(1+TariefOpbouwRisicoWinstPercentage3)</f>
        <v>0</v>
      </c>
      <c r="H43" s="29">
        <v>1.5</v>
      </c>
      <c r="I43" s="30">
        <f>((1+H43)*TariefOpbouwTotaalLoonkosten4+TariefOpbouwDirecteKosten4-TariefOpbouwTotaalLoonkosten4+TariefOpbouwIndirecteKosten4)*(1+TariefOpbouwRisicoWinstPercentage4)</f>
        <v>0</v>
      </c>
      <c r="J43" s="29">
        <v>1.5</v>
      </c>
      <c r="K43" s="30">
        <f>((1+J43)*TariefOpbouwTotaalLoonkosten5+TariefOpbouwDirecteKosten5-TariefOpbouwTotaalLoonkosten5+TariefOpbouwIndirecteKosten5)*(1+TariefOpbouwRisicoWinstPercentage5)</f>
        <v>0</v>
      </c>
      <c r="L43" s="29">
        <v>1.5</v>
      </c>
      <c r="M43" s="30">
        <f>((1+L43)*TariefOpbouwTotaalLoonkosten6+TariefOpbouwDirecteKosten6-TariefOpbouwTotaalLoonkosten6+TariefOpbouwIndirecteKosten6)*(1+TariefOpbouwRisicoWinstPercentage6)</f>
        <v>0</v>
      </c>
      <c r="N43" s="29">
        <v>1.5</v>
      </c>
      <c r="O43" s="30">
        <f>((1+N43)*TariefOpbouwTotaalLoonkosten7+TariefOpbouwDirecteKosten7-TariefOpbouwTotaalLoonkosten7+TariefOpbouwIndirecteKosten7)*(1+TariefOpbouwRisicoWinstPercentage7)</f>
        <v>0</v>
      </c>
      <c r="P43" s="29">
        <v>1.5</v>
      </c>
      <c r="Q43" s="30">
        <f>((1+P43)*TariefOpbouwTotaalLoonkosten8+TariefOpbouwDirecteKosten8-TariefOpbouwTotaalLoonkosten8+TariefOpbouwIndirecteKosten8)*(1+TariefOpbouwRisicoWinstPercentage8)</f>
        <v>0</v>
      </c>
      <c r="R43" s="29">
        <v>1.5</v>
      </c>
      <c r="S43" s="31">
        <f>((1+R43)*TariefOpbouwTotaalLoonkosten9+TariefOpbouwDirecteKosten9-TariefOpbouwTotaalLoonkosten9+TariefOpbouwIndirecteKosten9)*(1+TariefOpbouwRisicoWinstPercentage9)</f>
        <v>0</v>
      </c>
    </row>
    <row r="45" spans="1:19" ht="58" customHeight="1" x14ac:dyDescent="0.25">
      <c r="A45" s="14" t="s">
        <v>83</v>
      </c>
      <c r="B45" s="142" t="s">
        <v>84</v>
      </c>
      <c r="C45" s="142"/>
      <c r="D45" s="142" t="s">
        <v>85</v>
      </c>
      <c r="E45" s="142"/>
      <c r="F45" s="142" t="s">
        <v>86</v>
      </c>
      <c r="G45" s="142"/>
      <c r="H45" s="142" t="s">
        <v>87</v>
      </c>
      <c r="I45" s="143"/>
    </row>
    <row r="46" spans="1:19" x14ac:dyDescent="0.25">
      <c r="A46" s="24"/>
      <c r="B46" s="16" t="s">
        <v>88</v>
      </c>
      <c r="C46" s="16" t="s">
        <v>89</v>
      </c>
      <c r="D46" s="16" t="s">
        <v>88</v>
      </c>
      <c r="E46" s="16" t="s">
        <v>89</v>
      </c>
      <c r="F46" s="16" t="s">
        <v>88</v>
      </c>
      <c r="G46" s="16" t="s">
        <v>89</v>
      </c>
      <c r="H46" s="16" t="s">
        <v>88</v>
      </c>
      <c r="I46" s="17" t="s">
        <v>89</v>
      </c>
    </row>
    <row r="47" spans="1:19" x14ac:dyDescent="0.25">
      <c r="A47" s="32" t="str">
        <f>TariefOpbouwNaam1&amp;" "&amp;TariefOpbouwErvaring1</f>
        <v>Vakvolwassene &gt;3 dienstjaren</v>
      </c>
      <c r="B47" s="23"/>
      <c r="C47" s="21">
        <f>TariefOpbouwTarief1</f>
        <v>0</v>
      </c>
      <c r="D47" s="23"/>
      <c r="E47" s="21">
        <f>TariefOpbouwTarief1</f>
        <v>0</v>
      </c>
      <c r="F47" s="23"/>
      <c r="G47" s="21">
        <f>TariefOpbouwTarief1W</f>
        <v>0</v>
      </c>
      <c r="H47" s="23"/>
      <c r="I47" s="22">
        <f>TariefOpbouwTarief1X</f>
        <v>0</v>
      </c>
    </row>
    <row r="48" spans="1:19" x14ac:dyDescent="0.25">
      <c r="A48" s="32" t="str">
        <f>TariefOpbouwNaam2&amp;" "&amp;TariefOpbouwErvaring2</f>
        <v xml:space="preserve">Vakvolwassene </v>
      </c>
      <c r="B48" s="23"/>
      <c r="C48" s="21">
        <f>TariefOpbouwTarief2</f>
        <v>0</v>
      </c>
      <c r="D48" s="23"/>
      <c r="E48" s="21">
        <f>TariefOpbouwTarief2</f>
        <v>0</v>
      </c>
      <c r="F48" s="23"/>
      <c r="G48" s="21">
        <f>TariefOpbouwTarief2W</f>
        <v>0</v>
      </c>
      <c r="H48" s="23"/>
      <c r="I48" s="22">
        <f>TariefOpbouwTarief2X</f>
        <v>0</v>
      </c>
    </row>
    <row r="49" spans="1:9" x14ac:dyDescent="0.25">
      <c r="A49" s="32" t="str">
        <f>TariefOpbouwNaam3&amp;" "&amp;TariefOpbouwErvaring3</f>
        <v>Leiding (meewerkend) voorman/vrouw</v>
      </c>
      <c r="B49" s="23"/>
      <c r="C49" s="21">
        <f>TariefOpbouwTarief3</f>
        <v>0</v>
      </c>
      <c r="D49" s="23"/>
      <c r="E49" s="21">
        <f>TariefOpbouwTarief3</f>
        <v>0</v>
      </c>
      <c r="F49" s="23"/>
      <c r="G49" s="21">
        <f>TariefOpbouwTarief3W</f>
        <v>0</v>
      </c>
      <c r="H49" s="23"/>
      <c r="I49" s="22">
        <f>TariefOpbouwTarief3X</f>
        <v>0</v>
      </c>
    </row>
    <row r="50" spans="1:9" x14ac:dyDescent="0.25">
      <c r="A50" s="32" t="str">
        <f>TariefOpbouwNaam4&amp;" "&amp;TariefOpbouwErvaring4</f>
        <v>Vakvolwassene specialist vloeren</v>
      </c>
      <c r="B50" s="23"/>
      <c r="C50" s="21">
        <f>TariefOpbouwTarief4</f>
        <v>0</v>
      </c>
      <c r="D50" s="23"/>
      <c r="E50" s="21">
        <f>TariefOpbouwTarief4</f>
        <v>0</v>
      </c>
      <c r="F50" s="23"/>
      <c r="G50" s="21">
        <f>TariefOpbouwTarief4W</f>
        <v>0</v>
      </c>
      <c r="H50" s="23"/>
      <c r="I50" s="22">
        <f>TariefOpbouwTarief4X</f>
        <v>0</v>
      </c>
    </row>
    <row r="51" spans="1:9" x14ac:dyDescent="0.25">
      <c r="A51" s="15" t="s">
        <v>90</v>
      </c>
      <c r="B51" s="33" t="str">
        <f>IF(SUM(B47:B50)=1,SUM(B47:B50),"ongeldig")</f>
        <v>ongeldig</v>
      </c>
      <c r="C51" s="21">
        <f>SUMPRODUCT(B47:B50,C47:C50)</f>
        <v>0</v>
      </c>
      <c r="D51" s="33" t="str">
        <f>IF(SUM(D47:D50)=1,SUM(D47:D50),"ongeldig")</f>
        <v>ongeldig</v>
      </c>
      <c r="E51" s="21">
        <f>SUMPRODUCT(D47:D50,E47:E50)</f>
        <v>0</v>
      </c>
      <c r="F51" s="33" t="str">
        <f>IF(SUM(F47:F50)=1,SUM(F47:F50),"ongeldig")</f>
        <v>ongeldig</v>
      </c>
      <c r="G51" s="21">
        <f>SUMPRODUCT(F47:F50,G47:G50)</f>
        <v>0</v>
      </c>
      <c r="H51" s="33" t="str">
        <f>IF(SUM(H47:H50)=1,SUM(H47:H50),"ongeldig")</f>
        <v>ongeldig</v>
      </c>
      <c r="I51" s="22">
        <f>SUMPRODUCT(H47:H50,I47:I50)</f>
        <v>0</v>
      </c>
    </row>
    <row r="52" spans="1:9" x14ac:dyDescent="0.25">
      <c r="A52" s="32" t="str">
        <f>TariefOpbouwNaam5&amp;" "&amp;TariefOpbouwErvaring5</f>
        <v>Leiding (niet-meewerkend) voorman/vrouw</v>
      </c>
      <c r="B52" s="23"/>
      <c r="C52" s="21">
        <f>TariefOpbouwTarief5</f>
        <v>0</v>
      </c>
      <c r="D52" s="23"/>
      <c r="E52" s="21">
        <f>TariefOpbouwTarief5</f>
        <v>0</v>
      </c>
      <c r="F52" s="23"/>
      <c r="G52" s="21">
        <f>TariefOpbouwTarief5W</f>
        <v>0</v>
      </c>
      <c r="H52" s="23"/>
      <c r="I52" s="22">
        <f>TariefOpbouwTarief5X</f>
        <v>0</v>
      </c>
    </row>
    <row r="53" spans="1:9" x14ac:dyDescent="0.25">
      <c r="A53" s="32" t="str">
        <f>TariefOpbouwNaam6&amp;" "&amp;TariefOpbouwErvaring6</f>
        <v>Leiding (niet-meewerkend) objectleider</v>
      </c>
      <c r="B53" s="23"/>
      <c r="C53" s="21">
        <f>TariefOpbouwTarief6</f>
        <v>0</v>
      </c>
      <c r="D53" s="23"/>
      <c r="E53" s="21">
        <f>TariefOpbouwTarief6</f>
        <v>0</v>
      </c>
      <c r="F53" s="23"/>
      <c r="G53" s="21">
        <f>TariefOpbouwTarief6W</f>
        <v>0</v>
      </c>
      <c r="H53" s="23"/>
      <c r="I53" s="22">
        <f>TariefOpbouwTarief6X</f>
        <v>0</v>
      </c>
    </row>
    <row r="54" spans="1:9" x14ac:dyDescent="0.25">
      <c r="A54" s="28" t="s">
        <v>91</v>
      </c>
      <c r="B54" s="144">
        <f>TariefUitvoering1+IF(SUM(B52:B53)&gt;0,SUMPRODUCT(B52:B53,C52:C53))</f>
        <v>0</v>
      </c>
      <c r="C54" s="144"/>
      <c r="D54" s="144">
        <f>TariefUitvoering2+IF(SUM(D52:D53)&gt;0,SUMPRODUCT(D52:D53,E52:E53))</f>
        <v>0</v>
      </c>
      <c r="E54" s="144"/>
      <c r="F54" s="144">
        <f>TariefUitvoering6+IF(SUM(F52:F53)&gt;0,SUMPRODUCT(F52:F53,G52:G53))</f>
        <v>0</v>
      </c>
      <c r="G54" s="144"/>
      <c r="H54" s="144">
        <f>TariefUitvoering7+IF(SUM(H52:H53)&gt;0,SUMPRODUCT(H52:H53,I52:I53))</f>
        <v>0</v>
      </c>
      <c r="I54" s="145"/>
    </row>
    <row r="56" spans="1:9" ht="43.5" customHeight="1" x14ac:dyDescent="0.25">
      <c r="A56" s="14" t="s">
        <v>92</v>
      </c>
      <c r="B56" s="142" t="s">
        <v>93</v>
      </c>
      <c r="C56" s="142"/>
      <c r="D56" s="142" t="s">
        <v>94</v>
      </c>
      <c r="E56" s="142"/>
      <c r="F56" s="142" t="s">
        <v>95</v>
      </c>
      <c r="G56" s="143"/>
    </row>
    <row r="57" spans="1:9" x14ac:dyDescent="0.25">
      <c r="A57" s="24"/>
      <c r="B57" s="16" t="s">
        <v>88</v>
      </c>
      <c r="C57" s="16" t="s">
        <v>89</v>
      </c>
      <c r="D57" s="16" t="s">
        <v>88</v>
      </c>
      <c r="E57" s="16" t="s">
        <v>89</v>
      </c>
      <c r="F57" s="16" t="s">
        <v>88</v>
      </c>
      <c r="G57" s="17" t="s">
        <v>89</v>
      </c>
    </row>
    <row r="58" spans="1:9" x14ac:dyDescent="0.25">
      <c r="A58" s="32" t="str">
        <f>TariefOpbouwNaam7&amp;" "&amp;TariefOpbouwErvaring7</f>
        <v xml:space="preserve">Vakvolwassene regie </v>
      </c>
      <c r="B58" s="23"/>
      <c r="C58" s="21">
        <f>TariefOpbouwTarief7</f>
        <v>0</v>
      </c>
      <c r="D58" s="23"/>
      <c r="E58" s="21">
        <f>TariefOpbouwTarief7</f>
        <v>0</v>
      </c>
      <c r="F58" s="23"/>
      <c r="G58" s="22">
        <f>TariefOpbouwTarief7W</f>
        <v>0</v>
      </c>
    </row>
    <row r="59" spans="1:9" x14ac:dyDescent="0.25">
      <c r="A59" s="32" t="str">
        <f>TariefOpbouwNaam8&amp;" "&amp;TariefOpbouwErvaring8</f>
        <v>Vakvolwassene regie specialist</v>
      </c>
      <c r="B59" s="23"/>
      <c r="C59" s="21">
        <f>TariefOpbouwTarief8</f>
        <v>0</v>
      </c>
      <c r="D59" s="23"/>
      <c r="E59" s="21">
        <f>TariefOpbouwTarief8</f>
        <v>0</v>
      </c>
      <c r="F59" s="23"/>
      <c r="G59" s="22">
        <f>TariefOpbouwTarief8W</f>
        <v>0</v>
      </c>
    </row>
    <row r="60" spans="1:9" x14ac:dyDescent="0.25">
      <c r="A60" s="15" t="s">
        <v>90</v>
      </c>
      <c r="B60" s="33" t="str">
        <f>IF(SUM(B58:B59)=1,SUM(B58:B59),"ongeldig")</f>
        <v>ongeldig</v>
      </c>
      <c r="C60" s="21">
        <f>SUMPRODUCT(B58:B59,C58:C59)</f>
        <v>0</v>
      </c>
      <c r="D60" s="33" t="str">
        <f>IF(SUM(D58:D59)=1,SUM(D58:D59),"ongeldig")</f>
        <v>ongeldig</v>
      </c>
      <c r="E60" s="21">
        <f>SUMPRODUCT(D58:D59,E58:E59)</f>
        <v>0</v>
      </c>
      <c r="F60" s="33" t="str">
        <f>IF(SUM(F58:F59)=1,SUM(F58:F59),"ongeldig")</f>
        <v>ongeldig</v>
      </c>
      <c r="G60" s="22">
        <f>SUMPRODUCT(F58:F59,G58:G59)</f>
        <v>0</v>
      </c>
    </row>
    <row r="61" spans="1:9" x14ac:dyDescent="0.25">
      <c r="A61" s="32" t="str">
        <f>TariefOpbouwNaam9&amp;" "&amp;TariefOpbouwErvaring9</f>
        <v xml:space="preserve">Leiding regie </v>
      </c>
      <c r="B61" s="23"/>
      <c r="C61" s="21">
        <f>TariefOpbouwTarief9</f>
        <v>0</v>
      </c>
      <c r="D61" s="23"/>
      <c r="E61" s="21">
        <f>TariefOpbouwTarief9</f>
        <v>0</v>
      </c>
      <c r="F61" s="23"/>
      <c r="G61" s="22">
        <f>TariefOpbouwTarief9W</f>
        <v>0</v>
      </c>
    </row>
    <row r="62" spans="1:9" x14ac:dyDescent="0.25">
      <c r="A62" s="28" t="s">
        <v>96</v>
      </c>
      <c r="B62" s="144">
        <f>TariefUitvoering3+IF(SUM(B61:B61)&gt;0,SUMPRODUCT(B61:B61,C61:C61))</f>
        <v>0</v>
      </c>
      <c r="C62" s="144"/>
      <c r="D62" s="144">
        <f>TariefUitvoering4+IF(SUM(D61:D61)&gt;0,SUMPRODUCT(D61:D61,E61:E61))</f>
        <v>0</v>
      </c>
      <c r="E62" s="144"/>
      <c r="F62" s="144">
        <f>TariefUitvoering5+IF(SUM(F61:F61)&gt;0,SUMPRODUCT(F61:F61,G61:G61))</f>
        <v>0</v>
      </c>
      <c r="G62" s="145"/>
    </row>
  </sheetData>
  <sheetProtection autoFilter="0"/>
  <mergeCells count="131">
    <mergeCell ref="B62:C62"/>
    <mergeCell ref="D62:E62"/>
    <mergeCell ref="F62:G62"/>
    <mergeCell ref="B54:C54"/>
    <mergeCell ref="D54:E54"/>
    <mergeCell ref="F54:G54"/>
    <mergeCell ref="H54:I54"/>
    <mergeCell ref="B56:C56"/>
    <mergeCell ref="D56:E56"/>
    <mergeCell ref="F56:G56"/>
    <mergeCell ref="N39:O39"/>
    <mergeCell ref="P39:Q39"/>
    <mergeCell ref="R39:S39"/>
    <mergeCell ref="B45:C45"/>
    <mergeCell ref="D45:E45"/>
    <mergeCell ref="F45:G45"/>
    <mergeCell ref="H45:I45"/>
    <mergeCell ref="B39:C39"/>
    <mergeCell ref="D39:E39"/>
    <mergeCell ref="F39:G39"/>
    <mergeCell ref="H39:I39"/>
    <mergeCell ref="J39:K39"/>
    <mergeCell ref="L39:M39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N14:O14"/>
    <mergeCell ref="P14:Q14"/>
    <mergeCell ref="R14:S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P19:Q19"/>
    <mergeCell ref="R19:S19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7:O7"/>
    <mergeCell ref="P7:Q7"/>
    <mergeCell ref="R7:S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P8:Q8"/>
    <mergeCell ref="R8:S8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3:O3"/>
    <mergeCell ref="P3:Q3"/>
    <mergeCell ref="R3:S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P4:Q4"/>
    <mergeCell ref="R4:S4"/>
  </mergeCells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C657-6FD2-4E1A-94C3-82EC0E61F3F2}">
  <dimension ref="A1:H75"/>
  <sheetViews>
    <sheetView topLeftCell="A40" workbookViewId="0">
      <selection activeCell="N10" sqref="N10"/>
    </sheetView>
  </sheetViews>
  <sheetFormatPr defaultColWidth="8.90625" defaultRowHeight="11.5" x14ac:dyDescent="0.25"/>
  <cols>
    <col min="1" max="1" width="7.6328125" style="2" customWidth="1"/>
    <col min="2" max="2" width="6.6328125" style="2" customWidth="1"/>
    <col min="3" max="3" width="4.6328125" style="2" customWidth="1"/>
    <col min="4" max="4" width="55.90625" style="2" bestFit="1" customWidth="1"/>
    <col min="5" max="6" width="11.6328125" style="2" customWidth="1"/>
    <col min="7" max="7" width="9.6328125" style="2" customWidth="1"/>
    <col min="8" max="8" width="11.6328125" style="2" customWidth="1"/>
    <col min="9" max="16384" width="8.90625" style="2"/>
  </cols>
  <sheetData>
    <row r="1" spans="1:8" x14ac:dyDescent="0.25">
      <c r="A1" s="1" t="str">
        <f>CONCATENATE("Bijlage 7.1.1: ",tabeltype," categorienormen")</f>
        <v>Bijlage 7.1.1: Invultabel categorienormen</v>
      </c>
    </row>
    <row r="3" spans="1:8" ht="34.5" x14ac:dyDescent="0.25">
      <c r="A3" s="34" t="s">
        <v>97</v>
      </c>
      <c r="B3" s="34" t="s">
        <v>98</v>
      </c>
      <c r="C3" s="34" t="s">
        <v>99</v>
      </c>
      <c r="D3" s="34" t="s">
        <v>100</v>
      </c>
      <c r="E3" s="34" t="s">
        <v>101</v>
      </c>
      <c r="F3" s="34" t="s">
        <v>102</v>
      </c>
      <c r="G3" s="34" t="s">
        <v>103</v>
      </c>
      <c r="H3" s="34" t="s">
        <v>104</v>
      </c>
    </row>
    <row r="4" spans="1:8" x14ac:dyDescent="0.25">
      <c r="A4" s="35"/>
      <c r="B4" s="36"/>
      <c r="C4" s="36"/>
      <c r="D4" s="36"/>
      <c r="E4" s="36"/>
      <c r="F4" s="36"/>
      <c r="G4" s="36"/>
      <c r="H4" s="37"/>
    </row>
    <row r="5" spans="1:8" x14ac:dyDescent="0.25">
      <c r="A5" s="38" t="s">
        <v>105</v>
      </c>
      <c r="B5" s="39"/>
      <c r="C5" s="39"/>
      <c r="D5" s="39"/>
      <c r="E5" s="39"/>
      <c r="F5" s="39"/>
      <c r="G5" s="39"/>
      <c r="H5" s="40"/>
    </row>
    <row r="6" spans="1:8" x14ac:dyDescent="0.25">
      <c r="A6" s="41" t="s">
        <v>106</v>
      </c>
      <c r="B6" s="42" t="s">
        <v>107</v>
      </c>
      <c r="C6" s="41">
        <v>1</v>
      </c>
      <c r="D6" s="41" t="s">
        <v>108</v>
      </c>
      <c r="E6" s="43"/>
      <c r="F6" s="44"/>
      <c r="G6" s="41" t="s">
        <v>109</v>
      </c>
      <c r="H6" s="45">
        <f t="shared" ref="H6:H37" si="0">Tariefopbouw1</f>
        <v>0</v>
      </c>
    </row>
    <row r="7" spans="1:8" x14ac:dyDescent="0.25">
      <c r="A7" s="46" t="s">
        <v>110</v>
      </c>
      <c r="B7" s="47" t="s">
        <v>107</v>
      </c>
      <c r="C7" s="46">
        <v>41</v>
      </c>
      <c r="D7" s="46" t="s">
        <v>111</v>
      </c>
      <c r="E7" s="48"/>
      <c r="F7" s="49"/>
      <c r="G7" s="46" t="s">
        <v>109</v>
      </c>
      <c r="H7" s="50">
        <f t="shared" si="0"/>
        <v>0</v>
      </c>
    </row>
    <row r="8" spans="1:8" x14ac:dyDescent="0.25">
      <c r="A8" s="46" t="s">
        <v>112</v>
      </c>
      <c r="B8" s="47" t="s">
        <v>113</v>
      </c>
      <c r="C8" s="46">
        <v>1</v>
      </c>
      <c r="D8" s="46" t="s">
        <v>114</v>
      </c>
      <c r="E8" s="48"/>
      <c r="F8" s="49"/>
      <c r="G8" s="46" t="s">
        <v>109</v>
      </c>
      <c r="H8" s="50">
        <f t="shared" si="0"/>
        <v>0</v>
      </c>
    </row>
    <row r="9" spans="1:8" x14ac:dyDescent="0.25">
      <c r="A9" s="46" t="s">
        <v>115</v>
      </c>
      <c r="B9" s="47" t="s">
        <v>113</v>
      </c>
      <c r="C9" s="46">
        <v>20</v>
      </c>
      <c r="D9" s="46" t="s">
        <v>116</v>
      </c>
      <c r="E9" s="48"/>
      <c r="F9" s="49"/>
      <c r="G9" s="46" t="s">
        <v>109</v>
      </c>
      <c r="H9" s="50">
        <f t="shared" si="0"/>
        <v>0</v>
      </c>
    </row>
    <row r="10" spans="1:8" x14ac:dyDescent="0.25">
      <c r="A10" s="46" t="s">
        <v>115</v>
      </c>
      <c r="B10" s="47" t="s">
        <v>113</v>
      </c>
      <c r="C10" s="46">
        <v>41</v>
      </c>
      <c r="D10" s="46" t="s">
        <v>116</v>
      </c>
      <c r="E10" s="48"/>
      <c r="F10" s="49"/>
      <c r="G10" s="46" t="s">
        <v>109</v>
      </c>
      <c r="H10" s="50">
        <f t="shared" si="0"/>
        <v>0</v>
      </c>
    </row>
    <row r="11" spans="1:8" x14ac:dyDescent="0.25">
      <c r="A11" s="46" t="s">
        <v>117</v>
      </c>
      <c r="B11" s="47" t="s">
        <v>113</v>
      </c>
      <c r="C11" s="46">
        <v>1</v>
      </c>
      <c r="D11" s="46" t="s">
        <v>118</v>
      </c>
      <c r="E11" s="48"/>
      <c r="F11" s="49"/>
      <c r="G11" s="46" t="s">
        <v>109</v>
      </c>
      <c r="H11" s="50">
        <f t="shared" si="0"/>
        <v>0</v>
      </c>
    </row>
    <row r="12" spans="1:8" x14ac:dyDescent="0.25">
      <c r="A12" s="46" t="s">
        <v>119</v>
      </c>
      <c r="B12" s="47" t="s">
        <v>113</v>
      </c>
      <c r="C12" s="46">
        <v>41</v>
      </c>
      <c r="D12" s="46" t="s">
        <v>120</v>
      </c>
      <c r="E12" s="48"/>
      <c r="F12" s="49"/>
      <c r="G12" s="46" t="s">
        <v>109</v>
      </c>
      <c r="H12" s="50">
        <f t="shared" si="0"/>
        <v>0</v>
      </c>
    </row>
    <row r="13" spans="1:8" x14ac:dyDescent="0.25">
      <c r="A13" s="46" t="s">
        <v>121</v>
      </c>
      <c r="B13" s="47" t="s">
        <v>122</v>
      </c>
      <c r="C13" s="46">
        <v>1</v>
      </c>
      <c r="D13" s="46" t="s">
        <v>123</v>
      </c>
      <c r="E13" s="48"/>
      <c r="F13" s="49"/>
      <c r="G13" s="46" t="s">
        <v>109</v>
      </c>
      <c r="H13" s="50">
        <f t="shared" si="0"/>
        <v>0</v>
      </c>
    </row>
    <row r="14" spans="1:8" x14ac:dyDescent="0.25">
      <c r="A14" s="46" t="s">
        <v>124</v>
      </c>
      <c r="B14" s="47" t="s">
        <v>122</v>
      </c>
      <c r="C14" s="46">
        <v>41</v>
      </c>
      <c r="D14" s="46" t="s">
        <v>125</v>
      </c>
      <c r="E14" s="48"/>
      <c r="F14" s="49"/>
      <c r="G14" s="46" t="s">
        <v>109</v>
      </c>
      <c r="H14" s="50">
        <f t="shared" si="0"/>
        <v>0</v>
      </c>
    </row>
    <row r="15" spans="1:8" x14ac:dyDescent="0.25">
      <c r="A15" s="46" t="s">
        <v>126</v>
      </c>
      <c r="B15" s="47" t="s">
        <v>127</v>
      </c>
      <c r="C15" s="46">
        <v>1</v>
      </c>
      <c r="D15" s="46" t="s">
        <v>128</v>
      </c>
      <c r="E15" s="48"/>
      <c r="F15" s="49"/>
      <c r="G15" s="46" t="s">
        <v>109</v>
      </c>
      <c r="H15" s="50">
        <f t="shared" si="0"/>
        <v>0</v>
      </c>
    </row>
    <row r="16" spans="1:8" x14ac:dyDescent="0.25">
      <c r="A16" s="46" t="s">
        <v>129</v>
      </c>
      <c r="B16" s="47" t="s">
        <v>127</v>
      </c>
      <c r="C16" s="46">
        <v>41</v>
      </c>
      <c r="D16" s="46" t="s">
        <v>130</v>
      </c>
      <c r="E16" s="48"/>
      <c r="F16" s="49"/>
      <c r="G16" s="46" t="s">
        <v>109</v>
      </c>
      <c r="H16" s="50">
        <f t="shared" si="0"/>
        <v>0</v>
      </c>
    </row>
    <row r="17" spans="1:8" x14ac:dyDescent="0.25">
      <c r="A17" s="46" t="s">
        <v>131</v>
      </c>
      <c r="B17" s="47" t="s">
        <v>132</v>
      </c>
      <c r="C17" s="46">
        <v>1</v>
      </c>
      <c r="D17" s="46" t="s">
        <v>133</v>
      </c>
      <c r="E17" s="48"/>
      <c r="F17" s="49"/>
      <c r="G17" s="46" t="s">
        <v>109</v>
      </c>
      <c r="H17" s="50">
        <f t="shared" si="0"/>
        <v>0</v>
      </c>
    </row>
    <row r="18" spans="1:8" x14ac:dyDescent="0.25">
      <c r="A18" s="46" t="s">
        <v>134</v>
      </c>
      <c r="B18" s="47" t="s">
        <v>132</v>
      </c>
      <c r="C18" s="46">
        <v>41</v>
      </c>
      <c r="D18" s="46" t="s">
        <v>135</v>
      </c>
      <c r="E18" s="48"/>
      <c r="F18" s="49"/>
      <c r="G18" s="46" t="s">
        <v>109</v>
      </c>
      <c r="H18" s="50">
        <f t="shared" si="0"/>
        <v>0</v>
      </c>
    </row>
    <row r="19" spans="1:8" x14ac:dyDescent="0.25">
      <c r="A19" s="46" t="s">
        <v>136</v>
      </c>
      <c r="B19" s="47" t="s">
        <v>132</v>
      </c>
      <c r="C19" s="46">
        <v>1</v>
      </c>
      <c r="D19" s="46" t="s">
        <v>137</v>
      </c>
      <c r="E19" s="48"/>
      <c r="F19" s="49"/>
      <c r="G19" s="46" t="s">
        <v>109</v>
      </c>
      <c r="H19" s="50">
        <f t="shared" si="0"/>
        <v>0</v>
      </c>
    </row>
    <row r="20" spans="1:8" x14ac:dyDescent="0.25">
      <c r="A20" s="46" t="s">
        <v>138</v>
      </c>
      <c r="B20" s="47" t="s">
        <v>132</v>
      </c>
      <c r="C20" s="46">
        <v>41</v>
      </c>
      <c r="D20" s="46" t="s">
        <v>139</v>
      </c>
      <c r="E20" s="48"/>
      <c r="F20" s="49"/>
      <c r="G20" s="46" t="s">
        <v>109</v>
      </c>
      <c r="H20" s="50">
        <f t="shared" si="0"/>
        <v>0</v>
      </c>
    </row>
    <row r="21" spans="1:8" x14ac:dyDescent="0.25">
      <c r="A21" s="46" t="s">
        <v>140</v>
      </c>
      <c r="B21" s="47" t="s">
        <v>132</v>
      </c>
      <c r="C21" s="46">
        <v>1</v>
      </c>
      <c r="D21" s="46" t="s">
        <v>141</v>
      </c>
      <c r="E21" s="48"/>
      <c r="F21" s="49"/>
      <c r="G21" s="46" t="s">
        <v>109</v>
      </c>
      <c r="H21" s="50">
        <f t="shared" si="0"/>
        <v>0</v>
      </c>
    </row>
    <row r="22" spans="1:8" x14ac:dyDescent="0.25">
      <c r="A22" s="46" t="s">
        <v>142</v>
      </c>
      <c r="B22" s="47" t="s">
        <v>132</v>
      </c>
      <c r="C22" s="46">
        <v>41</v>
      </c>
      <c r="D22" s="46" t="s">
        <v>143</v>
      </c>
      <c r="E22" s="48"/>
      <c r="F22" s="49"/>
      <c r="G22" s="46" t="s">
        <v>109</v>
      </c>
      <c r="H22" s="50">
        <f t="shared" si="0"/>
        <v>0</v>
      </c>
    </row>
    <row r="23" spans="1:8" x14ac:dyDescent="0.25">
      <c r="A23" s="46" t="s">
        <v>144</v>
      </c>
      <c r="B23" s="47" t="s">
        <v>145</v>
      </c>
      <c r="C23" s="46">
        <v>1</v>
      </c>
      <c r="D23" s="46" t="s">
        <v>146</v>
      </c>
      <c r="E23" s="48"/>
      <c r="F23" s="49"/>
      <c r="G23" s="46" t="s">
        <v>109</v>
      </c>
      <c r="H23" s="50">
        <f t="shared" si="0"/>
        <v>0</v>
      </c>
    </row>
    <row r="24" spans="1:8" x14ac:dyDescent="0.25">
      <c r="A24" s="46" t="s">
        <v>147</v>
      </c>
      <c r="B24" s="47" t="s">
        <v>145</v>
      </c>
      <c r="C24" s="46">
        <v>41</v>
      </c>
      <c r="D24" s="46" t="s">
        <v>148</v>
      </c>
      <c r="E24" s="48"/>
      <c r="F24" s="49"/>
      <c r="G24" s="46" t="s">
        <v>109</v>
      </c>
      <c r="H24" s="50">
        <f t="shared" si="0"/>
        <v>0</v>
      </c>
    </row>
    <row r="25" spans="1:8" x14ac:dyDescent="0.25">
      <c r="A25" s="46" t="s">
        <v>149</v>
      </c>
      <c r="B25" s="47" t="s">
        <v>145</v>
      </c>
      <c r="C25" s="46">
        <v>1</v>
      </c>
      <c r="D25" s="46" t="s">
        <v>150</v>
      </c>
      <c r="E25" s="48"/>
      <c r="F25" s="49"/>
      <c r="G25" s="46" t="s">
        <v>109</v>
      </c>
      <c r="H25" s="50">
        <f t="shared" si="0"/>
        <v>0</v>
      </c>
    </row>
    <row r="26" spans="1:8" x14ac:dyDescent="0.25">
      <c r="A26" s="46" t="s">
        <v>151</v>
      </c>
      <c r="B26" s="47" t="s">
        <v>145</v>
      </c>
      <c r="C26" s="46">
        <v>41</v>
      </c>
      <c r="D26" s="46" t="s">
        <v>152</v>
      </c>
      <c r="E26" s="48"/>
      <c r="F26" s="49"/>
      <c r="G26" s="46" t="s">
        <v>109</v>
      </c>
      <c r="H26" s="50">
        <f t="shared" si="0"/>
        <v>0</v>
      </c>
    </row>
    <row r="27" spans="1:8" x14ac:dyDescent="0.25">
      <c r="A27" s="46" t="s">
        <v>153</v>
      </c>
      <c r="B27" s="47" t="s">
        <v>145</v>
      </c>
      <c r="C27" s="46">
        <v>1</v>
      </c>
      <c r="D27" s="46" t="s">
        <v>154</v>
      </c>
      <c r="E27" s="48"/>
      <c r="F27" s="49"/>
      <c r="G27" s="46" t="s">
        <v>109</v>
      </c>
      <c r="H27" s="50">
        <f t="shared" si="0"/>
        <v>0</v>
      </c>
    </row>
    <row r="28" spans="1:8" x14ac:dyDescent="0.25">
      <c r="A28" s="46" t="s">
        <v>155</v>
      </c>
      <c r="B28" s="47" t="s">
        <v>145</v>
      </c>
      <c r="C28" s="46">
        <v>41</v>
      </c>
      <c r="D28" s="46" t="s">
        <v>156</v>
      </c>
      <c r="E28" s="48"/>
      <c r="F28" s="49"/>
      <c r="G28" s="46" t="s">
        <v>109</v>
      </c>
      <c r="H28" s="50">
        <f t="shared" si="0"/>
        <v>0</v>
      </c>
    </row>
    <row r="29" spans="1:8" x14ac:dyDescent="0.25">
      <c r="A29" s="46" t="s">
        <v>157</v>
      </c>
      <c r="B29" s="47" t="s">
        <v>145</v>
      </c>
      <c r="C29" s="46">
        <v>1</v>
      </c>
      <c r="D29" s="46" t="s">
        <v>158</v>
      </c>
      <c r="E29" s="48"/>
      <c r="F29" s="49"/>
      <c r="G29" s="46" t="s">
        <v>109</v>
      </c>
      <c r="H29" s="50">
        <f t="shared" si="0"/>
        <v>0</v>
      </c>
    </row>
    <row r="30" spans="1:8" x14ac:dyDescent="0.25">
      <c r="A30" s="46" t="s">
        <v>159</v>
      </c>
      <c r="B30" s="47" t="s">
        <v>145</v>
      </c>
      <c r="C30" s="46">
        <v>41</v>
      </c>
      <c r="D30" s="46" t="s">
        <v>160</v>
      </c>
      <c r="E30" s="48"/>
      <c r="F30" s="49"/>
      <c r="G30" s="46" t="s">
        <v>109</v>
      </c>
      <c r="H30" s="50">
        <f t="shared" si="0"/>
        <v>0</v>
      </c>
    </row>
    <row r="31" spans="1:8" x14ac:dyDescent="0.25">
      <c r="A31" s="46" t="s">
        <v>161</v>
      </c>
      <c r="B31" s="47" t="s">
        <v>145</v>
      </c>
      <c r="C31" s="46">
        <v>1</v>
      </c>
      <c r="D31" s="46" t="s">
        <v>162</v>
      </c>
      <c r="E31" s="48"/>
      <c r="F31" s="49"/>
      <c r="G31" s="46" t="s">
        <v>109</v>
      </c>
      <c r="H31" s="50">
        <f t="shared" si="0"/>
        <v>0</v>
      </c>
    </row>
    <row r="32" spans="1:8" x14ac:dyDescent="0.25">
      <c r="A32" s="46" t="s">
        <v>163</v>
      </c>
      <c r="B32" s="47" t="s">
        <v>145</v>
      </c>
      <c r="C32" s="46">
        <v>12</v>
      </c>
      <c r="D32" s="46" t="s">
        <v>164</v>
      </c>
      <c r="E32" s="48"/>
      <c r="F32" s="49"/>
      <c r="G32" s="46" t="s">
        <v>109</v>
      </c>
      <c r="H32" s="50">
        <f t="shared" si="0"/>
        <v>0</v>
      </c>
    </row>
    <row r="33" spans="1:8" x14ac:dyDescent="0.25">
      <c r="A33" s="46" t="s">
        <v>163</v>
      </c>
      <c r="B33" s="47" t="s">
        <v>145</v>
      </c>
      <c r="C33" s="46">
        <v>41</v>
      </c>
      <c r="D33" s="46" t="s">
        <v>164</v>
      </c>
      <c r="E33" s="48"/>
      <c r="F33" s="49"/>
      <c r="G33" s="46" t="s">
        <v>109</v>
      </c>
      <c r="H33" s="50">
        <f t="shared" si="0"/>
        <v>0</v>
      </c>
    </row>
    <row r="34" spans="1:8" x14ac:dyDescent="0.25">
      <c r="A34" s="46" t="s">
        <v>165</v>
      </c>
      <c r="B34" s="47" t="s">
        <v>145</v>
      </c>
      <c r="C34" s="46">
        <v>1</v>
      </c>
      <c r="D34" s="46" t="s">
        <v>166</v>
      </c>
      <c r="E34" s="48"/>
      <c r="F34" s="49"/>
      <c r="G34" s="46" t="s">
        <v>109</v>
      </c>
      <c r="H34" s="50">
        <f t="shared" si="0"/>
        <v>0</v>
      </c>
    </row>
    <row r="35" spans="1:8" x14ac:dyDescent="0.25">
      <c r="A35" s="46" t="s">
        <v>167</v>
      </c>
      <c r="B35" s="47" t="s">
        <v>145</v>
      </c>
      <c r="C35" s="46">
        <v>41</v>
      </c>
      <c r="D35" s="46" t="s">
        <v>168</v>
      </c>
      <c r="E35" s="48"/>
      <c r="F35" s="49"/>
      <c r="G35" s="46" t="s">
        <v>109</v>
      </c>
      <c r="H35" s="50">
        <f t="shared" si="0"/>
        <v>0</v>
      </c>
    </row>
    <row r="36" spans="1:8" x14ac:dyDescent="0.25">
      <c r="A36" s="46" t="s">
        <v>169</v>
      </c>
      <c r="B36" s="47" t="s">
        <v>145</v>
      </c>
      <c r="C36" s="46">
        <v>1</v>
      </c>
      <c r="D36" s="46" t="s">
        <v>170</v>
      </c>
      <c r="E36" s="48"/>
      <c r="F36" s="49"/>
      <c r="G36" s="46" t="s">
        <v>109</v>
      </c>
      <c r="H36" s="50">
        <f t="shared" si="0"/>
        <v>0</v>
      </c>
    </row>
    <row r="37" spans="1:8" x14ac:dyDescent="0.25">
      <c r="A37" s="46" t="s">
        <v>171</v>
      </c>
      <c r="B37" s="47" t="s">
        <v>145</v>
      </c>
      <c r="C37" s="46">
        <v>41</v>
      </c>
      <c r="D37" s="46" t="s">
        <v>172</v>
      </c>
      <c r="E37" s="48"/>
      <c r="F37" s="49"/>
      <c r="G37" s="46" t="s">
        <v>109</v>
      </c>
      <c r="H37" s="50">
        <f t="shared" si="0"/>
        <v>0</v>
      </c>
    </row>
    <row r="38" spans="1:8" x14ac:dyDescent="0.25">
      <c r="A38" s="46" t="s">
        <v>173</v>
      </c>
      <c r="B38" s="47" t="s">
        <v>145</v>
      </c>
      <c r="C38" s="46">
        <v>1</v>
      </c>
      <c r="D38" s="46" t="s">
        <v>174</v>
      </c>
      <c r="E38" s="48"/>
      <c r="F38" s="49"/>
      <c r="G38" s="46" t="s">
        <v>109</v>
      </c>
      <c r="H38" s="50">
        <f t="shared" ref="H38:H74" si="1">Tariefopbouw1</f>
        <v>0</v>
      </c>
    </row>
    <row r="39" spans="1:8" x14ac:dyDescent="0.25">
      <c r="A39" s="46" t="s">
        <v>175</v>
      </c>
      <c r="B39" s="47" t="s">
        <v>145</v>
      </c>
      <c r="C39" s="46">
        <v>41</v>
      </c>
      <c r="D39" s="46" t="s">
        <v>176</v>
      </c>
      <c r="E39" s="48"/>
      <c r="F39" s="49"/>
      <c r="G39" s="46" t="s">
        <v>109</v>
      </c>
      <c r="H39" s="50">
        <f t="shared" si="1"/>
        <v>0</v>
      </c>
    </row>
    <row r="40" spans="1:8" x14ac:dyDescent="0.25">
      <c r="A40" s="46" t="s">
        <v>177</v>
      </c>
      <c r="B40" s="47" t="s">
        <v>145</v>
      </c>
      <c r="C40" s="46">
        <v>1</v>
      </c>
      <c r="D40" s="46" t="s">
        <v>178</v>
      </c>
      <c r="E40" s="48"/>
      <c r="F40" s="49"/>
      <c r="G40" s="46" t="s">
        <v>109</v>
      </c>
      <c r="H40" s="50">
        <f t="shared" si="1"/>
        <v>0</v>
      </c>
    </row>
    <row r="41" spans="1:8" x14ac:dyDescent="0.25">
      <c r="A41" s="46" t="s">
        <v>179</v>
      </c>
      <c r="B41" s="47" t="s">
        <v>145</v>
      </c>
      <c r="C41" s="46">
        <v>41</v>
      </c>
      <c r="D41" s="46" t="s">
        <v>180</v>
      </c>
      <c r="E41" s="48"/>
      <c r="F41" s="49"/>
      <c r="G41" s="46" t="s">
        <v>109</v>
      </c>
      <c r="H41" s="50">
        <f t="shared" si="1"/>
        <v>0</v>
      </c>
    </row>
    <row r="42" spans="1:8" x14ac:dyDescent="0.25">
      <c r="A42" s="46" t="s">
        <v>181</v>
      </c>
      <c r="B42" s="47" t="s">
        <v>145</v>
      </c>
      <c r="C42" s="46">
        <v>1</v>
      </c>
      <c r="D42" s="46" t="s">
        <v>182</v>
      </c>
      <c r="E42" s="48"/>
      <c r="F42" s="49"/>
      <c r="G42" s="46" t="s">
        <v>109</v>
      </c>
      <c r="H42" s="50">
        <f t="shared" si="1"/>
        <v>0</v>
      </c>
    </row>
    <row r="43" spans="1:8" x14ac:dyDescent="0.25">
      <c r="A43" s="46" t="s">
        <v>183</v>
      </c>
      <c r="B43" s="47" t="s">
        <v>145</v>
      </c>
      <c r="C43" s="46">
        <v>41</v>
      </c>
      <c r="D43" s="46" t="s">
        <v>184</v>
      </c>
      <c r="E43" s="48"/>
      <c r="F43" s="49"/>
      <c r="G43" s="46" t="s">
        <v>109</v>
      </c>
      <c r="H43" s="50">
        <f t="shared" si="1"/>
        <v>0</v>
      </c>
    </row>
    <row r="44" spans="1:8" x14ac:dyDescent="0.25">
      <c r="A44" s="46" t="s">
        <v>185</v>
      </c>
      <c r="B44" s="47" t="s">
        <v>145</v>
      </c>
      <c r="C44" s="46">
        <v>1</v>
      </c>
      <c r="D44" s="46" t="s">
        <v>186</v>
      </c>
      <c r="E44" s="48"/>
      <c r="F44" s="49"/>
      <c r="G44" s="46" t="s">
        <v>109</v>
      </c>
      <c r="H44" s="50">
        <f t="shared" si="1"/>
        <v>0</v>
      </c>
    </row>
    <row r="45" spans="1:8" x14ac:dyDescent="0.25">
      <c r="A45" s="46" t="s">
        <v>187</v>
      </c>
      <c r="B45" s="47" t="s">
        <v>145</v>
      </c>
      <c r="C45" s="46">
        <v>12</v>
      </c>
      <c r="D45" s="46" t="s">
        <v>188</v>
      </c>
      <c r="E45" s="48"/>
      <c r="F45" s="49"/>
      <c r="G45" s="46" t="s">
        <v>109</v>
      </c>
      <c r="H45" s="50">
        <f t="shared" si="1"/>
        <v>0</v>
      </c>
    </row>
    <row r="46" spans="1:8" x14ac:dyDescent="0.25">
      <c r="A46" s="46" t="s">
        <v>187</v>
      </c>
      <c r="B46" s="47" t="s">
        <v>145</v>
      </c>
      <c r="C46" s="46">
        <v>41</v>
      </c>
      <c r="D46" s="46" t="s">
        <v>188</v>
      </c>
      <c r="E46" s="48"/>
      <c r="F46" s="49"/>
      <c r="G46" s="46" t="s">
        <v>109</v>
      </c>
      <c r="H46" s="50">
        <f t="shared" si="1"/>
        <v>0</v>
      </c>
    </row>
    <row r="47" spans="1:8" x14ac:dyDescent="0.25">
      <c r="A47" s="46" t="s">
        <v>189</v>
      </c>
      <c r="B47" s="47" t="s">
        <v>190</v>
      </c>
      <c r="C47" s="46">
        <v>1</v>
      </c>
      <c r="D47" s="46" t="s">
        <v>191</v>
      </c>
      <c r="E47" s="48"/>
      <c r="F47" s="49"/>
      <c r="G47" s="46" t="s">
        <v>109</v>
      </c>
      <c r="H47" s="50">
        <f t="shared" si="1"/>
        <v>0</v>
      </c>
    </row>
    <row r="48" spans="1:8" x14ac:dyDescent="0.25">
      <c r="A48" s="46" t="s">
        <v>192</v>
      </c>
      <c r="B48" s="47" t="s">
        <v>190</v>
      </c>
      <c r="C48" s="46">
        <v>41</v>
      </c>
      <c r="D48" s="46" t="s">
        <v>193</v>
      </c>
      <c r="E48" s="48"/>
      <c r="F48" s="49"/>
      <c r="G48" s="46" t="s">
        <v>109</v>
      </c>
      <c r="H48" s="50">
        <f t="shared" si="1"/>
        <v>0</v>
      </c>
    </row>
    <row r="49" spans="1:8" x14ac:dyDescent="0.25">
      <c r="A49" s="46" t="s">
        <v>194</v>
      </c>
      <c r="B49" s="47" t="s">
        <v>190</v>
      </c>
      <c r="C49" s="46">
        <v>1</v>
      </c>
      <c r="D49" s="46" t="s">
        <v>195</v>
      </c>
      <c r="E49" s="48"/>
      <c r="F49" s="49"/>
      <c r="G49" s="46" t="s">
        <v>109</v>
      </c>
      <c r="H49" s="50">
        <f t="shared" si="1"/>
        <v>0</v>
      </c>
    </row>
    <row r="50" spans="1:8" x14ac:dyDescent="0.25">
      <c r="A50" s="46" t="s">
        <v>196</v>
      </c>
      <c r="B50" s="47" t="s">
        <v>190</v>
      </c>
      <c r="C50" s="46">
        <v>41</v>
      </c>
      <c r="D50" s="46" t="s">
        <v>197</v>
      </c>
      <c r="E50" s="48"/>
      <c r="F50" s="49"/>
      <c r="G50" s="46" t="s">
        <v>109</v>
      </c>
      <c r="H50" s="50">
        <f t="shared" si="1"/>
        <v>0</v>
      </c>
    </row>
    <row r="51" spans="1:8" x14ac:dyDescent="0.25">
      <c r="A51" s="46" t="s">
        <v>198</v>
      </c>
      <c r="B51" s="47" t="s">
        <v>190</v>
      </c>
      <c r="C51" s="46">
        <v>1</v>
      </c>
      <c r="D51" s="46" t="s">
        <v>199</v>
      </c>
      <c r="E51" s="48"/>
      <c r="F51" s="49"/>
      <c r="G51" s="46" t="s">
        <v>109</v>
      </c>
      <c r="H51" s="50">
        <f t="shared" si="1"/>
        <v>0</v>
      </c>
    </row>
    <row r="52" spans="1:8" x14ac:dyDescent="0.25">
      <c r="A52" s="46" t="s">
        <v>200</v>
      </c>
      <c r="B52" s="47" t="s">
        <v>190</v>
      </c>
      <c r="C52" s="46">
        <v>41</v>
      </c>
      <c r="D52" s="46" t="s">
        <v>201</v>
      </c>
      <c r="E52" s="48"/>
      <c r="F52" s="49"/>
      <c r="G52" s="46" t="s">
        <v>109</v>
      </c>
      <c r="H52" s="50">
        <f t="shared" si="1"/>
        <v>0</v>
      </c>
    </row>
    <row r="53" spans="1:8" x14ac:dyDescent="0.25">
      <c r="A53" s="46" t="s">
        <v>202</v>
      </c>
      <c r="B53" s="47" t="s">
        <v>190</v>
      </c>
      <c r="C53" s="46">
        <v>1</v>
      </c>
      <c r="D53" s="46" t="s">
        <v>203</v>
      </c>
      <c r="E53" s="48"/>
      <c r="F53" s="49"/>
      <c r="G53" s="46" t="s">
        <v>109</v>
      </c>
      <c r="H53" s="50">
        <f t="shared" si="1"/>
        <v>0</v>
      </c>
    </row>
    <row r="54" spans="1:8" x14ac:dyDescent="0.25">
      <c r="A54" s="46" t="s">
        <v>204</v>
      </c>
      <c r="B54" s="47" t="s">
        <v>190</v>
      </c>
      <c r="C54" s="46">
        <v>41</v>
      </c>
      <c r="D54" s="46" t="s">
        <v>205</v>
      </c>
      <c r="E54" s="48"/>
      <c r="F54" s="49"/>
      <c r="G54" s="46" t="s">
        <v>109</v>
      </c>
      <c r="H54" s="50">
        <f t="shared" si="1"/>
        <v>0</v>
      </c>
    </row>
    <row r="55" spans="1:8" x14ac:dyDescent="0.25">
      <c r="A55" s="46" t="s">
        <v>206</v>
      </c>
      <c r="B55" s="47" t="s">
        <v>190</v>
      </c>
      <c r="C55" s="46">
        <v>1</v>
      </c>
      <c r="D55" s="46" t="s">
        <v>207</v>
      </c>
      <c r="E55" s="48"/>
      <c r="F55" s="49"/>
      <c r="G55" s="46" t="s">
        <v>109</v>
      </c>
      <c r="H55" s="50">
        <f t="shared" si="1"/>
        <v>0</v>
      </c>
    </row>
    <row r="56" spans="1:8" x14ac:dyDescent="0.25">
      <c r="A56" s="46" t="s">
        <v>208</v>
      </c>
      <c r="B56" s="47" t="s">
        <v>190</v>
      </c>
      <c r="C56" s="46">
        <v>41</v>
      </c>
      <c r="D56" s="46" t="s">
        <v>209</v>
      </c>
      <c r="E56" s="48"/>
      <c r="F56" s="49"/>
      <c r="G56" s="46" t="s">
        <v>109</v>
      </c>
      <c r="H56" s="50">
        <f t="shared" si="1"/>
        <v>0</v>
      </c>
    </row>
    <row r="57" spans="1:8" x14ac:dyDescent="0.25">
      <c r="A57" s="46" t="s">
        <v>210</v>
      </c>
      <c r="B57" s="47" t="s">
        <v>190</v>
      </c>
      <c r="C57" s="46">
        <v>1</v>
      </c>
      <c r="D57" s="46" t="s">
        <v>211</v>
      </c>
      <c r="E57" s="48"/>
      <c r="F57" s="49"/>
      <c r="G57" s="46" t="s">
        <v>109</v>
      </c>
      <c r="H57" s="50">
        <f t="shared" si="1"/>
        <v>0</v>
      </c>
    </row>
    <row r="58" spans="1:8" x14ac:dyDescent="0.25">
      <c r="A58" s="46" t="s">
        <v>212</v>
      </c>
      <c r="B58" s="47" t="s">
        <v>190</v>
      </c>
      <c r="C58" s="46">
        <v>41</v>
      </c>
      <c r="D58" s="46" t="s">
        <v>213</v>
      </c>
      <c r="E58" s="48"/>
      <c r="F58" s="49"/>
      <c r="G58" s="46" t="s">
        <v>109</v>
      </c>
      <c r="H58" s="50">
        <f t="shared" si="1"/>
        <v>0</v>
      </c>
    </row>
    <row r="59" spans="1:8" x14ac:dyDescent="0.25">
      <c r="A59" s="46" t="s">
        <v>214</v>
      </c>
      <c r="B59" s="47" t="s">
        <v>190</v>
      </c>
      <c r="C59" s="46">
        <v>1</v>
      </c>
      <c r="D59" s="46" t="s">
        <v>215</v>
      </c>
      <c r="E59" s="48"/>
      <c r="F59" s="49"/>
      <c r="G59" s="46" t="s">
        <v>109</v>
      </c>
      <c r="H59" s="50">
        <f t="shared" si="1"/>
        <v>0</v>
      </c>
    </row>
    <row r="60" spans="1:8" x14ac:dyDescent="0.25">
      <c r="A60" s="46" t="s">
        <v>216</v>
      </c>
      <c r="B60" s="47" t="s">
        <v>190</v>
      </c>
      <c r="C60" s="46">
        <v>41</v>
      </c>
      <c r="D60" s="46" t="s">
        <v>217</v>
      </c>
      <c r="E60" s="48"/>
      <c r="F60" s="49"/>
      <c r="G60" s="46" t="s">
        <v>109</v>
      </c>
      <c r="H60" s="50">
        <f t="shared" si="1"/>
        <v>0</v>
      </c>
    </row>
    <row r="61" spans="1:8" x14ac:dyDescent="0.25">
      <c r="A61" s="46" t="s">
        <v>218</v>
      </c>
      <c r="B61" s="47" t="s">
        <v>190</v>
      </c>
      <c r="C61" s="46">
        <v>1</v>
      </c>
      <c r="D61" s="46" t="s">
        <v>219</v>
      </c>
      <c r="E61" s="48"/>
      <c r="F61" s="49"/>
      <c r="G61" s="46" t="s">
        <v>109</v>
      </c>
      <c r="H61" s="50">
        <f t="shared" si="1"/>
        <v>0</v>
      </c>
    </row>
    <row r="62" spans="1:8" x14ac:dyDescent="0.25">
      <c r="A62" s="46" t="s">
        <v>220</v>
      </c>
      <c r="B62" s="47" t="s">
        <v>190</v>
      </c>
      <c r="C62" s="46">
        <v>41</v>
      </c>
      <c r="D62" s="46" t="s">
        <v>221</v>
      </c>
      <c r="E62" s="48"/>
      <c r="F62" s="49"/>
      <c r="G62" s="46" t="s">
        <v>109</v>
      </c>
      <c r="H62" s="50">
        <f t="shared" si="1"/>
        <v>0</v>
      </c>
    </row>
    <row r="63" spans="1:8" x14ac:dyDescent="0.25">
      <c r="A63" s="46" t="s">
        <v>222</v>
      </c>
      <c r="B63" s="47" t="s">
        <v>190</v>
      </c>
      <c r="C63" s="46">
        <v>1</v>
      </c>
      <c r="D63" s="46" t="s">
        <v>223</v>
      </c>
      <c r="E63" s="48"/>
      <c r="F63" s="49"/>
      <c r="G63" s="46" t="s">
        <v>109</v>
      </c>
      <c r="H63" s="50">
        <f t="shared" si="1"/>
        <v>0</v>
      </c>
    </row>
    <row r="64" spans="1:8" x14ac:dyDescent="0.25">
      <c r="A64" s="46" t="s">
        <v>224</v>
      </c>
      <c r="B64" s="47" t="s">
        <v>190</v>
      </c>
      <c r="C64" s="46">
        <v>41</v>
      </c>
      <c r="D64" s="46" t="s">
        <v>225</v>
      </c>
      <c r="E64" s="48"/>
      <c r="F64" s="49"/>
      <c r="G64" s="46" t="s">
        <v>109</v>
      </c>
      <c r="H64" s="50">
        <f t="shared" si="1"/>
        <v>0</v>
      </c>
    </row>
    <row r="65" spans="1:8" x14ac:dyDescent="0.25">
      <c r="A65" s="46" t="s">
        <v>226</v>
      </c>
      <c r="B65" s="47" t="s">
        <v>190</v>
      </c>
      <c r="C65" s="46">
        <v>1</v>
      </c>
      <c r="D65" s="46" t="s">
        <v>227</v>
      </c>
      <c r="E65" s="48"/>
      <c r="F65" s="49"/>
      <c r="G65" s="46" t="s">
        <v>109</v>
      </c>
      <c r="H65" s="50">
        <f t="shared" si="1"/>
        <v>0</v>
      </c>
    </row>
    <row r="66" spans="1:8" x14ac:dyDescent="0.25">
      <c r="A66" s="46" t="s">
        <v>228</v>
      </c>
      <c r="B66" s="47" t="s">
        <v>190</v>
      </c>
      <c r="C66" s="46">
        <v>41</v>
      </c>
      <c r="D66" s="46" t="s">
        <v>229</v>
      </c>
      <c r="E66" s="48"/>
      <c r="F66" s="49"/>
      <c r="G66" s="46" t="s">
        <v>109</v>
      </c>
      <c r="H66" s="50">
        <f t="shared" si="1"/>
        <v>0</v>
      </c>
    </row>
    <row r="67" spans="1:8" x14ac:dyDescent="0.25">
      <c r="A67" s="46" t="s">
        <v>230</v>
      </c>
      <c r="B67" s="47" t="s">
        <v>190</v>
      </c>
      <c r="C67" s="46">
        <v>1</v>
      </c>
      <c r="D67" s="46" t="s">
        <v>231</v>
      </c>
      <c r="E67" s="48"/>
      <c r="F67" s="49"/>
      <c r="G67" s="46" t="s">
        <v>109</v>
      </c>
      <c r="H67" s="50">
        <f t="shared" si="1"/>
        <v>0</v>
      </c>
    </row>
    <row r="68" spans="1:8" x14ac:dyDescent="0.25">
      <c r="A68" s="46" t="s">
        <v>232</v>
      </c>
      <c r="B68" s="47" t="s">
        <v>190</v>
      </c>
      <c r="C68" s="46">
        <v>41</v>
      </c>
      <c r="D68" s="46" t="s">
        <v>233</v>
      </c>
      <c r="E68" s="48"/>
      <c r="F68" s="49"/>
      <c r="G68" s="46" t="s">
        <v>109</v>
      </c>
      <c r="H68" s="50">
        <f t="shared" si="1"/>
        <v>0</v>
      </c>
    </row>
    <row r="69" spans="1:8" x14ac:dyDescent="0.25">
      <c r="A69" s="46" t="s">
        <v>234</v>
      </c>
      <c r="B69" s="47" t="s">
        <v>190</v>
      </c>
      <c r="C69" s="46">
        <v>1</v>
      </c>
      <c r="D69" s="46" t="s">
        <v>235</v>
      </c>
      <c r="E69" s="48"/>
      <c r="F69" s="49"/>
      <c r="G69" s="46" t="s">
        <v>109</v>
      </c>
      <c r="H69" s="50">
        <f t="shared" si="1"/>
        <v>0</v>
      </c>
    </row>
    <row r="70" spans="1:8" x14ac:dyDescent="0.25">
      <c r="A70" s="46" t="s">
        <v>236</v>
      </c>
      <c r="B70" s="47" t="s">
        <v>190</v>
      </c>
      <c r="C70" s="46">
        <v>41</v>
      </c>
      <c r="D70" s="46" t="s">
        <v>237</v>
      </c>
      <c r="E70" s="48"/>
      <c r="F70" s="49"/>
      <c r="G70" s="46" t="s">
        <v>109</v>
      </c>
      <c r="H70" s="50">
        <f t="shared" si="1"/>
        <v>0</v>
      </c>
    </row>
    <row r="71" spans="1:8" x14ac:dyDescent="0.25">
      <c r="A71" s="46" t="s">
        <v>238</v>
      </c>
      <c r="B71" s="47" t="s">
        <v>190</v>
      </c>
      <c r="C71" s="46">
        <v>1</v>
      </c>
      <c r="D71" s="46" t="s">
        <v>239</v>
      </c>
      <c r="E71" s="48"/>
      <c r="F71" s="49"/>
      <c r="G71" s="46" t="s">
        <v>109</v>
      </c>
      <c r="H71" s="50">
        <f t="shared" si="1"/>
        <v>0</v>
      </c>
    </row>
    <row r="72" spans="1:8" x14ac:dyDescent="0.25">
      <c r="A72" s="46" t="s">
        <v>240</v>
      </c>
      <c r="B72" s="47" t="s">
        <v>190</v>
      </c>
      <c r="C72" s="46">
        <v>41</v>
      </c>
      <c r="D72" s="46" t="s">
        <v>241</v>
      </c>
      <c r="E72" s="48"/>
      <c r="F72" s="49"/>
      <c r="G72" s="46" t="s">
        <v>109</v>
      </c>
      <c r="H72" s="50">
        <f t="shared" si="1"/>
        <v>0</v>
      </c>
    </row>
    <row r="73" spans="1:8" x14ac:dyDescent="0.25">
      <c r="A73" s="46" t="s">
        <v>242</v>
      </c>
      <c r="B73" s="47" t="s">
        <v>190</v>
      </c>
      <c r="C73" s="46">
        <v>1</v>
      </c>
      <c r="D73" s="46" t="s">
        <v>243</v>
      </c>
      <c r="E73" s="48"/>
      <c r="F73" s="49"/>
      <c r="G73" s="46" t="s">
        <v>109</v>
      </c>
      <c r="H73" s="50">
        <f t="shared" si="1"/>
        <v>0</v>
      </c>
    </row>
    <row r="74" spans="1:8" x14ac:dyDescent="0.25">
      <c r="A74" s="46" t="s">
        <v>244</v>
      </c>
      <c r="B74" s="47" t="s">
        <v>190</v>
      </c>
      <c r="C74" s="46">
        <v>41</v>
      </c>
      <c r="D74" s="46" t="s">
        <v>245</v>
      </c>
      <c r="E74" s="48"/>
      <c r="F74" s="49"/>
      <c r="G74" s="46" t="s">
        <v>109</v>
      </c>
      <c r="H74" s="50">
        <f t="shared" si="1"/>
        <v>0</v>
      </c>
    </row>
    <row r="75" spans="1:8" x14ac:dyDescent="0.25">
      <c r="A75" s="51" t="s">
        <v>246</v>
      </c>
      <c r="B75" s="52" t="s">
        <v>247</v>
      </c>
      <c r="C75" s="51">
        <v>1</v>
      </c>
      <c r="D75" s="51" t="s">
        <v>248</v>
      </c>
      <c r="E75" s="53"/>
      <c r="F75" s="54"/>
      <c r="G75" s="51" t="s">
        <v>109</v>
      </c>
      <c r="H75" s="55">
        <f>Tariefopbouw2</f>
        <v>0</v>
      </c>
    </row>
  </sheetData>
  <sheetProtection algorithmName="SHA-512" hashValue="5XDIQabPTtJwpzyCsQE1u32/zgKkFiQD/L574iA5KeuJN+qY3GgKh2NweF6VnzEQ0tGDQ5db/3QyeqkEmKPpOQ==" saltValue="JAtd5xJ4uGmvRPCVfdlVLQ==" spinCount="100000" sheet="1" objects="1" scenarios="1" autoFilter="0"/>
  <pageMargins left="0.7" right="0.7" top="0.75" bottom="0.75" header="0.3" footer="0.3"/>
  <pageSetup paperSize="9" scale="70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B804-3920-41D9-9EA2-9958B3FBFC22}">
  <dimension ref="A1:N62"/>
  <sheetViews>
    <sheetView workbookViewId="0">
      <selection activeCell="D14" sqref="D14"/>
    </sheetView>
  </sheetViews>
  <sheetFormatPr defaultColWidth="8.90625" defaultRowHeight="11.5" x14ac:dyDescent="0.25"/>
  <cols>
    <col min="1" max="1" width="7.6328125" style="2" customWidth="1"/>
    <col min="2" max="2" width="6.6328125" style="2" customWidth="1"/>
    <col min="3" max="3" width="12.6328125" style="2" customWidth="1"/>
    <col min="4" max="4" width="35.6328125" style="2" customWidth="1"/>
    <col min="5" max="5" width="12.6328125" style="2" customWidth="1"/>
    <col min="6" max="8" width="11.6328125" style="2" customWidth="1"/>
    <col min="9" max="9" width="9.6328125" style="2" customWidth="1"/>
    <col min="10" max="12" width="11.6328125" style="2" customWidth="1"/>
    <col min="13" max="13" width="12.6328125" style="2" customWidth="1"/>
    <col min="14" max="14" width="14.6328125" style="2" customWidth="1"/>
    <col min="15" max="16384" width="8.90625" style="2"/>
  </cols>
  <sheetData>
    <row r="1" spans="1:14" x14ac:dyDescent="0.25">
      <c r="A1" s="1" t="str">
        <f>CONCATENATE("Bijlage 7.1.2: ",tabeltype," regulier werk")</f>
        <v>Bijlage 7.1.2: Invultabel regulier werk</v>
      </c>
    </row>
    <row r="3" spans="1:14" ht="34.5" x14ac:dyDescent="0.25">
      <c r="A3" s="34" t="s">
        <v>249</v>
      </c>
      <c r="B3" s="34" t="s">
        <v>7</v>
      </c>
      <c r="C3" s="34" t="s">
        <v>250</v>
      </c>
      <c r="D3" s="34" t="s">
        <v>100</v>
      </c>
      <c r="E3" s="34" t="s">
        <v>251</v>
      </c>
      <c r="F3" s="34" t="s">
        <v>252</v>
      </c>
      <c r="G3" s="34" t="s">
        <v>101</v>
      </c>
      <c r="H3" s="34" t="s">
        <v>102</v>
      </c>
      <c r="I3" s="34" t="s">
        <v>103</v>
      </c>
      <c r="J3" s="34" t="s">
        <v>104</v>
      </c>
      <c r="K3" s="34" t="s">
        <v>253</v>
      </c>
      <c r="L3" s="34" t="s">
        <v>254</v>
      </c>
      <c r="M3" s="34" t="s">
        <v>255</v>
      </c>
      <c r="N3" s="34" t="s">
        <v>256</v>
      </c>
    </row>
    <row r="4" spans="1:14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38" t="s">
        <v>105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</row>
    <row r="6" spans="1:14" x14ac:dyDescent="0.25">
      <c r="A6" s="41" t="s">
        <v>257</v>
      </c>
      <c r="B6" s="41" t="s">
        <v>12</v>
      </c>
      <c r="C6" s="41" t="s">
        <v>258</v>
      </c>
      <c r="D6" s="41" t="s">
        <v>259</v>
      </c>
      <c r="E6" s="56">
        <v>1282.21</v>
      </c>
      <c r="F6" s="56">
        <f t="shared" ref="F6:F37" si="0">E6*VLOOKUP(B6,dagsoorttabel1,2,FALSE)</f>
        <v>788.55915000000005</v>
      </c>
      <c r="G6" s="57">
        <f>IF(AND(catpn_1_AFVB_1&gt;0,catpn_1_AFVV_41&gt;0),(dagenperjaar1*VLOOKUP(B6,dagsoorttabel1,2,FALSE))/(((dagenperjaar1*VLOOKUP(B6,dagsoorttabel1,2,FALSE))-catfd_1_AFVV_41)/catpn_1_AFVB_1+catfd_1_AFVV_41/catpn_1_AFVV_41),0)</f>
        <v>0</v>
      </c>
      <c r="H6" s="58">
        <f>IF(AND(catpn_1_AFVB_1&gt;0,catpn_1_AFVV_41&gt;0),(catdw_1_AFVB_1*((dagenperjaar1*VLOOKUP(B6,dagsoorttabel1,2,FALSE))-catfd_1_AFVV_41)/catpn_1_AFVB_1+catdw_1_AFVV_41*catfd_1_AFVV_41/catpn_1_AFVV_41)/(((dagenperjaar1*VLOOKUP(B6,dagsoorttabel1,2,FALSE))-catfd_1_AFVV_41)/catpn_1_AFVB_1+catfd_1_AFVV_41/catpn_1_AFVV_41),0)</f>
        <v>0</v>
      </c>
      <c r="I6" s="41" t="s">
        <v>109</v>
      </c>
      <c r="J6" s="45">
        <f>IF(AND(catpn_1_AFVB_1&gt;0,catpn_1_AFVV_41&gt;0),(cattf_1_AFVB_1*((dagenperjaar1*VLOOKUP(B6,dagsoorttabel1,2,FALSE))-catfd_1_AFVV_41)/catpn_1_AFVB_1+cattf_1_AFVV_41*catfd_1_AFVV_41/catpn_1_AFVV_41)/(((dagenperjaar1*VLOOKUP(B6,dagsoorttabel1,2,FALSE))-catfd_1_AFVV_41)/catpn_1_AFVB_1+catfd_1_AFVV_41/catpn_1_AFVV_41),0)</f>
        <v>0</v>
      </c>
      <c r="K6" s="56">
        <f t="shared" ref="K6:K37" si="1">IF(OR(ISBLANK(G6),G6=0),0,F6/ROUND(G6,4))</f>
        <v>0</v>
      </c>
      <c r="L6" s="45">
        <f t="shared" ref="L6:L37" si="2">ROUND(J6,2)*K6</f>
        <v>0</v>
      </c>
      <c r="M6" s="56">
        <f t="shared" ref="M6:M37" si="3">K6*dagenperjaar1</f>
        <v>0</v>
      </c>
      <c r="N6" s="45">
        <f t="shared" ref="N6:N37" si="4">M6*ROUND(J6,2)</f>
        <v>0</v>
      </c>
    </row>
    <row r="7" spans="1:14" x14ac:dyDescent="0.25">
      <c r="A7" s="46" t="s">
        <v>260</v>
      </c>
      <c r="B7" s="46" t="s">
        <v>9</v>
      </c>
      <c r="C7" s="46" t="s">
        <v>258</v>
      </c>
      <c r="D7" s="46" t="s">
        <v>261</v>
      </c>
      <c r="E7" s="59">
        <v>105.7</v>
      </c>
      <c r="F7" s="59">
        <f t="shared" si="0"/>
        <v>108.34249999999999</v>
      </c>
      <c r="G7" s="60">
        <f>IF(AND(catpn_1_BKHB_1&gt;0,catpn_1_BKHV_41&gt;0),(dagenperjaar1*VLOOKUP(B7,dagsoorttabel1,2,FALSE))/(((dagenperjaar1*VLOOKUP(B7,dagsoorttabel1,2,FALSE))-catfd_1_BKHV_41)/catpn_1_BKHB_1+catfd_1_BKHV_41/catpn_1_BKHV_41),0)</f>
        <v>0</v>
      </c>
      <c r="H7" s="61">
        <f>IF(AND(catpn_1_BKHB_1&gt;0,catpn_1_BKHV_41&gt;0),(catdw_1_BKHB_1*((dagenperjaar1*VLOOKUP(B7,dagsoorttabel1,2,FALSE))-catfd_1_BKHV_41)/catpn_1_BKHB_1+catdw_1_BKHV_41*catfd_1_BKHV_41/catpn_1_BKHV_41)/(((dagenperjaar1*VLOOKUP(B7,dagsoorttabel1,2,FALSE))-catfd_1_BKHV_41)/catpn_1_BKHB_1+catfd_1_BKHV_41/catpn_1_BKHV_41),0)</f>
        <v>0</v>
      </c>
      <c r="I7" s="46" t="s">
        <v>109</v>
      </c>
      <c r="J7" s="50">
        <f>IF(AND(catpn_1_BKHB_1&gt;0,catpn_1_BKHV_41&gt;0),(cattf_1_BKHB_1*((dagenperjaar1*VLOOKUP(B7,dagsoorttabel1,2,FALSE))-catfd_1_BKHV_41)/catpn_1_BKHB_1+cattf_1_BKHV_41*catfd_1_BKHV_41/catpn_1_BKHV_41)/(((dagenperjaar1*VLOOKUP(B7,dagsoorttabel1,2,FALSE))-catfd_1_BKHV_41)/catpn_1_BKHB_1+catfd_1_BKHV_41/catpn_1_BKHV_41),0)</f>
        <v>0</v>
      </c>
      <c r="K7" s="59">
        <f t="shared" si="1"/>
        <v>0</v>
      </c>
      <c r="L7" s="50">
        <f t="shared" si="2"/>
        <v>0</v>
      </c>
      <c r="M7" s="59">
        <f t="shared" si="3"/>
        <v>0</v>
      </c>
      <c r="N7" s="50">
        <f t="shared" si="4"/>
        <v>0</v>
      </c>
    </row>
    <row r="8" spans="1:14" x14ac:dyDescent="0.25">
      <c r="A8" s="46" t="s">
        <v>260</v>
      </c>
      <c r="B8" s="46" t="s">
        <v>14</v>
      </c>
      <c r="C8" s="46" t="s">
        <v>258</v>
      </c>
      <c r="D8" s="46" t="s">
        <v>261</v>
      </c>
      <c r="E8" s="59">
        <v>1049.3199999999997</v>
      </c>
      <c r="F8" s="59">
        <f t="shared" si="0"/>
        <v>430.22119999999984</v>
      </c>
      <c r="G8" s="60">
        <f>IF(AND(catpn_1_BKHB_1&gt;0,catpn_1_BKHV_41&gt;0),(dagenperjaar1*VLOOKUP(B8,dagsoorttabel1,2,FALSE))/(((dagenperjaar1*VLOOKUP(B8,dagsoorttabel1,2,FALSE))-catfd_1_BKHV_41)/catpn_1_BKHB_1+catfd_1_BKHV_41/catpn_1_BKHV_41),0)</f>
        <v>0</v>
      </c>
      <c r="H8" s="61">
        <f>IF(AND(catpn_1_BKHB_1&gt;0,catpn_1_BKHV_41&gt;0),(catdw_1_BKHB_1*((dagenperjaar1*VLOOKUP(B8,dagsoorttabel1,2,FALSE))-catfd_1_BKHV_41)/catpn_1_BKHB_1+catdw_1_BKHV_41*catfd_1_BKHV_41/catpn_1_BKHV_41)/(((dagenperjaar1*VLOOKUP(B8,dagsoorttabel1,2,FALSE))-catfd_1_BKHV_41)/catpn_1_BKHB_1+catfd_1_BKHV_41/catpn_1_BKHV_41),0)</f>
        <v>0</v>
      </c>
      <c r="I8" s="46" t="s">
        <v>109</v>
      </c>
      <c r="J8" s="50">
        <f>IF(AND(catpn_1_BKHB_1&gt;0,catpn_1_BKHV_41&gt;0),(cattf_1_BKHB_1*((dagenperjaar1*VLOOKUP(B8,dagsoorttabel1,2,FALSE))-catfd_1_BKHV_41)/catpn_1_BKHB_1+cattf_1_BKHV_41*catfd_1_BKHV_41/catpn_1_BKHV_41)/(((dagenperjaar1*VLOOKUP(B8,dagsoorttabel1,2,FALSE))-catfd_1_BKHV_41)/catpn_1_BKHB_1+catfd_1_BKHV_41/catpn_1_BKHV_41),0)</f>
        <v>0</v>
      </c>
      <c r="K8" s="59">
        <f t="shared" si="1"/>
        <v>0</v>
      </c>
      <c r="L8" s="50">
        <f t="shared" si="2"/>
        <v>0</v>
      </c>
      <c r="M8" s="59">
        <f t="shared" si="3"/>
        <v>0</v>
      </c>
      <c r="N8" s="50">
        <f t="shared" si="4"/>
        <v>0</v>
      </c>
    </row>
    <row r="9" spans="1:14" x14ac:dyDescent="0.25">
      <c r="A9" s="46" t="s">
        <v>262</v>
      </c>
      <c r="B9" s="46" t="s">
        <v>9</v>
      </c>
      <c r="C9" s="46" t="s">
        <v>258</v>
      </c>
      <c r="D9" s="46" t="s">
        <v>263</v>
      </c>
      <c r="E9" s="59">
        <v>23.7</v>
      </c>
      <c r="F9" s="59">
        <f t="shared" si="0"/>
        <v>24.292499999999997</v>
      </c>
      <c r="G9" s="60">
        <f>IF(AND(catpn_1_BKZB_1&gt;0,catpn_1_BKZV_41&gt;0),(dagenperjaar1*VLOOKUP(B9,dagsoorttabel1,2,FALSE))/(((dagenperjaar1*VLOOKUP(B9,dagsoorttabel1,2,FALSE))-catfd_1_BKZV_41)/catpn_1_BKZB_1+catfd_1_BKZV_41/catpn_1_BKZV_41),0)</f>
        <v>0</v>
      </c>
      <c r="H9" s="61">
        <f>IF(AND(catpn_1_BKZB_1&gt;0,catpn_1_BKZV_41&gt;0),(catdw_1_BKZB_1*((dagenperjaar1*VLOOKUP(B9,dagsoorttabel1,2,FALSE))-catfd_1_BKZV_41)/catpn_1_BKZB_1+catdw_1_BKZV_41*catfd_1_BKZV_41/catpn_1_BKZV_41)/(((dagenperjaar1*VLOOKUP(B9,dagsoorttabel1,2,FALSE))-catfd_1_BKZV_41)/catpn_1_BKZB_1+catfd_1_BKZV_41/catpn_1_BKZV_41),0)</f>
        <v>0</v>
      </c>
      <c r="I9" s="46" t="s">
        <v>109</v>
      </c>
      <c r="J9" s="50">
        <f>IF(AND(catpn_1_BKZB_1&gt;0,catpn_1_BKZV_41&gt;0),(cattf_1_BKZB_1*((dagenperjaar1*VLOOKUP(B9,dagsoorttabel1,2,FALSE))-catfd_1_BKZV_41)/catpn_1_BKZB_1+cattf_1_BKZV_41*catfd_1_BKZV_41/catpn_1_BKZV_41)/(((dagenperjaar1*VLOOKUP(B9,dagsoorttabel1,2,FALSE))-catfd_1_BKZV_41)/catpn_1_BKZB_1+catfd_1_BKZV_41/catpn_1_BKZV_41),0)</f>
        <v>0</v>
      </c>
      <c r="K9" s="59">
        <f t="shared" si="1"/>
        <v>0</v>
      </c>
      <c r="L9" s="50">
        <f t="shared" si="2"/>
        <v>0</v>
      </c>
      <c r="M9" s="59">
        <f t="shared" si="3"/>
        <v>0</v>
      </c>
      <c r="N9" s="50">
        <f t="shared" si="4"/>
        <v>0</v>
      </c>
    </row>
    <row r="10" spans="1:14" x14ac:dyDescent="0.25">
      <c r="A10" s="46" t="s">
        <v>262</v>
      </c>
      <c r="B10" s="46" t="s">
        <v>16</v>
      </c>
      <c r="C10" s="46" t="s">
        <v>258</v>
      </c>
      <c r="D10" s="46" t="s">
        <v>263</v>
      </c>
      <c r="E10" s="59">
        <v>11.2</v>
      </c>
      <c r="F10" s="59">
        <f t="shared" si="0"/>
        <v>2.2959999999999998</v>
      </c>
      <c r="G10" s="60">
        <f>IF(AND(catpn_1_BKZB_1&gt;0,catpn_1_BKZV_41&gt;0),(dagenperjaar1*VLOOKUP(B10,dagsoorttabel1,2,FALSE))/(((dagenperjaar1*VLOOKUP(B10,dagsoorttabel1,2,FALSE))-catfd_1_BKZV_41)/catpn_1_BKZB_1+catfd_1_BKZV_41/catpn_1_BKZV_41),0)</f>
        <v>0</v>
      </c>
      <c r="H10" s="61">
        <f>IF(AND(catpn_1_BKZB_1&gt;0,catpn_1_BKZV_41&gt;0),(catdw_1_BKZB_1*((dagenperjaar1*VLOOKUP(B10,dagsoorttabel1,2,FALSE))-catfd_1_BKZV_41)/catpn_1_BKZB_1+catdw_1_BKZV_41*catfd_1_BKZV_41/catpn_1_BKZV_41)/(((dagenperjaar1*VLOOKUP(B10,dagsoorttabel1,2,FALSE))-catfd_1_BKZV_41)/catpn_1_BKZB_1+catfd_1_BKZV_41/catpn_1_BKZV_41),0)</f>
        <v>0</v>
      </c>
      <c r="I10" s="46" t="s">
        <v>109</v>
      </c>
      <c r="J10" s="50">
        <f>IF(AND(catpn_1_BKZB_1&gt;0,catpn_1_BKZV_41&gt;0),(cattf_1_BKZB_1*((dagenperjaar1*VLOOKUP(B10,dagsoorttabel1,2,FALSE))-catfd_1_BKZV_41)/catpn_1_BKZB_1+cattf_1_BKZV_41*catfd_1_BKZV_41/catpn_1_BKZV_41)/(((dagenperjaar1*VLOOKUP(B10,dagsoorttabel1,2,FALSE))-catfd_1_BKZV_41)/catpn_1_BKZB_1+catfd_1_BKZV_41/catpn_1_BKZV_41),0)</f>
        <v>0</v>
      </c>
      <c r="K10" s="59">
        <f t="shared" si="1"/>
        <v>0</v>
      </c>
      <c r="L10" s="50">
        <f t="shared" si="2"/>
        <v>0</v>
      </c>
      <c r="M10" s="59">
        <f t="shared" si="3"/>
        <v>0</v>
      </c>
      <c r="N10" s="50">
        <f t="shared" si="4"/>
        <v>0</v>
      </c>
    </row>
    <row r="11" spans="1:14" x14ac:dyDescent="0.25">
      <c r="A11" s="46" t="s">
        <v>262</v>
      </c>
      <c r="B11" s="46" t="s">
        <v>14</v>
      </c>
      <c r="C11" s="46" t="s">
        <v>258</v>
      </c>
      <c r="D11" s="46" t="s">
        <v>263</v>
      </c>
      <c r="E11" s="59">
        <v>888.45999999999992</v>
      </c>
      <c r="F11" s="59">
        <f t="shared" si="0"/>
        <v>364.26859999999994</v>
      </c>
      <c r="G11" s="60">
        <f>IF(AND(catpn_1_BKZB_1&gt;0,catpn_1_BKZV_41&gt;0),(dagenperjaar1*VLOOKUP(B11,dagsoorttabel1,2,FALSE))/(((dagenperjaar1*VLOOKUP(B11,dagsoorttabel1,2,FALSE))-catfd_1_BKZV_41)/catpn_1_BKZB_1+catfd_1_BKZV_41/catpn_1_BKZV_41),0)</f>
        <v>0</v>
      </c>
      <c r="H11" s="61">
        <f>IF(AND(catpn_1_BKZB_1&gt;0,catpn_1_BKZV_41&gt;0),(catdw_1_BKZB_1*((dagenperjaar1*VLOOKUP(B11,dagsoorttabel1,2,FALSE))-catfd_1_BKZV_41)/catpn_1_BKZB_1+catdw_1_BKZV_41*catfd_1_BKZV_41/catpn_1_BKZV_41)/(((dagenperjaar1*VLOOKUP(B11,dagsoorttabel1,2,FALSE))-catfd_1_BKZV_41)/catpn_1_BKZB_1+catfd_1_BKZV_41/catpn_1_BKZV_41),0)</f>
        <v>0</v>
      </c>
      <c r="I11" s="46" t="s">
        <v>109</v>
      </c>
      <c r="J11" s="50">
        <f>IF(AND(catpn_1_BKZB_1&gt;0,catpn_1_BKZV_41&gt;0),(cattf_1_BKZB_1*((dagenperjaar1*VLOOKUP(B11,dagsoorttabel1,2,FALSE))-catfd_1_BKZV_41)/catpn_1_BKZB_1+cattf_1_BKZV_41*catfd_1_BKZV_41/catpn_1_BKZV_41)/(((dagenperjaar1*VLOOKUP(B11,dagsoorttabel1,2,FALSE))-catfd_1_BKZV_41)/catpn_1_BKZB_1+catfd_1_BKZV_41/catpn_1_BKZV_41),0)</f>
        <v>0</v>
      </c>
      <c r="K11" s="59">
        <f t="shared" si="1"/>
        <v>0</v>
      </c>
      <c r="L11" s="50">
        <f t="shared" si="2"/>
        <v>0</v>
      </c>
      <c r="M11" s="59">
        <f t="shared" si="3"/>
        <v>0</v>
      </c>
      <c r="N11" s="50">
        <f t="shared" si="4"/>
        <v>0</v>
      </c>
    </row>
    <row r="12" spans="1:14" x14ac:dyDescent="0.25">
      <c r="A12" s="46" t="s">
        <v>264</v>
      </c>
      <c r="B12" s="46" t="s">
        <v>9</v>
      </c>
      <c r="C12" s="46" t="s">
        <v>258</v>
      </c>
      <c r="D12" s="46" t="s">
        <v>265</v>
      </c>
      <c r="E12" s="59">
        <v>0</v>
      </c>
      <c r="F12" s="59">
        <f t="shared" si="0"/>
        <v>0</v>
      </c>
      <c r="G12" s="60">
        <f>IF(AND(catpn_1_BVHB_1&gt;0,catpn_1_BVHV_41&gt;0),(dagenperjaar1*VLOOKUP(B12,dagsoorttabel1,2,FALSE))/(((dagenperjaar1*VLOOKUP(B12,dagsoorttabel1,2,FALSE))-catfd_1_BVHV_41)/catpn_1_BVHB_1+catfd_1_BVHV_41/catpn_1_BVHV_41),0)</f>
        <v>0</v>
      </c>
      <c r="H12" s="61">
        <f>IF(AND(catpn_1_BVHB_1&gt;0,catpn_1_BVHV_41&gt;0),(catdw_1_BVHB_1*((dagenperjaar1*VLOOKUP(B12,dagsoorttabel1,2,FALSE))-catfd_1_BVHV_41)/catpn_1_BVHB_1+catdw_1_BVHV_41*catfd_1_BVHV_41/catpn_1_BVHV_41)/(((dagenperjaar1*VLOOKUP(B12,dagsoorttabel1,2,FALSE))-catfd_1_BVHV_41)/catpn_1_BVHB_1+catfd_1_BVHV_41/catpn_1_BVHV_41),0)</f>
        <v>0</v>
      </c>
      <c r="I12" s="46" t="s">
        <v>109</v>
      </c>
      <c r="J12" s="50">
        <f>IF(AND(catpn_1_BVHB_1&gt;0,catpn_1_BVHV_41&gt;0),(cattf_1_BVHB_1*((dagenperjaar1*VLOOKUP(B12,dagsoorttabel1,2,FALSE))-catfd_1_BVHV_41)/catpn_1_BVHB_1+cattf_1_BVHV_41*catfd_1_BVHV_41/catpn_1_BVHV_41)/(((dagenperjaar1*VLOOKUP(B12,dagsoorttabel1,2,FALSE))-catfd_1_BVHV_41)/catpn_1_BVHB_1+catfd_1_BVHV_41/catpn_1_BVHV_41),0)</f>
        <v>0</v>
      </c>
      <c r="K12" s="59">
        <f t="shared" si="1"/>
        <v>0</v>
      </c>
      <c r="L12" s="50">
        <f t="shared" si="2"/>
        <v>0</v>
      </c>
      <c r="M12" s="59">
        <f t="shared" si="3"/>
        <v>0</v>
      </c>
      <c r="N12" s="50">
        <f t="shared" si="4"/>
        <v>0</v>
      </c>
    </row>
    <row r="13" spans="1:14" x14ac:dyDescent="0.25">
      <c r="A13" s="46" t="s">
        <v>266</v>
      </c>
      <c r="B13" s="46" t="s">
        <v>9</v>
      </c>
      <c r="C13" s="46" t="s">
        <v>258</v>
      </c>
      <c r="D13" s="46" t="s">
        <v>267</v>
      </c>
      <c r="E13" s="59">
        <v>0</v>
      </c>
      <c r="F13" s="59">
        <f t="shared" si="0"/>
        <v>0</v>
      </c>
      <c r="G13" s="60">
        <f>IF(AND(catpn_1_BVZB_1&gt;0,catpn_1_BVZV_41&gt;0),(dagenperjaar1*VLOOKUP(B13,dagsoorttabel1,2,FALSE))/(((dagenperjaar1*VLOOKUP(B13,dagsoorttabel1,2,FALSE))-catfd_1_BVZV_41)/catpn_1_BVZB_1+catfd_1_BVZV_41/catpn_1_BVZV_41),0)</f>
        <v>0</v>
      </c>
      <c r="H13" s="61">
        <f>IF(AND(catpn_1_BVZB_1&gt;0,catpn_1_BVZV_41&gt;0),(catdw_1_BVZB_1*((dagenperjaar1*VLOOKUP(B13,dagsoorttabel1,2,FALSE))-catfd_1_BVZV_41)/catpn_1_BVZB_1+catdw_1_BVZV_41*catfd_1_BVZV_41/catpn_1_BVZV_41)/(((dagenperjaar1*VLOOKUP(B13,dagsoorttabel1,2,FALSE))-catfd_1_BVZV_41)/catpn_1_BVZB_1+catfd_1_BVZV_41/catpn_1_BVZV_41),0)</f>
        <v>0</v>
      </c>
      <c r="I13" s="46" t="s">
        <v>109</v>
      </c>
      <c r="J13" s="50">
        <f>IF(AND(catpn_1_BVZB_1&gt;0,catpn_1_BVZV_41&gt;0),(cattf_1_BVZB_1*((dagenperjaar1*VLOOKUP(B13,dagsoorttabel1,2,FALSE))-catfd_1_BVZV_41)/catpn_1_BVZB_1+cattf_1_BVZV_41*catfd_1_BVZV_41/catpn_1_BVZV_41)/(((dagenperjaar1*VLOOKUP(B13,dagsoorttabel1,2,FALSE))-catfd_1_BVZV_41)/catpn_1_BVZB_1+catfd_1_BVZV_41/catpn_1_BVZV_41),0)</f>
        <v>0</v>
      </c>
      <c r="K13" s="59">
        <f t="shared" si="1"/>
        <v>0</v>
      </c>
      <c r="L13" s="50">
        <f t="shared" si="2"/>
        <v>0</v>
      </c>
      <c r="M13" s="59">
        <f t="shared" si="3"/>
        <v>0</v>
      </c>
      <c r="N13" s="50">
        <f t="shared" si="4"/>
        <v>0</v>
      </c>
    </row>
    <row r="14" spans="1:14" x14ac:dyDescent="0.25">
      <c r="A14" s="46" t="s">
        <v>266</v>
      </c>
      <c r="B14" s="46" t="s">
        <v>14</v>
      </c>
      <c r="C14" s="46" t="s">
        <v>258</v>
      </c>
      <c r="D14" s="46" t="s">
        <v>267</v>
      </c>
      <c r="E14" s="59">
        <v>186.23000000000002</v>
      </c>
      <c r="F14" s="59">
        <f t="shared" si="0"/>
        <v>76.354300000000009</v>
      </c>
      <c r="G14" s="60">
        <f>IF(AND(catpn_1_BVZB_1&gt;0,catpn_1_BVZV_41&gt;0),(dagenperjaar1*VLOOKUP(B14,dagsoorttabel1,2,FALSE))/(((dagenperjaar1*VLOOKUP(B14,dagsoorttabel1,2,FALSE))-catfd_1_BVZV_41)/catpn_1_BVZB_1+catfd_1_BVZV_41/catpn_1_BVZV_41),0)</f>
        <v>0</v>
      </c>
      <c r="H14" s="61">
        <f>IF(AND(catpn_1_BVZB_1&gt;0,catpn_1_BVZV_41&gt;0),(catdw_1_BVZB_1*((dagenperjaar1*VLOOKUP(B14,dagsoorttabel1,2,FALSE))-catfd_1_BVZV_41)/catpn_1_BVZB_1+catdw_1_BVZV_41*catfd_1_BVZV_41/catpn_1_BVZV_41)/(((dagenperjaar1*VLOOKUP(B14,dagsoorttabel1,2,FALSE))-catfd_1_BVZV_41)/catpn_1_BVZB_1+catfd_1_BVZV_41/catpn_1_BVZV_41),0)</f>
        <v>0</v>
      </c>
      <c r="I14" s="46" t="s">
        <v>109</v>
      </c>
      <c r="J14" s="50">
        <f>IF(AND(catpn_1_BVZB_1&gt;0,catpn_1_BVZV_41&gt;0),(cattf_1_BVZB_1*((dagenperjaar1*VLOOKUP(B14,dagsoorttabel1,2,FALSE))-catfd_1_BVZV_41)/catpn_1_BVZB_1+cattf_1_BVZV_41*catfd_1_BVZV_41/catpn_1_BVZV_41)/(((dagenperjaar1*VLOOKUP(B14,dagsoorttabel1,2,FALSE))-catfd_1_BVZV_41)/catpn_1_BVZB_1+catfd_1_BVZV_41/catpn_1_BVZV_41),0)</f>
        <v>0</v>
      </c>
      <c r="K14" s="59">
        <f t="shared" si="1"/>
        <v>0</v>
      </c>
      <c r="L14" s="50">
        <f t="shared" si="2"/>
        <v>0</v>
      </c>
      <c r="M14" s="59">
        <f t="shared" si="3"/>
        <v>0</v>
      </c>
      <c r="N14" s="50">
        <f t="shared" si="4"/>
        <v>0</v>
      </c>
    </row>
    <row r="15" spans="1:14" x14ac:dyDescent="0.25">
      <c r="A15" s="46" t="s">
        <v>268</v>
      </c>
      <c r="B15" s="46" t="s">
        <v>19</v>
      </c>
      <c r="C15" s="46" t="s">
        <v>258</v>
      </c>
      <c r="D15" s="46" t="s">
        <v>269</v>
      </c>
      <c r="E15" s="59">
        <v>108.5</v>
      </c>
      <c r="F15" s="59">
        <f t="shared" si="0"/>
        <v>10.850000000000001</v>
      </c>
      <c r="G15" s="60">
        <f>IF(AND(catpn_1_GFHB_1&gt;0,catpn_1_GFHV_20&gt;0),(dagenperjaar1*VLOOKUP(B15,dagsoorttabel1,2,FALSE))/(((dagenperjaar1*VLOOKUP(B15,dagsoorttabel1,2,FALSE))-catfd_1_GFHV_20)/catpn_1_GFHB_1+catfd_1_GFHV_20/catpn_1_GFHV_20),0)</f>
        <v>0</v>
      </c>
      <c r="H15" s="61">
        <f>IF(AND(catpn_1_GFHB_1&gt;0,catpn_1_GFHV_20&gt;0),(catdw_1_GFHB_1*((dagenperjaar1*VLOOKUP(B15,dagsoorttabel1,2,FALSE))-catfd_1_GFHV_20)/catpn_1_GFHB_1+catdw_1_GFHV_20*catfd_1_GFHV_20/catpn_1_GFHV_20)/(((dagenperjaar1*VLOOKUP(B15,dagsoorttabel1,2,FALSE))-catfd_1_GFHV_20)/catpn_1_GFHB_1+catfd_1_GFHV_20/catpn_1_GFHV_20),0)</f>
        <v>0</v>
      </c>
      <c r="I15" s="46" t="s">
        <v>109</v>
      </c>
      <c r="J15" s="50">
        <f>IF(AND(catpn_1_GFHB_1&gt;0,catpn_1_GFHV_20&gt;0),(cattf_1_GFHB_1*((dagenperjaar1*VLOOKUP(B15,dagsoorttabel1,2,FALSE))-catfd_1_GFHV_20)/catpn_1_GFHB_1+cattf_1_GFHV_20*catfd_1_GFHV_20/catpn_1_GFHV_20)/(((dagenperjaar1*VLOOKUP(B15,dagsoorttabel1,2,FALSE))-catfd_1_GFHV_20)/catpn_1_GFHB_1+catfd_1_GFHV_20/catpn_1_GFHV_20),0)</f>
        <v>0</v>
      </c>
      <c r="K15" s="59">
        <f t="shared" si="1"/>
        <v>0</v>
      </c>
      <c r="L15" s="50">
        <f t="shared" si="2"/>
        <v>0</v>
      </c>
      <c r="M15" s="59">
        <f t="shared" si="3"/>
        <v>0</v>
      </c>
      <c r="N15" s="50">
        <f t="shared" si="4"/>
        <v>0</v>
      </c>
    </row>
    <row r="16" spans="1:14" x14ac:dyDescent="0.25">
      <c r="A16" s="46" t="s">
        <v>268</v>
      </c>
      <c r="B16" s="46" t="s">
        <v>14</v>
      </c>
      <c r="C16" s="46" t="s">
        <v>258</v>
      </c>
      <c r="D16" s="46" t="s">
        <v>269</v>
      </c>
      <c r="E16" s="59">
        <v>70</v>
      </c>
      <c r="F16" s="59">
        <f t="shared" si="0"/>
        <v>28.7</v>
      </c>
      <c r="G16" s="60">
        <f>IF(AND(catpn_1_GFHB_1&gt;0,catpn_1_GFHV_41&gt;0),(dagenperjaar1*VLOOKUP(B16,dagsoorttabel1,2,FALSE))/(((dagenperjaar1*VLOOKUP(B16,dagsoorttabel1,2,FALSE))-catfd_1_GFHV_41)/catpn_1_GFHB_1+catfd_1_GFHV_41/catpn_1_GFHV_41),0)</f>
        <v>0</v>
      </c>
      <c r="H16" s="61">
        <f>IF(AND(catpn_1_GFHB_1&gt;0,catpn_1_GFHV_41&gt;0),(catdw_1_GFHB_1*((dagenperjaar1*VLOOKUP(B16,dagsoorttabel1,2,FALSE))-catfd_1_GFHV_41)/catpn_1_GFHB_1+catdw_1_GFHV_41*catfd_1_GFHV_41/catpn_1_GFHV_41)/(((dagenperjaar1*VLOOKUP(B16,dagsoorttabel1,2,FALSE))-catfd_1_GFHV_41)/catpn_1_GFHB_1+catfd_1_GFHV_41/catpn_1_GFHV_41),0)</f>
        <v>0</v>
      </c>
      <c r="I16" s="46" t="s">
        <v>109</v>
      </c>
      <c r="J16" s="50">
        <f>IF(AND(catpn_1_GFHB_1&gt;0,catpn_1_GFHV_41&gt;0),(cattf_1_GFHB_1*((dagenperjaar1*VLOOKUP(B16,dagsoorttabel1,2,FALSE))-catfd_1_GFHV_41)/catpn_1_GFHB_1+cattf_1_GFHV_41*catfd_1_GFHV_41/catpn_1_GFHV_41)/(((dagenperjaar1*VLOOKUP(B16,dagsoorttabel1,2,FALSE))-catfd_1_GFHV_41)/catpn_1_GFHB_1+catfd_1_GFHV_41/catpn_1_GFHV_41),0)</f>
        <v>0</v>
      </c>
      <c r="K16" s="59">
        <f t="shared" si="1"/>
        <v>0</v>
      </c>
      <c r="L16" s="50">
        <f t="shared" si="2"/>
        <v>0</v>
      </c>
      <c r="M16" s="59">
        <f t="shared" si="3"/>
        <v>0</v>
      </c>
      <c r="N16" s="50">
        <f t="shared" si="4"/>
        <v>0</v>
      </c>
    </row>
    <row r="17" spans="1:14" x14ac:dyDescent="0.25">
      <c r="A17" s="46" t="s">
        <v>270</v>
      </c>
      <c r="B17" s="46" t="s">
        <v>16</v>
      </c>
      <c r="C17" s="46" t="s">
        <v>258</v>
      </c>
      <c r="D17" s="46" t="s">
        <v>271</v>
      </c>
      <c r="E17" s="59">
        <v>95.399999999999991</v>
      </c>
      <c r="F17" s="59">
        <f t="shared" si="0"/>
        <v>19.556999999999999</v>
      </c>
      <c r="G17" s="60">
        <f>IF(AND(catpn_1_GSHB_1&gt;0,catpn_1_GSHV_41&gt;0),(dagenperjaar1*VLOOKUP(B17,dagsoorttabel1,2,FALSE))/(((dagenperjaar1*VLOOKUP(B17,dagsoorttabel1,2,FALSE))-catfd_1_GSHV_41)/catpn_1_GSHB_1+catfd_1_GSHV_41/catpn_1_GSHV_41),0)</f>
        <v>0</v>
      </c>
      <c r="H17" s="61">
        <f>IF(AND(catpn_1_GSHB_1&gt;0,catpn_1_GSHV_41&gt;0),(catdw_1_GSHB_1*((dagenperjaar1*VLOOKUP(B17,dagsoorttabel1,2,FALSE))-catfd_1_GSHV_41)/catpn_1_GSHB_1+catdw_1_GSHV_41*catfd_1_GSHV_41/catpn_1_GSHV_41)/(((dagenperjaar1*VLOOKUP(B17,dagsoorttabel1,2,FALSE))-catfd_1_GSHV_41)/catpn_1_GSHB_1+catfd_1_GSHV_41/catpn_1_GSHV_41),0)</f>
        <v>0</v>
      </c>
      <c r="I17" s="46" t="s">
        <v>109</v>
      </c>
      <c r="J17" s="50">
        <f>IF(AND(catpn_1_GSHB_1&gt;0,catpn_1_GSHV_41&gt;0),(cattf_1_GSHB_1*((dagenperjaar1*VLOOKUP(B17,dagsoorttabel1,2,FALSE))-catfd_1_GSHV_41)/catpn_1_GSHB_1+cattf_1_GSHV_41*catfd_1_GSHV_41/catpn_1_GSHV_41)/(((dagenperjaar1*VLOOKUP(B17,dagsoorttabel1,2,FALSE))-catfd_1_GSHV_41)/catpn_1_GSHB_1+catfd_1_GSHV_41/catpn_1_GSHV_41),0)</f>
        <v>0</v>
      </c>
      <c r="K17" s="59">
        <f t="shared" si="1"/>
        <v>0</v>
      </c>
      <c r="L17" s="50">
        <f t="shared" si="2"/>
        <v>0</v>
      </c>
      <c r="M17" s="59">
        <f t="shared" si="3"/>
        <v>0</v>
      </c>
      <c r="N17" s="50">
        <f t="shared" si="4"/>
        <v>0</v>
      </c>
    </row>
    <row r="18" spans="1:14" x14ac:dyDescent="0.25">
      <c r="A18" s="46" t="s">
        <v>270</v>
      </c>
      <c r="B18" s="46" t="s">
        <v>14</v>
      </c>
      <c r="C18" s="46" t="s">
        <v>258</v>
      </c>
      <c r="D18" s="46" t="s">
        <v>271</v>
      </c>
      <c r="E18" s="59">
        <v>1893.4</v>
      </c>
      <c r="F18" s="59">
        <f t="shared" si="0"/>
        <v>776.29399999999998</v>
      </c>
      <c r="G18" s="60">
        <f>IF(AND(catpn_1_GSHB_1&gt;0,catpn_1_GSHV_41&gt;0),(dagenperjaar1*VLOOKUP(B18,dagsoorttabel1,2,FALSE))/(((dagenperjaar1*VLOOKUP(B18,dagsoorttabel1,2,FALSE))-catfd_1_GSHV_41)/catpn_1_GSHB_1+catfd_1_GSHV_41/catpn_1_GSHV_41),0)</f>
        <v>0</v>
      </c>
      <c r="H18" s="61">
        <f>IF(AND(catpn_1_GSHB_1&gt;0,catpn_1_GSHV_41&gt;0),(catdw_1_GSHB_1*((dagenperjaar1*VLOOKUP(B18,dagsoorttabel1,2,FALSE))-catfd_1_GSHV_41)/catpn_1_GSHB_1+catdw_1_GSHV_41*catfd_1_GSHV_41/catpn_1_GSHV_41)/(((dagenperjaar1*VLOOKUP(B18,dagsoorttabel1,2,FALSE))-catfd_1_GSHV_41)/catpn_1_GSHB_1+catfd_1_GSHV_41/catpn_1_GSHV_41),0)</f>
        <v>0</v>
      </c>
      <c r="I18" s="46" t="s">
        <v>109</v>
      </c>
      <c r="J18" s="50">
        <f>IF(AND(catpn_1_GSHB_1&gt;0,catpn_1_GSHV_41&gt;0),(cattf_1_GSHB_1*((dagenperjaar1*VLOOKUP(B18,dagsoorttabel1,2,FALSE))-catfd_1_GSHV_41)/catpn_1_GSHB_1+cattf_1_GSHV_41*catfd_1_GSHV_41/catpn_1_GSHV_41)/(((dagenperjaar1*VLOOKUP(B18,dagsoorttabel1,2,FALSE))-catfd_1_GSHV_41)/catpn_1_GSHB_1+catfd_1_GSHV_41/catpn_1_GSHV_41),0)</f>
        <v>0</v>
      </c>
      <c r="K18" s="59">
        <f t="shared" si="1"/>
        <v>0</v>
      </c>
      <c r="L18" s="50">
        <f t="shared" si="2"/>
        <v>0</v>
      </c>
      <c r="M18" s="59">
        <f t="shared" si="3"/>
        <v>0</v>
      </c>
      <c r="N18" s="50">
        <f t="shared" si="4"/>
        <v>0</v>
      </c>
    </row>
    <row r="19" spans="1:14" x14ac:dyDescent="0.25">
      <c r="A19" s="46" t="s">
        <v>272</v>
      </c>
      <c r="B19" s="46" t="s">
        <v>12</v>
      </c>
      <c r="C19" s="46" t="s">
        <v>258</v>
      </c>
      <c r="D19" s="46" t="s">
        <v>273</v>
      </c>
      <c r="E19" s="59">
        <v>97</v>
      </c>
      <c r="F19" s="59">
        <f t="shared" si="0"/>
        <v>59.655000000000001</v>
      </c>
      <c r="G19" s="60">
        <f>IF(AND(catpn_1_KAHB_1&gt;0,catpn_1_KAHV_41&gt;0),(dagenperjaar1*VLOOKUP(B19,dagsoorttabel1,2,FALSE))/(((dagenperjaar1*VLOOKUP(B19,dagsoorttabel1,2,FALSE))-catfd_1_KAHV_41)/catpn_1_KAHB_1+catfd_1_KAHV_41/catpn_1_KAHV_41),0)</f>
        <v>0</v>
      </c>
      <c r="H19" s="61">
        <f>IF(AND(catpn_1_KAHB_1&gt;0,catpn_1_KAHV_41&gt;0),(catdw_1_KAHB_1*((dagenperjaar1*VLOOKUP(B19,dagsoorttabel1,2,FALSE))-catfd_1_KAHV_41)/catpn_1_KAHB_1+catdw_1_KAHV_41*catfd_1_KAHV_41/catpn_1_KAHV_41)/(((dagenperjaar1*VLOOKUP(B19,dagsoorttabel1,2,FALSE))-catfd_1_KAHV_41)/catpn_1_KAHB_1+catfd_1_KAHV_41/catpn_1_KAHV_41),0)</f>
        <v>0</v>
      </c>
      <c r="I19" s="46" t="s">
        <v>109</v>
      </c>
      <c r="J19" s="50">
        <f>IF(AND(catpn_1_KAHB_1&gt;0,catpn_1_KAHV_41&gt;0),(cattf_1_KAHB_1*((dagenperjaar1*VLOOKUP(B19,dagsoorttabel1,2,FALSE))-catfd_1_KAHV_41)/catpn_1_KAHB_1+cattf_1_KAHV_41*catfd_1_KAHV_41/catpn_1_KAHV_41)/(((dagenperjaar1*VLOOKUP(B19,dagsoorttabel1,2,FALSE))-catfd_1_KAHV_41)/catpn_1_KAHB_1+catfd_1_KAHV_41/catpn_1_KAHV_41),0)</f>
        <v>0</v>
      </c>
      <c r="K19" s="59">
        <f t="shared" si="1"/>
        <v>0</v>
      </c>
      <c r="L19" s="50">
        <f t="shared" si="2"/>
        <v>0</v>
      </c>
      <c r="M19" s="59">
        <f t="shared" si="3"/>
        <v>0</v>
      </c>
      <c r="N19" s="50">
        <f t="shared" si="4"/>
        <v>0</v>
      </c>
    </row>
    <row r="20" spans="1:14" x14ac:dyDescent="0.25">
      <c r="A20" s="46" t="s">
        <v>272</v>
      </c>
      <c r="B20" s="46" t="s">
        <v>9</v>
      </c>
      <c r="C20" s="46" t="s">
        <v>258</v>
      </c>
      <c r="D20" s="46" t="s">
        <v>273</v>
      </c>
      <c r="E20" s="59">
        <v>2969.7</v>
      </c>
      <c r="F20" s="59">
        <f t="shared" si="0"/>
        <v>3043.9424999999997</v>
      </c>
      <c r="G20" s="60">
        <f>IF(AND(catpn_1_KAHB_1&gt;0,catpn_1_KAHV_41&gt;0),(dagenperjaar1*VLOOKUP(B20,dagsoorttabel1,2,FALSE))/(((dagenperjaar1*VLOOKUP(B20,dagsoorttabel1,2,FALSE))-catfd_1_KAHV_41)/catpn_1_KAHB_1+catfd_1_KAHV_41/catpn_1_KAHV_41),0)</f>
        <v>0</v>
      </c>
      <c r="H20" s="61">
        <f>IF(AND(catpn_1_KAHB_1&gt;0,catpn_1_KAHV_41&gt;0),(catdw_1_KAHB_1*((dagenperjaar1*VLOOKUP(B20,dagsoorttabel1,2,FALSE))-catfd_1_KAHV_41)/catpn_1_KAHB_1+catdw_1_KAHV_41*catfd_1_KAHV_41/catpn_1_KAHV_41)/(((dagenperjaar1*VLOOKUP(B20,dagsoorttabel1,2,FALSE))-catfd_1_KAHV_41)/catpn_1_KAHB_1+catfd_1_KAHV_41/catpn_1_KAHV_41),0)</f>
        <v>0</v>
      </c>
      <c r="I20" s="46" t="s">
        <v>109</v>
      </c>
      <c r="J20" s="50">
        <f>IF(AND(catpn_1_KAHB_1&gt;0,catpn_1_KAHV_41&gt;0),(cattf_1_KAHB_1*((dagenperjaar1*VLOOKUP(B20,dagsoorttabel1,2,FALSE))-catfd_1_KAHV_41)/catpn_1_KAHB_1+cattf_1_KAHV_41*catfd_1_KAHV_41/catpn_1_KAHV_41)/(((dagenperjaar1*VLOOKUP(B20,dagsoorttabel1,2,FALSE))-catfd_1_KAHV_41)/catpn_1_KAHB_1+catfd_1_KAHV_41/catpn_1_KAHV_41),0)</f>
        <v>0</v>
      </c>
      <c r="K20" s="59">
        <f t="shared" si="1"/>
        <v>0</v>
      </c>
      <c r="L20" s="50">
        <f t="shared" si="2"/>
        <v>0</v>
      </c>
      <c r="M20" s="59">
        <f t="shared" si="3"/>
        <v>0</v>
      </c>
      <c r="N20" s="50">
        <f t="shared" si="4"/>
        <v>0</v>
      </c>
    </row>
    <row r="21" spans="1:14" x14ac:dyDescent="0.25">
      <c r="A21" s="46" t="s">
        <v>274</v>
      </c>
      <c r="B21" s="46" t="s">
        <v>9</v>
      </c>
      <c r="C21" s="46" t="s">
        <v>258</v>
      </c>
      <c r="D21" s="46" t="s">
        <v>275</v>
      </c>
      <c r="E21" s="59">
        <v>410.45000000000005</v>
      </c>
      <c r="F21" s="59">
        <f t="shared" si="0"/>
        <v>420.71125000000001</v>
      </c>
      <c r="G21" s="60">
        <f>IF(AND(catpn_1_KDHB_1&gt;0,catpn_1_KDHV_41&gt;0),(dagenperjaar1*VLOOKUP(B21,dagsoorttabel1,2,FALSE))/(((dagenperjaar1*VLOOKUP(B21,dagsoorttabel1,2,FALSE))-catfd_1_KDHV_41)/catpn_1_KDHB_1+catfd_1_KDHV_41/catpn_1_KDHV_41),0)</f>
        <v>0</v>
      </c>
      <c r="H21" s="61">
        <f>IF(AND(catpn_1_KDHB_1&gt;0,catpn_1_KDHV_41&gt;0),(catdw_1_KDHB_1*((dagenperjaar1*VLOOKUP(B21,dagsoorttabel1,2,FALSE))-catfd_1_KDHV_41)/catpn_1_KDHB_1+catdw_1_KDHV_41*catfd_1_KDHV_41/catpn_1_KDHV_41)/(((dagenperjaar1*VLOOKUP(B21,dagsoorttabel1,2,FALSE))-catfd_1_KDHV_41)/catpn_1_KDHB_1+catfd_1_KDHV_41/catpn_1_KDHV_41),0)</f>
        <v>0</v>
      </c>
      <c r="I21" s="46" t="s">
        <v>109</v>
      </c>
      <c r="J21" s="50">
        <f>IF(AND(catpn_1_KDHB_1&gt;0,catpn_1_KDHV_41&gt;0),(cattf_1_KDHB_1*((dagenperjaar1*VLOOKUP(B21,dagsoorttabel1,2,FALSE))-catfd_1_KDHV_41)/catpn_1_KDHB_1+cattf_1_KDHV_41*catfd_1_KDHV_41/catpn_1_KDHV_41)/(((dagenperjaar1*VLOOKUP(B21,dagsoorttabel1,2,FALSE))-catfd_1_KDHV_41)/catpn_1_KDHB_1+catfd_1_KDHV_41/catpn_1_KDHV_41),0)</f>
        <v>0</v>
      </c>
      <c r="K21" s="59">
        <f t="shared" si="1"/>
        <v>0</v>
      </c>
      <c r="L21" s="50">
        <f t="shared" si="2"/>
        <v>0</v>
      </c>
      <c r="M21" s="59">
        <f t="shared" si="3"/>
        <v>0</v>
      </c>
      <c r="N21" s="50">
        <f t="shared" si="4"/>
        <v>0</v>
      </c>
    </row>
    <row r="22" spans="1:14" x14ac:dyDescent="0.25">
      <c r="A22" s="46" t="s">
        <v>276</v>
      </c>
      <c r="B22" s="46" t="s">
        <v>9</v>
      </c>
      <c r="C22" s="46" t="s">
        <v>258</v>
      </c>
      <c r="D22" s="46" t="s">
        <v>277</v>
      </c>
      <c r="E22" s="59">
        <v>104.1</v>
      </c>
      <c r="F22" s="59">
        <f t="shared" si="0"/>
        <v>106.70249999999999</v>
      </c>
      <c r="G22" s="60">
        <f>IF(AND(catpn_1_KDZB_1&gt;0,catpn_1_KDZV_41&gt;0),(dagenperjaar1*VLOOKUP(B22,dagsoorttabel1,2,FALSE))/(((dagenperjaar1*VLOOKUP(B22,dagsoorttabel1,2,FALSE))-catfd_1_KDZV_41)/catpn_1_KDZB_1+catfd_1_KDZV_41/catpn_1_KDZV_41),0)</f>
        <v>0</v>
      </c>
      <c r="H22" s="61">
        <f>IF(AND(catpn_1_KDZB_1&gt;0,catpn_1_KDZV_41&gt;0),(catdw_1_KDZB_1*((dagenperjaar1*VLOOKUP(B22,dagsoorttabel1,2,FALSE))-catfd_1_KDZV_41)/catpn_1_KDZB_1+catdw_1_KDZV_41*catfd_1_KDZV_41/catpn_1_KDZV_41)/(((dagenperjaar1*VLOOKUP(B22,dagsoorttabel1,2,FALSE))-catfd_1_KDZV_41)/catpn_1_KDZB_1+catfd_1_KDZV_41/catpn_1_KDZV_41),0)</f>
        <v>0</v>
      </c>
      <c r="I22" s="46" t="s">
        <v>109</v>
      </c>
      <c r="J22" s="50">
        <f>IF(AND(catpn_1_KDZB_1&gt;0,catpn_1_KDZV_41&gt;0),(cattf_1_KDZB_1*((dagenperjaar1*VLOOKUP(B22,dagsoorttabel1,2,FALSE))-catfd_1_KDZV_41)/catpn_1_KDZB_1+cattf_1_KDZV_41*catfd_1_KDZV_41/catpn_1_KDZV_41)/(((dagenperjaar1*VLOOKUP(B22,dagsoorttabel1,2,FALSE))-catfd_1_KDZV_41)/catpn_1_KDZB_1+catfd_1_KDZV_41/catpn_1_KDZV_41),0)</f>
        <v>0</v>
      </c>
      <c r="K22" s="59">
        <f t="shared" si="1"/>
        <v>0</v>
      </c>
      <c r="L22" s="50">
        <f t="shared" si="2"/>
        <v>0</v>
      </c>
      <c r="M22" s="59">
        <f t="shared" si="3"/>
        <v>0</v>
      </c>
      <c r="N22" s="50">
        <f t="shared" si="4"/>
        <v>0</v>
      </c>
    </row>
    <row r="23" spans="1:14" x14ac:dyDescent="0.25">
      <c r="A23" s="46" t="s">
        <v>278</v>
      </c>
      <c r="B23" s="46" t="s">
        <v>9</v>
      </c>
      <c r="C23" s="46" t="s">
        <v>258</v>
      </c>
      <c r="D23" s="46" t="s">
        <v>279</v>
      </c>
      <c r="E23" s="59">
        <v>4.49</v>
      </c>
      <c r="F23" s="59">
        <f t="shared" si="0"/>
        <v>4.6022499999999997</v>
      </c>
      <c r="G23" s="60">
        <f>IF(AND(catpn_1_KPHB_1&gt;0,catpn_1_KPHV_41&gt;0),(dagenperjaar1*VLOOKUP(B23,dagsoorttabel1,2,FALSE))/(((dagenperjaar1*VLOOKUP(B23,dagsoorttabel1,2,FALSE))-catfd_1_KPHV_41)/catpn_1_KPHB_1+catfd_1_KPHV_41/catpn_1_KPHV_41),0)</f>
        <v>0</v>
      </c>
      <c r="H23" s="61">
        <f>IF(AND(catpn_1_KPHB_1&gt;0,catpn_1_KPHV_41&gt;0),(catdw_1_KPHB_1*((dagenperjaar1*VLOOKUP(B23,dagsoorttabel1,2,FALSE))-catfd_1_KPHV_41)/catpn_1_KPHB_1+catdw_1_KPHV_41*catfd_1_KPHV_41/catpn_1_KPHV_41)/(((dagenperjaar1*VLOOKUP(B23,dagsoorttabel1,2,FALSE))-catfd_1_KPHV_41)/catpn_1_KPHB_1+catfd_1_KPHV_41/catpn_1_KPHV_41),0)</f>
        <v>0</v>
      </c>
      <c r="I23" s="46" t="s">
        <v>109</v>
      </c>
      <c r="J23" s="50">
        <f>IF(AND(catpn_1_KPHB_1&gt;0,catpn_1_KPHV_41&gt;0),(cattf_1_KPHB_1*((dagenperjaar1*VLOOKUP(B23,dagsoorttabel1,2,FALSE))-catfd_1_KPHV_41)/catpn_1_KPHB_1+cattf_1_KPHV_41*catfd_1_KPHV_41/catpn_1_KPHV_41)/(((dagenperjaar1*VLOOKUP(B23,dagsoorttabel1,2,FALSE))-catfd_1_KPHV_41)/catpn_1_KPHB_1+catfd_1_KPHV_41/catpn_1_KPHV_41),0)</f>
        <v>0</v>
      </c>
      <c r="K23" s="59">
        <f t="shared" si="1"/>
        <v>0</v>
      </c>
      <c r="L23" s="50">
        <f t="shared" si="2"/>
        <v>0</v>
      </c>
      <c r="M23" s="59">
        <f t="shared" si="3"/>
        <v>0</v>
      </c>
      <c r="N23" s="50">
        <f t="shared" si="4"/>
        <v>0</v>
      </c>
    </row>
    <row r="24" spans="1:14" x14ac:dyDescent="0.25">
      <c r="A24" s="46" t="s">
        <v>280</v>
      </c>
      <c r="B24" s="46" t="s">
        <v>9</v>
      </c>
      <c r="C24" s="46" t="s">
        <v>258</v>
      </c>
      <c r="D24" s="46" t="s">
        <v>281</v>
      </c>
      <c r="E24" s="59">
        <v>132.66</v>
      </c>
      <c r="F24" s="59">
        <f t="shared" si="0"/>
        <v>135.97649999999999</v>
      </c>
      <c r="G24" s="60">
        <f>IF(AND(catpn_1_LAHB_1&gt;0,catpn_1_LAHV_41&gt;0),(dagenperjaar1*VLOOKUP(B24,dagsoorttabel1,2,FALSE))/(((dagenperjaar1*VLOOKUP(B24,dagsoorttabel1,2,FALSE))-catfd_1_LAHV_41)/catpn_1_LAHB_1+catfd_1_LAHV_41/catpn_1_LAHV_41),0)</f>
        <v>0</v>
      </c>
      <c r="H24" s="61">
        <f>IF(AND(catpn_1_LAHB_1&gt;0,catpn_1_LAHV_41&gt;0),(catdw_1_LAHB_1*((dagenperjaar1*VLOOKUP(B24,dagsoorttabel1,2,FALSE))-catfd_1_LAHV_41)/catpn_1_LAHB_1+catdw_1_LAHV_41*catfd_1_LAHV_41/catpn_1_LAHV_41)/(((dagenperjaar1*VLOOKUP(B24,dagsoorttabel1,2,FALSE))-catfd_1_LAHV_41)/catpn_1_LAHB_1+catfd_1_LAHV_41/catpn_1_LAHV_41),0)</f>
        <v>0</v>
      </c>
      <c r="I24" s="46" t="s">
        <v>109</v>
      </c>
      <c r="J24" s="50">
        <f>IF(AND(catpn_1_LAHB_1&gt;0,catpn_1_LAHV_41&gt;0),(cattf_1_LAHB_1*((dagenperjaar1*VLOOKUP(B24,dagsoorttabel1,2,FALSE))-catfd_1_LAHV_41)/catpn_1_LAHB_1+cattf_1_LAHV_41*catfd_1_LAHV_41/catpn_1_LAHV_41)/(((dagenperjaar1*VLOOKUP(B24,dagsoorttabel1,2,FALSE))-catfd_1_LAHV_41)/catpn_1_LAHB_1+catfd_1_LAHV_41/catpn_1_LAHV_41),0)</f>
        <v>0</v>
      </c>
      <c r="K24" s="59">
        <f t="shared" si="1"/>
        <v>0</v>
      </c>
      <c r="L24" s="50">
        <f t="shared" si="2"/>
        <v>0</v>
      </c>
      <c r="M24" s="59">
        <f t="shared" si="3"/>
        <v>0</v>
      </c>
      <c r="N24" s="50">
        <f t="shared" si="4"/>
        <v>0</v>
      </c>
    </row>
    <row r="25" spans="1:14" x14ac:dyDescent="0.25">
      <c r="A25" s="46" t="s">
        <v>282</v>
      </c>
      <c r="B25" s="46" t="s">
        <v>9</v>
      </c>
      <c r="C25" s="46" t="s">
        <v>258</v>
      </c>
      <c r="D25" s="46" t="s">
        <v>283</v>
      </c>
      <c r="E25" s="59">
        <v>6714.6799999999994</v>
      </c>
      <c r="F25" s="59">
        <f t="shared" si="0"/>
        <v>6882.5469999999987</v>
      </c>
      <c r="G25" s="60">
        <f>IF(AND(catpn_1_LLHB_1&gt;0,catpn_1_LLHV_41&gt;0),(dagenperjaar1*VLOOKUP(B25,dagsoorttabel1,2,FALSE))/(((dagenperjaar1*VLOOKUP(B25,dagsoorttabel1,2,FALSE))-catfd_1_LLHV_41)/catpn_1_LLHB_1+catfd_1_LLHV_41/catpn_1_LLHV_41),0)</f>
        <v>0</v>
      </c>
      <c r="H25" s="61">
        <f>IF(AND(catpn_1_LLHB_1&gt;0,catpn_1_LLHV_41&gt;0),(catdw_1_LLHB_1*((dagenperjaar1*VLOOKUP(B25,dagsoorttabel1,2,FALSE))-catfd_1_LLHV_41)/catpn_1_LLHB_1+catdw_1_LLHV_41*catfd_1_LLHV_41/catpn_1_LLHV_41)/(((dagenperjaar1*VLOOKUP(B25,dagsoorttabel1,2,FALSE))-catfd_1_LLHV_41)/catpn_1_LLHB_1+catfd_1_LLHV_41/catpn_1_LLHV_41),0)</f>
        <v>0</v>
      </c>
      <c r="I25" s="46" t="s">
        <v>109</v>
      </c>
      <c r="J25" s="50">
        <f>IF(AND(catpn_1_LLHB_1&gt;0,catpn_1_LLHV_41&gt;0),(cattf_1_LLHB_1*((dagenperjaar1*VLOOKUP(B25,dagsoorttabel1,2,FALSE))-catfd_1_LLHV_41)/catpn_1_LLHB_1+cattf_1_LLHV_41*catfd_1_LLHV_41/catpn_1_LLHV_41)/(((dagenperjaar1*VLOOKUP(B25,dagsoorttabel1,2,FALSE))-catfd_1_LLHV_41)/catpn_1_LLHB_1+catfd_1_LLHV_41/catpn_1_LLHV_41),0)</f>
        <v>0</v>
      </c>
      <c r="K25" s="59">
        <f t="shared" si="1"/>
        <v>0</v>
      </c>
      <c r="L25" s="50">
        <f t="shared" si="2"/>
        <v>0</v>
      </c>
      <c r="M25" s="59">
        <f t="shared" si="3"/>
        <v>0</v>
      </c>
      <c r="N25" s="50">
        <f t="shared" si="4"/>
        <v>0</v>
      </c>
    </row>
    <row r="26" spans="1:14" x14ac:dyDescent="0.25">
      <c r="A26" s="46" t="s">
        <v>284</v>
      </c>
      <c r="B26" s="46" t="s">
        <v>9</v>
      </c>
      <c r="C26" s="46" t="s">
        <v>258</v>
      </c>
      <c r="D26" s="46" t="s">
        <v>285</v>
      </c>
      <c r="E26" s="59">
        <v>2773.72</v>
      </c>
      <c r="F26" s="59">
        <f t="shared" si="0"/>
        <v>2843.0629999999996</v>
      </c>
      <c r="G26" s="60">
        <f>IF(AND(catpn_1_LLZB_1&gt;0,catpn_1_LLZV_41&gt;0),(dagenperjaar1*VLOOKUP(B26,dagsoorttabel1,2,FALSE))/(((dagenperjaar1*VLOOKUP(B26,dagsoorttabel1,2,FALSE))-catfd_1_LLZV_41)/catpn_1_LLZB_1+catfd_1_LLZV_41/catpn_1_LLZV_41),0)</f>
        <v>0</v>
      </c>
      <c r="H26" s="61">
        <f>IF(AND(catpn_1_LLZB_1&gt;0,catpn_1_LLZV_41&gt;0),(catdw_1_LLZB_1*((dagenperjaar1*VLOOKUP(B26,dagsoorttabel1,2,FALSE))-catfd_1_LLZV_41)/catpn_1_LLZB_1+catdw_1_LLZV_41*catfd_1_LLZV_41/catpn_1_LLZV_41)/(((dagenperjaar1*VLOOKUP(B26,dagsoorttabel1,2,FALSE))-catfd_1_LLZV_41)/catpn_1_LLZB_1+catfd_1_LLZV_41/catpn_1_LLZV_41),0)</f>
        <v>0</v>
      </c>
      <c r="I26" s="46" t="s">
        <v>109</v>
      </c>
      <c r="J26" s="50">
        <f>IF(AND(catpn_1_LLZB_1&gt;0,catpn_1_LLZV_41&gt;0),(cattf_1_LLZB_1*((dagenperjaar1*VLOOKUP(B26,dagsoorttabel1,2,FALSE))-catfd_1_LLZV_41)/catpn_1_LLZB_1+cattf_1_LLZV_41*catfd_1_LLZV_41/catpn_1_LLZV_41)/(((dagenperjaar1*VLOOKUP(B26,dagsoorttabel1,2,FALSE))-catfd_1_LLZV_41)/catpn_1_LLZB_1+catfd_1_LLZV_41/catpn_1_LLZV_41),0)</f>
        <v>0</v>
      </c>
      <c r="K26" s="59">
        <f t="shared" si="1"/>
        <v>0</v>
      </c>
      <c r="L26" s="50">
        <f t="shared" si="2"/>
        <v>0</v>
      </c>
      <c r="M26" s="59">
        <f t="shared" si="3"/>
        <v>0</v>
      </c>
      <c r="N26" s="50">
        <f t="shared" si="4"/>
        <v>0</v>
      </c>
    </row>
    <row r="27" spans="1:14" x14ac:dyDescent="0.25">
      <c r="A27" s="46" t="s">
        <v>286</v>
      </c>
      <c r="B27" s="46" t="s">
        <v>9</v>
      </c>
      <c r="C27" s="46" t="s">
        <v>258</v>
      </c>
      <c r="D27" s="46" t="s">
        <v>287</v>
      </c>
      <c r="E27" s="59">
        <v>1637.48</v>
      </c>
      <c r="F27" s="59">
        <f t="shared" si="0"/>
        <v>1678.4169999999999</v>
      </c>
      <c r="G27" s="60">
        <f>IF(AND(catpn_1_LOHB_1&gt;0,catpn_1_LOHV_41&gt;0),(dagenperjaar1*VLOOKUP(B27,dagsoorttabel1,2,FALSE))/(((dagenperjaar1*VLOOKUP(B27,dagsoorttabel1,2,FALSE))-catfd_1_LOHV_41)/catpn_1_LOHB_1+catfd_1_LOHV_41/catpn_1_LOHV_41),0)</f>
        <v>0</v>
      </c>
      <c r="H27" s="61">
        <f>IF(AND(catpn_1_LOHB_1&gt;0,catpn_1_LOHV_41&gt;0),(catdw_1_LOHB_1*((dagenperjaar1*VLOOKUP(B27,dagsoorttabel1,2,FALSE))-catfd_1_LOHV_41)/catpn_1_LOHB_1+catdw_1_LOHV_41*catfd_1_LOHV_41/catpn_1_LOHV_41)/(((dagenperjaar1*VLOOKUP(B27,dagsoorttabel1,2,FALSE))-catfd_1_LOHV_41)/catpn_1_LOHB_1+catfd_1_LOHV_41/catpn_1_LOHV_41),0)</f>
        <v>0</v>
      </c>
      <c r="I27" s="46" t="s">
        <v>109</v>
      </c>
      <c r="J27" s="50">
        <f>IF(AND(catpn_1_LOHB_1&gt;0,catpn_1_LOHV_41&gt;0),(cattf_1_LOHB_1*((dagenperjaar1*VLOOKUP(B27,dagsoorttabel1,2,FALSE))-catfd_1_LOHV_41)/catpn_1_LOHB_1+cattf_1_LOHV_41*catfd_1_LOHV_41/catpn_1_LOHV_41)/(((dagenperjaar1*VLOOKUP(B27,dagsoorttabel1,2,FALSE))-catfd_1_LOHV_41)/catpn_1_LOHB_1+catfd_1_LOHV_41/catpn_1_LOHV_41),0)</f>
        <v>0</v>
      </c>
      <c r="K27" s="59">
        <f t="shared" si="1"/>
        <v>0</v>
      </c>
      <c r="L27" s="50">
        <f t="shared" si="2"/>
        <v>0</v>
      </c>
      <c r="M27" s="59">
        <f t="shared" si="3"/>
        <v>0</v>
      </c>
      <c r="N27" s="50">
        <f t="shared" si="4"/>
        <v>0</v>
      </c>
    </row>
    <row r="28" spans="1:14" x14ac:dyDescent="0.25">
      <c r="A28" s="46" t="s">
        <v>288</v>
      </c>
      <c r="B28" s="46" t="s">
        <v>9</v>
      </c>
      <c r="C28" s="46" t="s">
        <v>258</v>
      </c>
      <c r="D28" s="46" t="s">
        <v>289</v>
      </c>
      <c r="E28" s="59">
        <v>534.40000000000009</v>
      </c>
      <c r="F28" s="59">
        <f t="shared" si="0"/>
        <v>547.76</v>
      </c>
      <c r="G28" s="60">
        <f>IF(AND(catpn_1_LOZB_1&gt;0,catpn_1_LOZV_41&gt;0),(dagenperjaar1*VLOOKUP(B28,dagsoorttabel1,2,FALSE))/(((dagenperjaar1*VLOOKUP(B28,dagsoorttabel1,2,FALSE))-catfd_1_LOZV_41)/catpn_1_LOZB_1+catfd_1_LOZV_41/catpn_1_LOZV_41),0)</f>
        <v>0</v>
      </c>
      <c r="H28" s="61">
        <f>IF(AND(catpn_1_LOZB_1&gt;0,catpn_1_LOZV_41&gt;0),(catdw_1_LOZB_1*((dagenperjaar1*VLOOKUP(B28,dagsoorttabel1,2,FALSE))-catfd_1_LOZV_41)/catpn_1_LOZB_1+catdw_1_LOZV_41*catfd_1_LOZV_41/catpn_1_LOZV_41)/(((dagenperjaar1*VLOOKUP(B28,dagsoorttabel1,2,FALSE))-catfd_1_LOZV_41)/catpn_1_LOZB_1+catfd_1_LOZV_41/catpn_1_LOZV_41),0)</f>
        <v>0</v>
      </c>
      <c r="I28" s="46" t="s">
        <v>109</v>
      </c>
      <c r="J28" s="50">
        <f>IF(AND(catpn_1_LOZB_1&gt;0,catpn_1_LOZV_41&gt;0),(cattf_1_LOZB_1*((dagenperjaar1*VLOOKUP(B28,dagsoorttabel1,2,FALSE))-catfd_1_LOZV_41)/catpn_1_LOZB_1+cattf_1_LOZV_41*catfd_1_LOZV_41/catpn_1_LOZV_41)/(((dagenperjaar1*VLOOKUP(B28,dagsoorttabel1,2,FALSE))-catfd_1_LOZV_41)/catpn_1_LOZB_1+catfd_1_LOZV_41/catpn_1_LOZV_41),0)</f>
        <v>0</v>
      </c>
      <c r="K28" s="59">
        <f t="shared" si="1"/>
        <v>0</v>
      </c>
      <c r="L28" s="50">
        <f t="shared" si="2"/>
        <v>0</v>
      </c>
      <c r="M28" s="59">
        <f t="shared" si="3"/>
        <v>0</v>
      </c>
      <c r="N28" s="50">
        <f t="shared" si="4"/>
        <v>0</v>
      </c>
    </row>
    <row r="29" spans="1:14" x14ac:dyDescent="0.25">
      <c r="A29" s="46" t="s">
        <v>290</v>
      </c>
      <c r="B29" s="46" t="s">
        <v>9</v>
      </c>
      <c r="C29" s="46" t="s">
        <v>258</v>
      </c>
      <c r="D29" s="46" t="s">
        <v>291</v>
      </c>
      <c r="E29" s="59">
        <v>21</v>
      </c>
      <c r="F29" s="59">
        <f t="shared" si="0"/>
        <v>21.524999999999999</v>
      </c>
      <c r="G29" s="60">
        <f>IF(AND(catpn_1_MAHB_1&gt;0,catpn_1_MAHV_41&gt;0),(dagenperjaar1*VLOOKUP(B29,dagsoorttabel1,2,FALSE))/(((dagenperjaar1*VLOOKUP(B29,dagsoorttabel1,2,FALSE))-catfd_1_MAHV_41)/catpn_1_MAHB_1+catfd_1_MAHV_41/catpn_1_MAHV_41),0)</f>
        <v>0</v>
      </c>
      <c r="H29" s="61">
        <f>IF(AND(catpn_1_MAHB_1&gt;0,catpn_1_MAHV_41&gt;0),(catdw_1_MAHB_1*((dagenperjaar1*VLOOKUP(B29,dagsoorttabel1,2,FALSE))-catfd_1_MAHV_41)/catpn_1_MAHB_1+catdw_1_MAHV_41*catfd_1_MAHV_41/catpn_1_MAHV_41)/(((dagenperjaar1*VLOOKUP(B29,dagsoorttabel1,2,FALSE))-catfd_1_MAHV_41)/catpn_1_MAHB_1+catfd_1_MAHV_41/catpn_1_MAHV_41),0)</f>
        <v>0</v>
      </c>
      <c r="I29" s="46" t="s">
        <v>109</v>
      </c>
      <c r="J29" s="50">
        <f>IF(AND(catpn_1_MAHB_1&gt;0,catpn_1_MAHV_41&gt;0),(cattf_1_MAHB_1*((dagenperjaar1*VLOOKUP(B29,dagsoorttabel1,2,FALSE))-catfd_1_MAHV_41)/catpn_1_MAHB_1+cattf_1_MAHV_41*catfd_1_MAHV_41/catpn_1_MAHV_41)/(((dagenperjaar1*VLOOKUP(B29,dagsoorttabel1,2,FALSE))-catfd_1_MAHV_41)/catpn_1_MAHB_1+catfd_1_MAHV_41/catpn_1_MAHV_41),0)</f>
        <v>0</v>
      </c>
      <c r="K29" s="59">
        <f t="shared" si="1"/>
        <v>0</v>
      </c>
      <c r="L29" s="50">
        <f t="shared" si="2"/>
        <v>0</v>
      </c>
      <c r="M29" s="59">
        <f t="shared" si="3"/>
        <v>0</v>
      </c>
      <c r="N29" s="50">
        <f t="shared" si="4"/>
        <v>0</v>
      </c>
    </row>
    <row r="30" spans="1:14" x14ac:dyDescent="0.25">
      <c r="A30" s="46" t="s">
        <v>290</v>
      </c>
      <c r="B30" s="46" t="s">
        <v>14</v>
      </c>
      <c r="C30" s="46" t="s">
        <v>258</v>
      </c>
      <c r="D30" s="46" t="s">
        <v>291</v>
      </c>
      <c r="E30" s="59">
        <v>34</v>
      </c>
      <c r="F30" s="59">
        <f t="shared" si="0"/>
        <v>13.94</v>
      </c>
      <c r="G30" s="60">
        <f>IF(AND(catpn_1_MAHB_1&gt;0,catpn_1_MAHV_41&gt;0),(dagenperjaar1*VLOOKUP(B30,dagsoorttabel1,2,FALSE))/(((dagenperjaar1*VLOOKUP(B30,dagsoorttabel1,2,FALSE))-catfd_1_MAHV_41)/catpn_1_MAHB_1+catfd_1_MAHV_41/catpn_1_MAHV_41),0)</f>
        <v>0</v>
      </c>
      <c r="H30" s="61">
        <f>IF(AND(catpn_1_MAHB_1&gt;0,catpn_1_MAHV_41&gt;0),(catdw_1_MAHB_1*((dagenperjaar1*VLOOKUP(B30,dagsoorttabel1,2,FALSE))-catfd_1_MAHV_41)/catpn_1_MAHB_1+catdw_1_MAHV_41*catfd_1_MAHV_41/catpn_1_MAHV_41)/(((dagenperjaar1*VLOOKUP(B30,dagsoorttabel1,2,FALSE))-catfd_1_MAHV_41)/catpn_1_MAHB_1+catfd_1_MAHV_41/catpn_1_MAHV_41),0)</f>
        <v>0</v>
      </c>
      <c r="I30" s="46" t="s">
        <v>109</v>
      </c>
      <c r="J30" s="50">
        <f>IF(AND(catpn_1_MAHB_1&gt;0,catpn_1_MAHV_41&gt;0),(cattf_1_MAHB_1*((dagenperjaar1*VLOOKUP(B30,dagsoorttabel1,2,FALSE))-catfd_1_MAHV_41)/catpn_1_MAHB_1+cattf_1_MAHV_41*catfd_1_MAHV_41/catpn_1_MAHV_41)/(((dagenperjaar1*VLOOKUP(B30,dagsoorttabel1,2,FALSE))-catfd_1_MAHV_41)/catpn_1_MAHB_1+catfd_1_MAHV_41/catpn_1_MAHV_41),0)</f>
        <v>0</v>
      </c>
      <c r="K30" s="59">
        <f t="shared" si="1"/>
        <v>0</v>
      </c>
      <c r="L30" s="50">
        <f t="shared" si="2"/>
        <v>0</v>
      </c>
      <c r="M30" s="59">
        <f t="shared" si="3"/>
        <v>0</v>
      </c>
      <c r="N30" s="50">
        <f t="shared" si="4"/>
        <v>0</v>
      </c>
    </row>
    <row r="31" spans="1:14" x14ac:dyDescent="0.25">
      <c r="A31" s="46" t="s">
        <v>292</v>
      </c>
      <c r="B31" s="46" t="s">
        <v>20</v>
      </c>
      <c r="C31" s="46" t="s">
        <v>258</v>
      </c>
      <c r="D31" s="46" t="s">
        <v>293</v>
      </c>
      <c r="E31" s="59">
        <v>166.79999999999998</v>
      </c>
      <c r="F31" s="59">
        <f t="shared" si="0"/>
        <v>10.007999999999999</v>
      </c>
      <c r="G31" s="60">
        <f>IF(AND(catpn_1_OAHB_1&gt;0,catpn_1_OAHV_12&gt;0),(dagenperjaar1*VLOOKUP(B31,dagsoorttabel1,2,FALSE))/(((dagenperjaar1*VLOOKUP(B31,dagsoorttabel1,2,FALSE))-catfd_1_OAHV_12)/catpn_1_OAHB_1+catfd_1_OAHV_12/catpn_1_OAHV_12),0)</f>
        <v>0</v>
      </c>
      <c r="H31" s="61">
        <f>IF(AND(catpn_1_OAHB_1&gt;0,catpn_1_OAHV_12&gt;0),(catdw_1_OAHB_1*((dagenperjaar1*VLOOKUP(B31,dagsoorttabel1,2,FALSE))-catfd_1_OAHV_12)/catpn_1_OAHB_1+catdw_1_OAHV_12*catfd_1_OAHV_12/catpn_1_OAHV_12)/(((dagenperjaar1*VLOOKUP(B31,dagsoorttabel1,2,FALSE))-catfd_1_OAHV_12)/catpn_1_OAHB_1+catfd_1_OAHV_12/catpn_1_OAHV_12),0)</f>
        <v>0</v>
      </c>
      <c r="I31" s="46" t="s">
        <v>109</v>
      </c>
      <c r="J31" s="50">
        <f>IF(AND(catpn_1_OAHB_1&gt;0,catpn_1_OAHV_12&gt;0),(cattf_1_OAHB_1*((dagenperjaar1*VLOOKUP(B31,dagsoorttabel1,2,FALSE))-catfd_1_OAHV_12)/catpn_1_OAHB_1+cattf_1_OAHV_12*catfd_1_OAHV_12/catpn_1_OAHV_12)/(((dagenperjaar1*VLOOKUP(B31,dagsoorttabel1,2,FALSE))-catfd_1_OAHV_12)/catpn_1_OAHB_1+catfd_1_OAHV_12/catpn_1_OAHV_12),0)</f>
        <v>0</v>
      </c>
      <c r="K31" s="59">
        <f t="shared" si="1"/>
        <v>0</v>
      </c>
      <c r="L31" s="50">
        <f t="shared" si="2"/>
        <v>0</v>
      </c>
      <c r="M31" s="59">
        <f t="shared" si="3"/>
        <v>0</v>
      </c>
      <c r="N31" s="50">
        <f t="shared" si="4"/>
        <v>0</v>
      </c>
    </row>
    <row r="32" spans="1:14" x14ac:dyDescent="0.25">
      <c r="A32" s="46" t="s">
        <v>292</v>
      </c>
      <c r="B32" s="46" t="s">
        <v>9</v>
      </c>
      <c r="C32" s="46" t="s">
        <v>258</v>
      </c>
      <c r="D32" s="46" t="s">
        <v>293</v>
      </c>
      <c r="E32" s="59">
        <v>54.5</v>
      </c>
      <c r="F32" s="59">
        <f t="shared" si="0"/>
        <v>55.862499999999997</v>
      </c>
      <c r="G32" s="60">
        <f>IF(AND(catpn_1_OAHB_1&gt;0,catpn_1_OAHV_41&gt;0),(dagenperjaar1*VLOOKUP(B32,dagsoorttabel1,2,FALSE))/(((dagenperjaar1*VLOOKUP(B32,dagsoorttabel1,2,FALSE))-catfd_1_OAHV_41)/catpn_1_OAHB_1+catfd_1_OAHV_41/catpn_1_OAHV_41),0)</f>
        <v>0</v>
      </c>
      <c r="H32" s="61">
        <f>IF(AND(catpn_1_OAHB_1&gt;0,catpn_1_OAHV_41&gt;0),(catdw_1_OAHB_1*((dagenperjaar1*VLOOKUP(B32,dagsoorttabel1,2,FALSE))-catfd_1_OAHV_41)/catpn_1_OAHB_1+catdw_1_OAHV_41*catfd_1_OAHV_41/catpn_1_OAHV_41)/(((dagenperjaar1*VLOOKUP(B32,dagsoorttabel1,2,FALSE))-catfd_1_OAHV_41)/catpn_1_OAHB_1+catfd_1_OAHV_41/catpn_1_OAHV_41),0)</f>
        <v>0</v>
      </c>
      <c r="I32" s="46" t="s">
        <v>109</v>
      </c>
      <c r="J32" s="50">
        <f>IF(AND(catpn_1_OAHB_1&gt;0,catpn_1_OAHV_41&gt;0),(cattf_1_OAHB_1*((dagenperjaar1*VLOOKUP(B32,dagsoorttabel1,2,FALSE))-catfd_1_OAHV_41)/catpn_1_OAHB_1+cattf_1_OAHV_41*catfd_1_OAHV_41/catpn_1_OAHV_41)/(((dagenperjaar1*VLOOKUP(B32,dagsoorttabel1,2,FALSE))-catfd_1_OAHV_41)/catpn_1_OAHB_1+catfd_1_OAHV_41/catpn_1_OAHV_41),0)</f>
        <v>0</v>
      </c>
      <c r="K32" s="59">
        <f t="shared" si="1"/>
        <v>0</v>
      </c>
      <c r="L32" s="50">
        <f t="shared" si="2"/>
        <v>0</v>
      </c>
      <c r="M32" s="59">
        <f t="shared" si="3"/>
        <v>0</v>
      </c>
      <c r="N32" s="50">
        <f t="shared" si="4"/>
        <v>0</v>
      </c>
    </row>
    <row r="33" spans="1:14" x14ac:dyDescent="0.25">
      <c r="A33" s="46" t="s">
        <v>294</v>
      </c>
      <c r="B33" s="46" t="s">
        <v>9</v>
      </c>
      <c r="C33" s="46" t="s">
        <v>258</v>
      </c>
      <c r="D33" s="46" t="s">
        <v>295</v>
      </c>
      <c r="E33" s="59">
        <v>249.89999999999998</v>
      </c>
      <c r="F33" s="59">
        <f t="shared" si="0"/>
        <v>256.14749999999998</v>
      </c>
      <c r="G33" s="60">
        <f>IF(AND(catpn_1_PAHB_1&gt;0,catpn_1_PAHV_41&gt;0),(dagenperjaar1*VLOOKUP(B33,dagsoorttabel1,2,FALSE))/(((dagenperjaar1*VLOOKUP(B33,dagsoorttabel1,2,FALSE))-catfd_1_PAHV_41)/catpn_1_PAHB_1+catfd_1_PAHV_41/catpn_1_PAHV_41),0)</f>
        <v>0</v>
      </c>
      <c r="H33" s="61">
        <f>IF(AND(catpn_1_PAHB_1&gt;0,catpn_1_PAHV_41&gt;0),(catdw_1_PAHB_1*((dagenperjaar1*VLOOKUP(B33,dagsoorttabel1,2,FALSE))-catfd_1_PAHV_41)/catpn_1_PAHB_1+catdw_1_PAHV_41*catfd_1_PAHV_41/catpn_1_PAHV_41)/(((dagenperjaar1*VLOOKUP(B33,dagsoorttabel1,2,FALSE))-catfd_1_PAHV_41)/catpn_1_PAHB_1+catfd_1_PAHV_41/catpn_1_PAHV_41),0)</f>
        <v>0</v>
      </c>
      <c r="I33" s="46" t="s">
        <v>109</v>
      </c>
      <c r="J33" s="50">
        <f>IF(AND(catpn_1_PAHB_1&gt;0,catpn_1_PAHV_41&gt;0),(cattf_1_PAHB_1*((dagenperjaar1*VLOOKUP(B33,dagsoorttabel1,2,FALSE))-catfd_1_PAHV_41)/catpn_1_PAHB_1+cattf_1_PAHV_41*catfd_1_PAHV_41/catpn_1_PAHV_41)/(((dagenperjaar1*VLOOKUP(B33,dagsoorttabel1,2,FALSE))-catfd_1_PAHV_41)/catpn_1_PAHB_1+catfd_1_PAHV_41/catpn_1_PAHV_41),0)</f>
        <v>0</v>
      </c>
      <c r="K33" s="59">
        <f t="shared" si="1"/>
        <v>0</v>
      </c>
      <c r="L33" s="50">
        <f t="shared" si="2"/>
        <v>0</v>
      </c>
      <c r="M33" s="59">
        <f t="shared" si="3"/>
        <v>0</v>
      </c>
      <c r="N33" s="50">
        <f t="shared" si="4"/>
        <v>0</v>
      </c>
    </row>
    <row r="34" spans="1:14" x14ac:dyDescent="0.25">
      <c r="A34" s="46" t="s">
        <v>294</v>
      </c>
      <c r="B34" s="46" t="s">
        <v>14</v>
      </c>
      <c r="C34" s="46" t="s">
        <v>258</v>
      </c>
      <c r="D34" s="46" t="s">
        <v>295</v>
      </c>
      <c r="E34" s="59">
        <v>24.1</v>
      </c>
      <c r="F34" s="59">
        <f t="shared" si="0"/>
        <v>9.8810000000000002</v>
      </c>
      <c r="G34" s="60">
        <f>IF(AND(catpn_1_PAHB_1&gt;0,catpn_1_PAHV_41&gt;0),(dagenperjaar1*VLOOKUP(B34,dagsoorttabel1,2,FALSE))/(((dagenperjaar1*VLOOKUP(B34,dagsoorttabel1,2,FALSE))-catfd_1_PAHV_41)/catpn_1_PAHB_1+catfd_1_PAHV_41/catpn_1_PAHV_41),0)</f>
        <v>0</v>
      </c>
      <c r="H34" s="61">
        <f>IF(AND(catpn_1_PAHB_1&gt;0,catpn_1_PAHV_41&gt;0),(catdw_1_PAHB_1*((dagenperjaar1*VLOOKUP(B34,dagsoorttabel1,2,FALSE))-catfd_1_PAHV_41)/catpn_1_PAHB_1+catdw_1_PAHV_41*catfd_1_PAHV_41/catpn_1_PAHV_41)/(((dagenperjaar1*VLOOKUP(B34,dagsoorttabel1,2,FALSE))-catfd_1_PAHV_41)/catpn_1_PAHB_1+catfd_1_PAHV_41/catpn_1_PAHV_41),0)</f>
        <v>0</v>
      </c>
      <c r="I34" s="46" t="s">
        <v>109</v>
      </c>
      <c r="J34" s="50">
        <f>IF(AND(catpn_1_PAHB_1&gt;0,catpn_1_PAHV_41&gt;0),(cattf_1_PAHB_1*((dagenperjaar1*VLOOKUP(B34,dagsoorttabel1,2,FALSE))-catfd_1_PAHV_41)/catpn_1_PAHB_1+cattf_1_PAHV_41*catfd_1_PAHV_41/catpn_1_PAHV_41)/(((dagenperjaar1*VLOOKUP(B34,dagsoorttabel1,2,FALSE))-catfd_1_PAHV_41)/catpn_1_PAHB_1+catfd_1_PAHV_41/catpn_1_PAHV_41),0)</f>
        <v>0</v>
      </c>
      <c r="K34" s="59">
        <f t="shared" si="1"/>
        <v>0</v>
      </c>
      <c r="L34" s="50">
        <f t="shared" si="2"/>
        <v>0</v>
      </c>
      <c r="M34" s="59">
        <f t="shared" si="3"/>
        <v>0</v>
      </c>
      <c r="N34" s="50">
        <f t="shared" si="4"/>
        <v>0</v>
      </c>
    </row>
    <row r="35" spans="1:14" x14ac:dyDescent="0.25">
      <c r="A35" s="46" t="s">
        <v>296</v>
      </c>
      <c r="B35" s="46" t="s">
        <v>14</v>
      </c>
      <c r="C35" s="46" t="s">
        <v>258</v>
      </c>
      <c r="D35" s="46" t="s">
        <v>297</v>
      </c>
      <c r="E35" s="59">
        <v>428.8</v>
      </c>
      <c r="F35" s="59">
        <f t="shared" si="0"/>
        <v>175.80799999999999</v>
      </c>
      <c r="G35" s="60">
        <f>IF(AND(catpn_1_PKHB_1&gt;0,catpn_1_PKHV_41&gt;0),(dagenperjaar1*VLOOKUP(B35,dagsoorttabel1,2,FALSE))/(((dagenperjaar1*VLOOKUP(B35,dagsoorttabel1,2,FALSE))-catfd_1_PKHV_41)/catpn_1_PKHB_1+catfd_1_PKHV_41/catpn_1_PKHV_41),0)</f>
        <v>0</v>
      </c>
      <c r="H35" s="61">
        <f>IF(AND(catpn_1_PKHB_1&gt;0,catpn_1_PKHV_41&gt;0),(catdw_1_PKHB_1*((dagenperjaar1*VLOOKUP(B35,dagsoorttabel1,2,FALSE))-catfd_1_PKHV_41)/catpn_1_PKHB_1+catdw_1_PKHV_41*catfd_1_PKHV_41/catpn_1_PKHV_41)/(((dagenperjaar1*VLOOKUP(B35,dagsoorttabel1,2,FALSE))-catfd_1_PKHV_41)/catpn_1_PKHB_1+catfd_1_PKHV_41/catpn_1_PKHV_41),0)</f>
        <v>0</v>
      </c>
      <c r="I35" s="46" t="s">
        <v>109</v>
      </c>
      <c r="J35" s="50">
        <f>IF(AND(catpn_1_PKHB_1&gt;0,catpn_1_PKHV_41&gt;0),(cattf_1_PKHB_1*((dagenperjaar1*VLOOKUP(B35,dagsoorttabel1,2,FALSE))-catfd_1_PKHV_41)/catpn_1_PKHB_1+cattf_1_PKHV_41*catfd_1_PKHV_41/catpn_1_PKHV_41)/(((dagenperjaar1*VLOOKUP(B35,dagsoorttabel1,2,FALSE))-catfd_1_PKHV_41)/catpn_1_PKHB_1+catfd_1_PKHV_41/catpn_1_PKHV_41),0)</f>
        <v>0</v>
      </c>
      <c r="K35" s="59">
        <f t="shared" si="1"/>
        <v>0</v>
      </c>
      <c r="L35" s="50">
        <f t="shared" si="2"/>
        <v>0</v>
      </c>
      <c r="M35" s="59">
        <f t="shared" si="3"/>
        <v>0</v>
      </c>
      <c r="N35" s="50">
        <f t="shared" si="4"/>
        <v>0</v>
      </c>
    </row>
    <row r="36" spans="1:14" x14ac:dyDescent="0.25">
      <c r="A36" s="46" t="s">
        <v>298</v>
      </c>
      <c r="B36" s="46" t="s">
        <v>9</v>
      </c>
      <c r="C36" s="46" t="s">
        <v>258</v>
      </c>
      <c r="D36" s="46" t="s">
        <v>299</v>
      </c>
      <c r="E36" s="59">
        <v>1572.75</v>
      </c>
      <c r="F36" s="59">
        <f t="shared" si="0"/>
        <v>1612.0687499999999</v>
      </c>
      <c r="G36" s="60">
        <f>IF(AND(catpn_1_PLHB_1&gt;0,catpn_1_PLHV_41&gt;0),(dagenperjaar1*VLOOKUP(B36,dagsoorttabel1,2,FALSE))/(((dagenperjaar1*VLOOKUP(B36,dagsoorttabel1,2,FALSE))-catfd_1_PLHV_41)/catpn_1_PLHB_1+catfd_1_PLHV_41/catpn_1_PLHV_41),0)</f>
        <v>0</v>
      </c>
      <c r="H36" s="61">
        <f>IF(AND(catpn_1_PLHB_1&gt;0,catpn_1_PLHV_41&gt;0),(catdw_1_PLHB_1*((dagenperjaar1*VLOOKUP(B36,dagsoorttabel1,2,FALSE))-catfd_1_PLHV_41)/catpn_1_PLHB_1+catdw_1_PLHV_41*catfd_1_PLHV_41/catpn_1_PLHV_41)/(((dagenperjaar1*VLOOKUP(B36,dagsoorttabel1,2,FALSE))-catfd_1_PLHV_41)/catpn_1_PLHB_1+catfd_1_PLHV_41/catpn_1_PLHV_41),0)</f>
        <v>0</v>
      </c>
      <c r="I36" s="46" t="s">
        <v>109</v>
      </c>
      <c r="J36" s="50">
        <f>IF(AND(catpn_1_PLHB_1&gt;0,catpn_1_PLHV_41&gt;0),(cattf_1_PLHB_1*((dagenperjaar1*VLOOKUP(B36,dagsoorttabel1,2,FALSE))-catfd_1_PLHV_41)/catpn_1_PLHB_1+cattf_1_PLHV_41*catfd_1_PLHV_41/catpn_1_PLHV_41)/(((dagenperjaar1*VLOOKUP(B36,dagsoorttabel1,2,FALSE))-catfd_1_PLHV_41)/catpn_1_PLHB_1+catfd_1_PLHV_41/catpn_1_PLHV_41),0)</f>
        <v>0</v>
      </c>
      <c r="K36" s="59">
        <f t="shared" si="1"/>
        <v>0</v>
      </c>
      <c r="L36" s="50">
        <f t="shared" si="2"/>
        <v>0</v>
      </c>
      <c r="M36" s="59">
        <f t="shared" si="3"/>
        <v>0</v>
      </c>
      <c r="N36" s="50">
        <f t="shared" si="4"/>
        <v>0</v>
      </c>
    </row>
    <row r="37" spans="1:14" x14ac:dyDescent="0.25">
      <c r="A37" s="46" t="s">
        <v>300</v>
      </c>
      <c r="B37" s="46" t="s">
        <v>9</v>
      </c>
      <c r="C37" s="46" t="s">
        <v>258</v>
      </c>
      <c r="D37" s="46" t="s">
        <v>301</v>
      </c>
      <c r="E37" s="59">
        <v>107.9</v>
      </c>
      <c r="F37" s="59">
        <f t="shared" si="0"/>
        <v>110.5975</v>
      </c>
      <c r="G37" s="60">
        <f>IF(AND(catpn_1_PSHB_1&gt;0,catpn_1_PSHV_41&gt;0),(dagenperjaar1*VLOOKUP(B37,dagsoorttabel1,2,FALSE))/(((dagenperjaar1*VLOOKUP(B37,dagsoorttabel1,2,FALSE))-catfd_1_PSHV_41)/catpn_1_PSHB_1+catfd_1_PSHV_41/catpn_1_PSHV_41),0)</f>
        <v>0</v>
      </c>
      <c r="H37" s="61">
        <f>IF(AND(catpn_1_PSHB_1&gt;0,catpn_1_PSHV_41&gt;0),(catdw_1_PSHB_1*((dagenperjaar1*VLOOKUP(B37,dagsoorttabel1,2,FALSE))-catfd_1_PSHV_41)/catpn_1_PSHB_1+catdw_1_PSHV_41*catfd_1_PSHV_41/catpn_1_PSHV_41)/(((dagenperjaar1*VLOOKUP(B37,dagsoorttabel1,2,FALSE))-catfd_1_PSHV_41)/catpn_1_PSHB_1+catfd_1_PSHV_41/catpn_1_PSHV_41),0)</f>
        <v>0</v>
      </c>
      <c r="I37" s="46" t="s">
        <v>109</v>
      </c>
      <c r="J37" s="50">
        <f>IF(AND(catpn_1_PSHB_1&gt;0,catpn_1_PSHV_41&gt;0),(cattf_1_PSHB_1*((dagenperjaar1*VLOOKUP(B37,dagsoorttabel1,2,FALSE))-catfd_1_PSHV_41)/catpn_1_PSHB_1+cattf_1_PSHV_41*catfd_1_PSHV_41/catpn_1_PSHV_41)/(((dagenperjaar1*VLOOKUP(B37,dagsoorttabel1,2,FALSE))-catfd_1_PSHV_41)/catpn_1_PSHB_1+catfd_1_PSHV_41/catpn_1_PSHV_41),0)</f>
        <v>0</v>
      </c>
      <c r="K37" s="59">
        <f t="shared" si="1"/>
        <v>0</v>
      </c>
      <c r="L37" s="50">
        <f t="shared" si="2"/>
        <v>0</v>
      </c>
      <c r="M37" s="59">
        <f t="shared" si="3"/>
        <v>0</v>
      </c>
      <c r="N37" s="50">
        <f t="shared" si="4"/>
        <v>0</v>
      </c>
    </row>
    <row r="38" spans="1:14" x14ac:dyDescent="0.25">
      <c r="A38" s="46" t="s">
        <v>300</v>
      </c>
      <c r="B38" s="46" t="s">
        <v>14</v>
      </c>
      <c r="C38" s="46" t="s">
        <v>258</v>
      </c>
      <c r="D38" s="46" t="s">
        <v>301</v>
      </c>
      <c r="E38" s="59">
        <v>798.26</v>
      </c>
      <c r="F38" s="59">
        <f t="shared" ref="F38:F56" si="5">E38*VLOOKUP(B38,dagsoorttabel1,2,FALSE)</f>
        <v>327.28659999999996</v>
      </c>
      <c r="G38" s="60">
        <f>IF(AND(catpn_1_PSHB_1&gt;0,catpn_1_PSHV_41&gt;0),(dagenperjaar1*VLOOKUP(B38,dagsoorttabel1,2,FALSE))/(((dagenperjaar1*VLOOKUP(B38,dagsoorttabel1,2,FALSE))-catfd_1_PSHV_41)/catpn_1_PSHB_1+catfd_1_PSHV_41/catpn_1_PSHV_41),0)</f>
        <v>0</v>
      </c>
      <c r="H38" s="61">
        <f>IF(AND(catpn_1_PSHB_1&gt;0,catpn_1_PSHV_41&gt;0),(catdw_1_PSHB_1*((dagenperjaar1*VLOOKUP(B38,dagsoorttabel1,2,FALSE))-catfd_1_PSHV_41)/catpn_1_PSHB_1+catdw_1_PSHV_41*catfd_1_PSHV_41/catpn_1_PSHV_41)/(((dagenperjaar1*VLOOKUP(B38,dagsoorttabel1,2,FALSE))-catfd_1_PSHV_41)/catpn_1_PSHB_1+catfd_1_PSHV_41/catpn_1_PSHV_41),0)</f>
        <v>0</v>
      </c>
      <c r="I38" s="46" t="s">
        <v>109</v>
      </c>
      <c r="J38" s="50">
        <f>IF(AND(catpn_1_PSHB_1&gt;0,catpn_1_PSHV_41&gt;0),(cattf_1_PSHB_1*((dagenperjaar1*VLOOKUP(B38,dagsoorttabel1,2,FALSE))-catfd_1_PSHV_41)/catpn_1_PSHB_1+cattf_1_PSHV_41*catfd_1_PSHV_41/catpn_1_PSHV_41)/(((dagenperjaar1*VLOOKUP(B38,dagsoorttabel1,2,FALSE))-catfd_1_PSHV_41)/catpn_1_PSHB_1+catfd_1_PSHV_41/catpn_1_PSHV_41),0)</f>
        <v>0</v>
      </c>
      <c r="K38" s="59">
        <f t="shared" ref="K38:K56" si="6">IF(OR(ISBLANK(G38),G38=0),0,F38/ROUND(G38,4))</f>
        <v>0</v>
      </c>
      <c r="L38" s="50">
        <f t="shared" ref="L38:L56" si="7">ROUND(J38,2)*K38</f>
        <v>0</v>
      </c>
      <c r="M38" s="59">
        <f t="shared" ref="M38:M56" si="8">K38*dagenperjaar1</f>
        <v>0</v>
      </c>
      <c r="N38" s="50">
        <f t="shared" ref="N38:N56" si="9">M38*ROUND(J38,2)</f>
        <v>0</v>
      </c>
    </row>
    <row r="39" spans="1:14" x14ac:dyDescent="0.25">
      <c r="A39" s="46" t="s">
        <v>302</v>
      </c>
      <c r="B39" s="46" t="s">
        <v>9</v>
      </c>
      <c r="C39" s="46" t="s">
        <v>258</v>
      </c>
      <c r="D39" s="46" t="s">
        <v>303</v>
      </c>
      <c r="E39" s="59">
        <v>67.7</v>
      </c>
      <c r="F39" s="59">
        <f t="shared" si="5"/>
        <v>69.392499999999998</v>
      </c>
      <c r="G39" s="60">
        <f>IF(AND(catpn_1_PSZB_1&gt;0,catpn_1_PSZV_41&gt;0),(dagenperjaar1*VLOOKUP(B39,dagsoorttabel1,2,FALSE))/(((dagenperjaar1*VLOOKUP(B39,dagsoorttabel1,2,FALSE))-catfd_1_PSZV_41)/catpn_1_PSZB_1+catfd_1_PSZV_41/catpn_1_PSZV_41),0)</f>
        <v>0</v>
      </c>
      <c r="H39" s="61">
        <f>IF(AND(catpn_1_PSZB_1&gt;0,catpn_1_PSZV_41&gt;0),(catdw_1_PSZB_1*((dagenperjaar1*VLOOKUP(B39,dagsoorttabel1,2,FALSE))-catfd_1_PSZV_41)/catpn_1_PSZB_1+catdw_1_PSZV_41*catfd_1_PSZV_41/catpn_1_PSZV_41)/(((dagenperjaar1*VLOOKUP(B39,dagsoorttabel1,2,FALSE))-catfd_1_PSZV_41)/catpn_1_PSZB_1+catfd_1_PSZV_41/catpn_1_PSZV_41),0)</f>
        <v>0</v>
      </c>
      <c r="I39" s="46" t="s">
        <v>109</v>
      </c>
      <c r="J39" s="50">
        <f>IF(AND(catpn_1_PSZB_1&gt;0,catpn_1_PSZV_41&gt;0),(cattf_1_PSZB_1*((dagenperjaar1*VLOOKUP(B39,dagsoorttabel1,2,FALSE))-catfd_1_PSZV_41)/catpn_1_PSZB_1+cattf_1_PSZV_41*catfd_1_PSZV_41/catpn_1_PSZV_41)/(((dagenperjaar1*VLOOKUP(B39,dagsoorttabel1,2,FALSE))-catfd_1_PSZV_41)/catpn_1_PSZB_1+catfd_1_PSZV_41/catpn_1_PSZV_41),0)</f>
        <v>0</v>
      </c>
      <c r="K39" s="59">
        <f t="shared" si="6"/>
        <v>0</v>
      </c>
      <c r="L39" s="50">
        <f t="shared" si="7"/>
        <v>0</v>
      </c>
      <c r="M39" s="59">
        <f t="shared" si="8"/>
        <v>0</v>
      </c>
      <c r="N39" s="50">
        <f t="shared" si="9"/>
        <v>0</v>
      </c>
    </row>
    <row r="40" spans="1:14" x14ac:dyDescent="0.25">
      <c r="A40" s="46" t="s">
        <v>304</v>
      </c>
      <c r="B40" s="46" t="s">
        <v>9</v>
      </c>
      <c r="C40" s="46" t="s">
        <v>258</v>
      </c>
      <c r="D40" s="46" t="s">
        <v>305</v>
      </c>
      <c r="E40" s="59">
        <v>580.79999999999995</v>
      </c>
      <c r="F40" s="59">
        <f t="shared" si="5"/>
        <v>595.31999999999994</v>
      </c>
      <c r="G40" s="60">
        <f>IF(AND(catpn_1_PWHB_1&gt;0,catpn_1_PWHV_41&gt;0),(dagenperjaar1*VLOOKUP(B40,dagsoorttabel1,2,FALSE))/(((dagenperjaar1*VLOOKUP(B40,dagsoorttabel1,2,FALSE))-catfd_1_PWHV_41)/catpn_1_PWHB_1+catfd_1_PWHV_41/catpn_1_PWHV_41),0)</f>
        <v>0</v>
      </c>
      <c r="H40" s="61">
        <f>IF(AND(catpn_1_PWHB_1&gt;0,catpn_1_PWHV_41&gt;0),(catdw_1_PWHB_1*((dagenperjaar1*VLOOKUP(B40,dagsoorttabel1,2,FALSE))-catfd_1_PWHV_41)/catpn_1_PWHB_1+catdw_1_PWHV_41*catfd_1_PWHV_41/catpn_1_PWHV_41)/(((dagenperjaar1*VLOOKUP(B40,dagsoorttabel1,2,FALSE))-catfd_1_PWHV_41)/catpn_1_PWHB_1+catfd_1_PWHV_41/catpn_1_PWHV_41),0)</f>
        <v>0</v>
      </c>
      <c r="I40" s="46" t="s">
        <v>109</v>
      </c>
      <c r="J40" s="50">
        <f>IF(AND(catpn_1_PWHB_1&gt;0,catpn_1_PWHV_41&gt;0),(cattf_1_PWHB_1*((dagenperjaar1*VLOOKUP(B40,dagsoorttabel1,2,FALSE))-catfd_1_PWHV_41)/catpn_1_PWHB_1+cattf_1_PWHV_41*catfd_1_PWHV_41/catpn_1_PWHV_41)/(((dagenperjaar1*VLOOKUP(B40,dagsoorttabel1,2,FALSE))-catfd_1_PWHV_41)/catpn_1_PWHB_1+catfd_1_PWHV_41/catpn_1_PWHV_41),0)</f>
        <v>0</v>
      </c>
      <c r="K40" s="59">
        <f t="shared" si="6"/>
        <v>0</v>
      </c>
      <c r="L40" s="50">
        <f t="shared" si="7"/>
        <v>0</v>
      </c>
      <c r="M40" s="59">
        <f t="shared" si="8"/>
        <v>0</v>
      </c>
      <c r="N40" s="50">
        <f t="shared" si="9"/>
        <v>0</v>
      </c>
    </row>
    <row r="41" spans="1:14" x14ac:dyDescent="0.25">
      <c r="A41" s="46" t="s">
        <v>304</v>
      </c>
      <c r="B41" s="46" t="s">
        <v>16</v>
      </c>
      <c r="C41" s="46" t="s">
        <v>258</v>
      </c>
      <c r="D41" s="46" t="s">
        <v>305</v>
      </c>
      <c r="E41" s="59">
        <v>9.4</v>
      </c>
      <c r="F41" s="59">
        <f t="shared" si="5"/>
        <v>1.927</v>
      </c>
      <c r="G41" s="60">
        <f>catpn_1_PWHV_41</f>
        <v>0</v>
      </c>
      <c r="H41" s="61">
        <f>catdw_1_PWHV_41</f>
        <v>0</v>
      </c>
      <c r="I41" s="46" t="s">
        <v>109</v>
      </c>
      <c r="J41" s="50">
        <f>cattf_1_PWHV_41</f>
        <v>0</v>
      </c>
      <c r="K41" s="59">
        <f t="shared" si="6"/>
        <v>0</v>
      </c>
      <c r="L41" s="50">
        <f t="shared" si="7"/>
        <v>0</v>
      </c>
      <c r="M41" s="59">
        <f t="shared" si="8"/>
        <v>0</v>
      </c>
      <c r="N41" s="50">
        <f t="shared" si="9"/>
        <v>0</v>
      </c>
    </row>
    <row r="42" spans="1:14" x14ac:dyDescent="0.25">
      <c r="A42" s="46" t="s">
        <v>304</v>
      </c>
      <c r="B42" s="46" t="s">
        <v>14</v>
      </c>
      <c r="C42" s="46" t="s">
        <v>258</v>
      </c>
      <c r="D42" s="46" t="s">
        <v>305</v>
      </c>
      <c r="E42" s="59">
        <v>912.9</v>
      </c>
      <c r="F42" s="59">
        <f t="shared" si="5"/>
        <v>374.28899999999999</v>
      </c>
      <c r="G42" s="60">
        <f>IF(AND(catpn_1_PWHB_1&gt;0,catpn_1_PWHV_41&gt;0),(dagenperjaar1*VLOOKUP(B42,dagsoorttabel1,2,FALSE))/(((dagenperjaar1*VLOOKUP(B42,dagsoorttabel1,2,FALSE))-catfd_1_PWHV_41)/catpn_1_PWHB_1+catfd_1_PWHV_41/catpn_1_PWHV_41),0)</f>
        <v>0</v>
      </c>
      <c r="H42" s="61">
        <f>IF(AND(catpn_1_PWHB_1&gt;0,catpn_1_PWHV_41&gt;0),(catdw_1_PWHB_1*((dagenperjaar1*VLOOKUP(B42,dagsoorttabel1,2,FALSE))-catfd_1_PWHV_41)/catpn_1_PWHB_1+catdw_1_PWHV_41*catfd_1_PWHV_41/catpn_1_PWHV_41)/(((dagenperjaar1*VLOOKUP(B42,dagsoorttabel1,2,FALSE))-catfd_1_PWHV_41)/catpn_1_PWHB_1+catfd_1_PWHV_41/catpn_1_PWHV_41),0)</f>
        <v>0</v>
      </c>
      <c r="I42" s="46" t="s">
        <v>109</v>
      </c>
      <c r="J42" s="50">
        <f>IF(AND(catpn_1_PWHB_1&gt;0,catpn_1_PWHV_41&gt;0),(cattf_1_PWHB_1*((dagenperjaar1*VLOOKUP(B42,dagsoorttabel1,2,FALSE))-catfd_1_PWHV_41)/catpn_1_PWHB_1+cattf_1_PWHV_41*catfd_1_PWHV_41/catpn_1_PWHV_41)/(((dagenperjaar1*VLOOKUP(B42,dagsoorttabel1,2,FALSE))-catfd_1_PWHV_41)/catpn_1_PWHB_1+catfd_1_PWHV_41/catpn_1_PWHV_41),0)</f>
        <v>0</v>
      </c>
      <c r="K42" s="59">
        <f t="shared" si="6"/>
        <v>0</v>
      </c>
      <c r="L42" s="50">
        <f t="shared" si="7"/>
        <v>0</v>
      </c>
      <c r="M42" s="59">
        <f t="shared" si="8"/>
        <v>0</v>
      </c>
      <c r="N42" s="50">
        <f t="shared" si="9"/>
        <v>0</v>
      </c>
    </row>
    <row r="43" spans="1:14" x14ac:dyDescent="0.25">
      <c r="A43" s="46" t="s">
        <v>306</v>
      </c>
      <c r="B43" s="46" t="s">
        <v>9</v>
      </c>
      <c r="C43" s="46" t="s">
        <v>258</v>
      </c>
      <c r="D43" s="46" t="s">
        <v>307</v>
      </c>
      <c r="E43" s="59">
        <v>21.5</v>
      </c>
      <c r="F43" s="59">
        <f t="shared" si="5"/>
        <v>22.037499999999998</v>
      </c>
      <c r="G43" s="60">
        <f>IF(AND(catpn_1_SDHB_1&gt;0,catpn_1_SDHV_41&gt;0),(dagenperjaar1*VLOOKUP(B43,dagsoorttabel1,2,FALSE))/(((dagenperjaar1*VLOOKUP(B43,dagsoorttabel1,2,FALSE))-catfd_1_SDHV_41)/catpn_1_SDHB_1+catfd_1_SDHV_41/catpn_1_SDHV_41),0)</f>
        <v>0</v>
      </c>
      <c r="H43" s="61">
        <f>IF(AND(catpn_1_SDHB_1&gt;0,catpn_1_SDHV_41&gt;0),(catdw_1_SDHB_1*((dagenperjaar1*VLOOKUP(B43,dagsoorttabel1,2,FALSE))-catfd_1_SDHV_41)/catpn_1_SDHB_1+catdw_1_SDHV_41*catfd_1_SDHV_41/catpn_1_SDHV_41)/(((dagenperjaar1*VLOOKUP(B43,dagsoorttabel1,2,FALSE))-catfd_1_SDHV_41)/catpn_1_SDHB_1+catfd_1_SDHV_41/catpn_1_SDHV_41),0)</f>
        <v>0</v>
      </c>
      <c r="I43" s="46" t="s">
        <v>109</v>
      </c>
      <c r="J43" s="50">
        <f>IF(AND(catpn_1_SDHB_1&gt;0,catpn_1_SDHV_41&gt;0),(cattf_1_SDHB_1*((dagenperjaar1*VLOOKUP(B43,dagsoorttabel1,2,FALSE))-catfd_1_SDHV_41)/catpn_1_SDHB_1+cattf_1_SDHV_41*catfd_1_SDHV_41/catpn_1_SDHV_41)/(((dagenperjaar1*VLOOKUP(B43,dagsoorttabel1,2,FALSE))-catfd_1_SDHV_41)/catpn_1_SDHB_1+catfd_1_SDHV_41/catpn_1_SDHV_41),0)</f>
        <v>0</v>
      </c>
      <c r="K43" s="59">
        <f t="shared" si="6"/>
        <v>0</v>
      </c>
      <c r="L43" s="50">
        <f t="shared" si="7"/>
        <v>0</v>
      </c>
      <c r="M43" s="59">
        <f t="shared" si="8"/>
        <v>0</v>
      </c>
      <c r="N43" s="50">
        <f t="shared" si="9"/>
        <v>0</v>
      </c>
    </row>
    <row r="44" spans="1:14" x14ac:dyDescent="0.25">
      <c r="A44" s="46" t="s">
        <v>308</v>
      </c>
      <c r="B44" s="46" t="s">
        <v>9</v>
      </c>
      <c r="C44" s="46" t="s">
        <v>258</v>
      </c>
      <c r="D44" s="46" t="s">
        <v>309</v>
      </c>
      <c r="E44" s="59">
        <v>401.88000000000005</v>
      </c>
      <c r="F44" s="59">
        <f t="shared" si="5"/>
        <v>411.92700000000002</v>
      </c>
      <c r="G44" s="60">
        <f>IF(AND(catpn_1_SKHB_1&gt;0,catpn_1_SKHV_41&gt;0),(dagenperjaar1*VLOOKUP(B44,dagsoorttabel1,2,FALSE))/(((dagenperjaar1*VLOOKUP(B44,dagsoorttabel1,2,FALSE))-catfd_1_SKHV_41)/catpn_1_SKHB_1+catfd_1_SKHV_41/catpn_1_SKHV_41),0)</f>
        <v>0</v>
      </c>
      <c r="H44" s="61">
        <f>IF(AND(catpn_1_SKHB_1&gt;0,catpn_1_SKHV_41&gt;0),(catdw_1_SKHB_1*((dagenperjaar1*VLOOKUP(B44,dagsoorttabel1,2,FALSE))-catfd_1_SKHV_41)/catpn_1_SKHB_1+catdw_1_SKHV_41*catfd_1_SKHV_41/catpn_1_SKHV_41)/(((dagenperjaar1*VLOOKUP(B44,dagsoorttabel1,2,FALSE))-catfd_1_SKHV_41)/catpn_1_SKHB_1+catfd_1_SKHV_41/catpn_1_SKHV_41),0)</f>
        <v>0</v>
      </c>
      <c r="I44" s="46" t="s">
        <v>109</v>
      </c>
      <c r="J44" s="50">
        <f>IF(AND(catpn_1_SKHB_1&gt;0,catpn_1_SKHV_41&gt;0),(cattf_1_SKHB_1*((dagenperjaar1*VLOOKUP(B44,dagsoorttabel1,2,FALSE))-catfd_1_SKHV_41)/catpn_1_SKHB_1+cattf_1_SKHV_41*catfd_1_SKHV_41/catpn_1_SKHV_41)/(((dagenperjaar1*VLOOKUP(B44,dagsoorttabel1,2,FALSE))-catfd_1_SKHV_41)/catpn_1_SKHB_1+catfd_1_SKHV_41/catpn_1_SKHV_41),0)</f>
        <v>0</v>
      </c>
      <c r="K44" s="59">
        <f t="shared" si="6"/>
        <v>0</v>
      </c>
      <c r="L44" s="50">
        <f t="shared" si="7"/>
        <v>0</v>
      </c>
      <c r="M44" s="59">
        <f t="shared" si="8"/>
        <v>0</v>
      </c>
      <c r="N44" s="50">
        <f t="shared" si="9"/>
        <v>0</v>
      </c>
    </row>
    <row r="45" spans="1:14" x14ac:dyDescent="0.25">
      <c r="A45" s="46" t="s">
        <v>308</v>
      </c>
      <c r="B45" s="46" t="s">
        <v>14</v>
      </c>
      <c r="C45" s="46" t="s">
        <v>258</v>
      </c>
      <c r="D45" s="46" t="s">
        <v>309</v>
      </c>
      <c r="E45" s="59">
        <v>21</v>
      </c>
      <c r="F45" s="59">
        <f t="shared" si="5"/>
        <v>8.61</v>
      </c>
      <c r="G45" s="60">
        <f>IF(AND(catpn_1_SKHB_1&gt;0,catpn_1_SKHV_41&gt;0),(dagenperjaar1*VLOOKUP(B45,dagsoorttabel1,2,FALSE))/(((dagenperjaar1*VLOOKUP(B45,dagsoorttabel1,2,FALSE))-catfd_1_SKHV_41)/catpn_1_SKHB_1+catfd_1_SKHV_41/catpn_1_SKHV_41),0)</f>
        <v>0</v>
      </c>
      <c r="H45" s="61">
        <f>IF(AND(catpn_1_SKHB_1&gt;0,catpn_1_SKHV_41&gt;0),(catdw_1_SKHB_1*((dagenperjaar1*VLOOKUP(B45,dagsoorttabel1,2,FALSE))-catfd_1_SKHV_41)/catpn_1_SKHB_1+catdw_1_SKHV_41*catfd_1_SKHV_41/catpn_1_SKHV_41)/(((dagenperjaar1*VLOOKUP(B45,dagsoorttabel1,2,FALSE))-catfd_1_SKHV_41)/catpn_1_SKHB_1+catfd_1_SKHV_41/catpn_1_SKHV_41),0)</f>
        <v>0</v>
      </c>
      <c r="I45" s="46" t="s">
        <v>109</v>
      </c>
      <c r="J45" s="50">
        <f>IF(AND(catpn_1_SKHB_1&gt;0,catpn_1_SKHV_41&gt;0),(cattf_1_SKHB_1*((dagenperjaar1*VLOOKUP(B45,dagsoorttabel1,2,FALSE))-catfd_1_SKHV_41)/catpn_1_SKHB_1+cattf_1_SKHV_41*catfd_1_SKHV_41/catpn_1_SKHV_41)/(((dagenperjaar1*VLOOKUP(B45,dagsoorttabel1,2,FALSE))-catfd_1_SKHV_41)/catpn_1_SKHB_1+catfd_1_SKHV_41/catpn_1_SKHV_41),0)</f>
        <v>0</v>
      </c>
      <c r="K45" s="59">
        <f t="shared" si="6"/>
        <v>0</v>
      </c>
      <c r="L45" s="50">
        <f t="shared" si="7"/>
        <v>0</v>
      </c>
      <c r="M45" s="59">
        <f t="shared" si="8"/>
        <v>0</v>
      </c>
      <c r="N45" s="50">
        <f t="shared" si="9"/>
        <v>0</v>
      </c>
    </row>
    <row r="46" spans="1:14" x14ac:dyDescent="0.25">
      <c r="A46" s="46" t="s">
        <v>310</v>
      </c>
      <c r="B46" s="46" t="s">
        <v>9</v>
      </c>
      <c r="C46" s="46" t="s">
        <v>258</v>
      </c>
      <c r="D46" s="46" t="s">
        <v>311</v>
      </c>
      <c r="E46" s="59">
        <v>758.12999999999988</v>
      </c>
      <c r="F46" s="59">
        <f t="shared" si="5"/>
        <v>777.08324999999979</v>
      </c>
      <c r="G46" s="60">
        <f>IF(AND(catpn_1_STHB_1&gt;0,catpn_1_STHV_41&gt;0),(dagenperjaar1*VLOOKUP(B46,dagsoorttabel1,2,FALSE))/(((dagenperjaar1*VLOOKUP(B46,dagsoorttabel1,2,FALSE))-catfd_1_STHV_41)/catpn_1_STHB_1+catfd_1_STHV_41/catpn_1_STHV_41),0)</f>
        <v>0</v>
      </c>
      <c r="H46" s="61">
        <f>IF(AND(catpn_1_STHB_1&gt;0,catpn_1_STHV_41&gt;0),(catdw_1_STHB_1*((dagenperjaar1*VLOOKUP(B46,dagsoorttabel1,2,FALSE))-catfd_1_STHV_41)/catpn_1_STHB_1+catdw_1_STHV_41*catfd_1_STHV_41/catpn_1_STHV_41)/(((dagenperjaar1*VLOOKUP(B46,dagsoorttabel1,2,FALSE))-catfd_1_STHV_41)/catpn_1_STHB_1+catfd_1_STHV_41/catpn_1_STHV_41),0)</f>
        <v>0</v>
      </c>
      <c r="I46" s="46" t="s">
        <v>109</v>
      </c>
      <c r="J46" s="50">
        <f>IF(AND(catpn_1_STHB_1&gt;0,catpn_1_STHV_41&gt;0),(cattf_1_STHB_1*((dagenperjaar1*VLOOKUP(B46,dagsoorttabel1,2,FALSE))-catfd_1_STHV_41)/catpn_1_STHB_1+cattf_1_STHV_41*catfd_1_STHV_41/catpn_1_STHV_41)/(((dagenperjaar1*VLOOKUP(B46,dagsoorttabel1,2,FALSE))-catfd_1_STHV_41)/catpn_1_STHB_1+catfd_1_STHV_41/catpn_1_STHV_41),0)</f>
        <v>0</v>
      </c>
      <c r="K46" s="59">
        <f t="shared" si="6"/>
        <v>0</v>
      </c>
      <c r="L46" s="50">
        <f t="shared" si="7"/>
        <v>0</v>
      </c>
      <c r="M46" s="59">
        <f t="shared" si="8"/>
        <v>0</v>
      </c>
      <c r="N46" s="50">
        <f t="shared" si="9"/>
        <v>0</v>
      </c>
    </row>
    <row r="47" spans="1:14" x14ac:dyDescent="0.25">
      <c r="A47" s="46" t="s">
        <v>312</v>
      </c>
      <c r="B47" s="46" t="s">
        <v>9</v>
      </c>
      <c r="C47" s="46" t="s">
        <v>258</v>
      </c>
      <c r="D47" s="46" t="s">
        <v>313</v>
      </c>
      <c r="E47" s="59">
        <v>4823.0599999999995</v>
      </c>
      <c r="F47" s="59">
        <f t="shared" si="5"/>
        <v>4943.6364999999987</v>
      </c>
      <c r="G47" s="60">
        <f>IF(AND(catpn_1_VAHB_1&gt;0,catpn_1_VAHV_41&gt;0),(dagenperjaar1*VLOOKUP(B47,dagsoorttabel1,2,FALSE))/(((dagenperjaar1*VLOOKUP(B47,dagsoorttabel1,2,FALSE))-catfd_1_VAHV_41)/catpn_1_VAHB_1+catfd_1_VAHV_41/catpn_1_VAHV_41),0)</f>
        <v>0</v>
      </c>
      <c r="H47" s="61">
        <f>IF(AND(catpn_1_VAHB_1&gt;0,catpn_1_VAHV_41&gt;0),(catdw_1_VAHB_1*((dagenperjaar1*VLOOKUP(B47,dagsoorttabel1,2,FALSE))-catfd_1_VAHV_41)/catpn_1_VAHB_1+catdw_1_VAHV_41*catfd_1_VAHV_41/catpn_1_VAHV_41)/(((dagenperjaar1*VLOOKUP(B47,dagsoorttabel1,2,FALSE))-catfd_1_VAHV_41)/catpn_1_VAHB_1+catfd_1_VAHV_41/catpn_1_VAHV_41),0)</f>
        <v>0</v>
      </c>
      <c r="I47" s="46" t="s">
        <v>109</v>
      </c>
      <c r="J47" s="50">
        <f>IF(AND(catpn_1_VAHB_1&gt;0,catpn_1_VAHV_41&gt;0),(cattf_1_VAHB_1*((dagenperjaar1*VLOOKUP(B47,dagsoorttabel1,2,FALSE))-catfd_1_VAHV_41)/catpn_1_VAHB_1+cattf_1_VAHV_41*catfd_1_VAHV_41/catpn_1_VAHV_41)/(((dagenperjaar1*VLOOKUP(B47,dagsoorttabel1,2,FALSE))-catfd_1_VAHV_41)/catpn_1_VAHB_1+catfd_1_VAHV_41/catpn_1_VAHV_41),0)</f>
        <v>0</v>
      </c>
      <c r="K47" s="59">
        <f t="shared" si="6"/>
        <v>0</v>
      </c>
      <c r="L47" s="50">
        <f t="shared" si="7"/>
        <v>0</v>
      </c>
      <c r="M47" s="59">
        <f t="shared" si="8"/>
        <v>0</v>
      </c>
      <c r="N47" s="50">
        <f t="shared" si="9"/>
        <v>0</v>
      </c>
    </row>
    <row r="48" spans="1:14" x14ac:dyDescent="0.25">
      <c r="A48" s="46" t="s">
        <v>314</v>
      </c>
      <c r="B48" s="46" t="s">
        <v>9</v>
      </c>
      <c r="C48" s="46" t="s">
        <v>258</v>
      </c>
      <c r="D48" s="46" t="s">
        <v>315</v>
      </c>
      <c r="E48" s="59">
        <v>10.5</v>
      </c>
      <c r="F48" s="59">
        <f t="shared" si="5"/>
        <v>10.762499999999999</v>
      </c>
      <c r="G48" s="60">
        <f>IF(AND(catpn_1_VAZB_1&gt;0,catpn_1_VAZV_41&gt;0),(dagenperjaar1*VLOOKUP(B48,dagsoorttabel1,2,FALSE))/(((dagenperjaar1*VLOOKUP(B48,dagsoorttabel1,2,FALSE))-catfd_1_VAZV_41)/catpn_1_VAZB_1+catfd_1_VAZV_41/catpn_1_VAZV_41),0)</f>
        <v>0</v>
      </c>
      <c r="H48" s="61">
        <f>IF(AND(catpn_1_VAZB_1&gt;0,catpn_1_VAZV_41&gt;0),(catdw_1_VAZB_1*((dagenperjaar1*VLOOKUP(B48,dagsoorttabel1,2,FALSE))-catfd_1_VAZV_41)/catpn_1_VAZB_1+catdw_1_VAZV_41*catfd_1_VAZV_41/catpn_1_VAZV_41)/(((dagenperjaar1*VLOOKUP(B48,dagsoorttabel1,2,FALSE))-catfd_1_VAZV_41)/catpn_1_VAZB_1+catfd_1_VAZV_41/catpn_1_VAZV_41),0)</f>
        <v>0</v>
      </c>
      <c r="I48" s="46" t="s">
        <v>109</v>
      </c>
      <c r="J48" s="50">
        <f>IF(AND(catpn_1_VAZB_1&gt;0,catpn_1_VAZV_41&gt;0),(cattf_1_VAZB_1*((dagenperjaar1*VLOOKUP(B48,dagsoorttabel1,2,FALSE))-catfd_1_VAZV_41)/catpn_1_VAZB_1+cattf_1_VAZV_41*catfd_1_VAZV_41/catpn_1_VAZV_41)/(((dagenperjaar1*VLOOKUP(B48,dagsoorttabel1,2,FALSE))-catfd_1_VAZV_41)/catpn_1_VAZB_1+catfd_1_VAZV_41/catpn_1_VAZV_41),0)</f>
        <v>0</v>
      </c>
      <c r="K48" s="59">
        <f t="shared" si="6"/>
        <v>0</v>
      </c>
      <c r="L48" s="50">
        <f t="shared" si="7"/>
        <v>0</v>
      </c>
      <c r="M48" s="59">
        <f t="shared" si="8"/>
        <v>0</v>
      </c>
      <c r="N48" s="50">
        <f t="shared" si="9"/>
        <v>0</v>
      </c>
    </row>
    <row r="49" spans="1:14" x14ac:dyDescent="0.25">
      <c r="A49" s="46" t="s">
        <v>316</v>
      </c>
      <c r="B49" s="46" t="s">
        <v>9</v>
      </c>
      <c r="C49" s="46" t="s">
        <v>258</v>
      </c>
      <c r="D49" s="46" t="s">
        <v>317</v>
      </c>
      <c r="E49" s="59">
        <v>152</v>
      </c>
      <c r="F49" s="59">
        <f t="shared" si="5"/>
        <v>155.79999999999998</v>
      </c>
      <c r="G49" s="60">
        <f>IF(AND(catpn_1_VEZB_1&gt;0,catpn_1_VEZV_41&gt;0),(dagenperjaar1*VLOOKUP(B49,dagsoorttabel1,2,FALSE))/(((dagenperjaar1*VLOOKUP(B49,dagsoorttabel1,2,FALSE))-catfd_1_VEZV_41)/catpn_1_VEZB_1+catfd_1_VEZV_41/catpn_1_VEZV_41),0)</f>
        <v>0</v>
      </c>
      <c r="H49" s="61">
        <f>IF(AND(catpn_1_VEZB_1&gt;0,catpn_1_VEZV_41&gt;0),(catdw_1_VEZB_1*((dagenperjaar1*VLOOKUP(B49,dagsoorttabel1,2,FALSE))-catfd_1_VEZV_41)/catpn_1_VEZB_1+catdw_1_VEZV_41*catfd_1_VEZV_41/catpn_1_VEZV_41)/(((dagenperjaar1*VLOOKUP(B49,dagsoorttabel1,2,FALSE))-catfd_1_VEZV_41)/catpn_1_VEZB_1+catfd_1_VEZV_41/catpn_1_VEZV_41),0)</f>
        <v>0</v>
      </c>
      <c r="I49" s="46" t="s">
        <v>109</v>
      </c>
      <c r="J49" s="50">
        <f>IF(AND(catpn_1_VEZB_1&gt;0,catpn_1_VEZV_41&gt;0),(cattf_1_VEZB_1*((dagenperjaar1*VLOOKUP(B49,dagsoorttabel1,2,FALSE))-catfd_1_VEZV_41)/catpn_1_VEZB_1+cattf_1_VEZV_41*catfd_1_VEZV_41/catpn_1_VEZV_41)/(((dagenperjaar1*VLOOKUP(B49,dagsoorttabel1,2,FALSE))-catfd_1_VEZV_41)/catpn_1_VEZB_1+catfd_1_VEZV_41/catpn_1_VEZV_41),0)</f>
        <v>0</v>
      </c>
      <c r="K49" s="59">
        <f t="shared" si="6"/>
        <v>0</v>
      </c>
      <c r="L49" s="50">
        <f t="shared" si="7"/>
        <v>0</v>
      </c>
      <c r="M49" s="59">
        <f t="shared" si="8"/>
        <v>0</v>
      </c>
      <c r="N49" s="50">
        <f t="shared" si="9"/>
        <v>0</v>
      </c>
    </row>
    <row r="50" spans="1:14" x14ac:dyDescent="0.25">
      <c r="A50" s="46" t="s">
        <v>318</v>
      </c>
      <c r="B50" s="46" t="s">
        <v>9</v>
      </c>
      <c r="C50" s="46" t="s">
        <v>258</v>
      </c>
      <c r="D50" s="46" t="s">
        <v>319</v>
      </c>
      <c r="E50" s="59">
        <v>7.5</v>
      </c>
      <c r="F50" s="59">
        <f t="shared" si="5"/>
        <v>7.6874999999999991</v>
      </c>
      <c r="G50" s="60">
        <f>IF(AND(catpn_1_VLHB_1&gt;0,catpn_1_VLHV_41&gt;0),(dagenperjaar1*VLOOKUP(B50,dagsoorttabel1,2,FALSE))/(((dagenperjaar1*VLOOKUP(B50,dagsoorttabel1,2,FALSE))-catfd_1_VLHV_41)/catpn_1_VLHB_1+catfd_1_VLHV_41/catpn_1_VLHV_41),0)</f>
        <v>0</v>
      </c>
      <c r="H50" s="61">
        <f>IF(AND(catpn_1_VLHB_1&gt;0,catpn_1_VLHV_41&gt;0),(catdw_1_VLHB_1*((dagenperjaar1*VLOOKUP(B50,dagsoorttabel1,2,FALSE))-catfd_1_VLHV_41)/catpn_1_VLHB_1+catdw_1_VLHV_41*catfd_1_VLHV_41/catpn_1_VLHV_41)/(((dagenperjaar1*VLOOKUP(B50,dagsoorttabel1,2,FALSE))-catfd_1_VLHV_41)/catpn_1_VLHB_1+catfd_1_VLHV_41/catpn_1_VLHV_41),0)</f>
        <v>0</v>
      </c>
      <c r="I50" s="46" t="s">
        <v>109</v>
      </c>
      <c r="J50" s="50">
        <f>IF(AND(catpn_1_VLHB_1&gt;0,catpn_1_VLHV_41&gt;0),(cattf_1_VLHB_1*((dagenperjaar1*VLOOKUP(B50,dagsoorttabel1,2,FALSE))-catfd_1_VLHV_41)/catpn_1_VLHB_1+cattf_1_VLHV_41*catfd_1_VLHV_41/catpn_1_VLHV_41)/(((dagenperjaar1*VLOOKUP(B50,dagsoorttabel1,2,FALSE))-catfd_1_VLHV_41)/catpn_1_VLHB_1+catfd_1_VLHV_41/catpn_1_VLHV_41),0)</f>
        <v>0</v>
      </c>
      <c r="K50" s="59">
        <f t="shared" si="6"/>
        <v>0</v>
      </c>
      <c r="L50" s="50">
        <f t="shared" si="7"/>
        <v>0</v>
      </c>
      <c r="M50" s="59">
        <f t="shared" si="8"/>
        <v>0</v>
      </c>
      <c r="N50" s="50">
        <f t="shared" si="9"/>
        <v>0</v>
      </c>
    </row>
    <row r="51" spans="1:14" x14ac:dyDescent="0.25">
      <c r="A51" s="46" t="s">
        <v>318</v>
      </c>
      <c r="B51" s="46" t="s">
        <v>14</v>
      </c>
      <c r="C51" s="46" t="s">
        <v>258</v>
      </c>
      <c r="D51" s="46" t="s">
        <v>319</v>
      </c>
      <c r="E51" s="59">
        <v>3</v>
      </c>
      <c r="F51" s="59">
        <f t="shared" si="5"/>
        <v>1.23</v>
      </c>
      <c r="G51" s="60">
        <f>IF(AND(catpn_1_VLHB_1&gt;0,catpn_1_VLHV_41&gt;0),(dagenperjaar1*VLOOKUP(B51,dagsoorttabel1,2,FALSE))/(((dagenperjaar1*VLOOKUP(B51,dagsoorttabel1,2,FALSE))-catfd_1_VLHV_41)/catpn_1_VLHB_1+catfd_1_VLHV_41/catpn_1_VLHV_41),0)</f>
        <v>0</v>
      </c>
      <c r="H51" s="61">
        <f>IF(AND(catpn_1_VLHB_1&gt;0,catpn_1_VLHV_41&gt;0),(catdw_1_VLHB_1*((dagenperjaar1*VLOOKUP(B51,dagsoorttabel1,2,FALSE))-catfd_1_VLHV_41)/catpn_1_VLHB_1+catdw_1_VLHV_41*catfd_1_VLHV_41/catpn_1_VLHV_41)/(((dagenperjaar1*VLOOKUP(B51,dagsoorttabel1,2,FALSE))-catfd_1_VLHV_41)/catpn_1_VLHB_1+catfd_1_VLHV_41/catpn_1_VLHV_41),0)</f>
        <v>0</v>
      </c>
      <c r="I51" s="46" t="s">
        <v>109</v>
      </c>
      <c r="J51" s="50">
        <f>IF(AND(catpn_1_VLHB_1&gt;0,catpn_1_VLHV_41&gt;0),(cattf_1_VLHB_1*((dagenperjaar1*VLOOKUP(B51,dagsoorttabel1,2,FALSE))-catfd_1_VLHV_41)/catpn_1_VLHB_1+cattf_1_VLHV_41*catfd_1_VLHV_41/catpn_1_VLHV_41)/(((dagenperjaar1*VLOOKUP(B51,dagsoorttabel1,2,FALSE))-catfd_1_VLHV_41)/catpn_1_VLHB_1+catfd_1_VLHV_41/catpn_1_VLHV_41),0)</f>
        <v>0</v>
      </c>
      <c r="K51" s="59">
        <f t="shared" si="6"/>
        <v>0</v>
      </c>
      <c r="L51" s="50">
        <f t="shared" si="7"/>
        <v>0</v>
      </c>
      <c r="M51" s="59">
        <f t="shared" si="8"/>
        <v>0</v>
      </c>
      <c r="N51" s="50">
        <f t="shared" si="9"/>
        <v>0</v>
      </c>
    </row>
    <row r="52" spans="1:14" x14ac:dyDescent="0.25">
      <c r="A52" s="46" t="s">
        <v>320</v>
      </c>
      <c r="B52" s="46" t="s">
        <v>9</v>
      </c>
      <c r="C52" s="46" t="s">
        <v>258</v>
      </c>
      <c r="D52" s="46" t="s">
        <v>321</v>
      </c>
      <c r="E52" s="59">
        <v>291.2</v>
      </c>
      <c r="F52" s="59">
        <f t="shared" si="5"/>
        <v>298.47999999999996</v>
      </c>
      <c r="G52" s="60">
        <f>IF(AND(catpn_1_VOHB_1&gt;0,catpn_1_VOHV_41&gt;0),(dagenperjaar1*VLOOKUP(B52,dagsoorttabel1,2,FALSE))/(((dagenperjaar1*VLOOKUP(B52,dagsoorttabel1,2,FALSE))-catfd_1_VOHV_41)/catpn_1_VOHB_1+catfd_1_VOHV_41/catpn_1_VOHV_41),0)</f>
        <v>0</v>
      </c>
      <c r="H52" s="61">
        <f>IF(AND(catpn_1_VOHB_1&gt;0,catpn_1_VOHV_41&gt;0),(catdw_1_VOHB_1*((dagenperjaar1*VLOOKUP(B52,dagsoorttabel1,2,FALSE))-catfd_1_VOHV_41)/catpn_1_VOHB_1+catdw_1_VOHV_41*catfd_1_VOHV_41/catpn_1_VOHV_41)/(((dagenperjaar1*VLOOKUP(B52,dagsoorttabel1,2,FALSE))-catfd_1_VOHV_41)/catpn_1_VOHB_1+catfd_1_VOHV_41/catpn_1_VOHV_41),0)</f>
        <v>0</v>
      </c>
      <c r="I52" s="46" t="s">
        <v>109</v>
      </c>
      <c r="J52" s="50">
        <f>IF(AND(catpn_1_VOHB_1&gt;0,catpn_1_VOHV_41&gt;0),(cattf_1_VOHB_1*((dagenperjaar1*VLOOKUP(B52,dagsoorttabel1,2,FALSE))-catfd_1_VOHV_41)/catpn_1_VOHB_1+cattf_1_VOHV_41*catfd_1_VOHV_41/catpn_1_VOHV_41)/(((dagenperjaar1*VLOOKUP(B52,dagsoorttabel1,2,FALSE))-catfd_1_VOHV_41)/catpn_1_VOHB_1+catfd_1_VOHV_41/catpn_1_VOHV_41),0)</f>
        <v>0</v>
      </c>
      <c r="K52" s="59">
        <f t="shared" si="6"/>
        <v>0</v>
      </c>
      <c r="L52" s="50">
        <f t="shared" si="7"/>
        <v>0</v>
      </c>
      <c r="M52" s="59">
        <f t="shared" si="8"/>
        <v>0</v>
      </c>
      <c r="N52" s="50">
        <f t="shared" si="9"/>
        <v>0</v>
      </c>
    </row>
    <row r="53" spans="1:14" x14ac:dyDescent="0.25">
      <c r="A53" s="46" t="s">
        <v>320</v>
      </c>
      <c r="B53" s="46" t="s">
        <v>14</v>
      </c>
      <c r="C53" s="46" t="s">
        <v>258</v>
      </c>
      <c r="D53" s="46" t="s">
        <v>321</v>
      </c>
      <c r="E53" s="59">
        <v>72</v>
      </c>
      <c r="F53" s="59">
        <f t="shared" si="5"/>
        <v>29.52</v>
      </c>
      <c r="G53" s="60">
        <f>IF(AND(catpn_1_VOHB_1&gt;0,catpn_1_VOHV_41&gt;0),(dagenperjaar1*VLOOKUP(B53,dagsoorttabel1,2,FALSE))/(((dagenperjaar1*VLOOKUP(B53,dagsoorttabel1,2,FALSE))-catfd_1_VOHV_41)/catpn_1_VOHB_1+catfd_1_VOHV_41/catpn_1_VOHV_41),0)</f>
        <v>0</v>
      </c>
      <c r="H53" s="61">
        <f>IF(AND(catpn_1_VOHB_1&gt;0,catpn_1_VOHV_41&gt;0),(catdw_1_VOHB_1*((dagenperjaar1*VLOOKUP(B53,dagsoorttabel1,2,FALSE))-catfd_1_VOHV_41)/catpn_1_VOHB_1+catdw_1_VOHV_41*catfd_1_VOHV_41/catpn_1_VOHV_41)/(((dagenperjaar1*VLOOKUP(B53,dagsoorttabel1,2,FALSE))-catfd_1_VOHV_41)/catpn_1_VOHB_1+catfd_1_VOHV_41/catpn_1_VOHV_41),0)</f>
        <v>0</v>
      </c>
      <c r="I53" s="46" t="s">
        <v>109</v>
      </c>
      <c r="J53" s="50">
        <f>IF(AND(catpn_1_VOHB_1&gt;0,catpn_1_VOHV_41&gt;0),(cattf_1_VOHB_1*((dagenperjaar1*VLOOKUP(B53,dagsoorttabel1,2,FALSE))-catfd_1_VOHV_41)/catpn_1_VOHB_1+cattf_1_VOHV_41*catfd_1_VOHV_41/catpn_1_VOHV_41)/(((dagenperjaar1*VLOOKUP(B53,dagsoorttabel1,2,FALSE))-catfd_1_VOHV_41)/catpn_1_VOHB_1+catfd_1_VOHV_41/catpn_1_VOHV_41),0)</f>
        <v>0</v>
      </c>
      <c r="K53" s="59">
        <f t="shared" si="6"/>
        <v>0</v>
      </c>
      <c r="L53" s="50">
        <f t="shared" si="7"/>
        <v>0</v>
      </c>
      <c r="M53" s="59">
        <f t="shared" si="8"/>
        <v>0</v>
      </c>
      <c r="N53" s="50">
        <f t="shared" si="9"/>
        <v>0</v>
      </c>
    </row>
    <row r="54" spans="1:14" x14ac:dyDescent="0.25">
      <c r="A54" s="46" t="s">
        <v>322</v>
      </c>
      <c r="B54" s="46" t="s">
        <v>20</v>
      </c>
      <c r="C54" s="46" t="s">
        <v>258</v>
      </c>
      <c r="D54" s="46" t="s">
        <v>323</v>
      </c>
      <c r="E54" s="59">
        <v>9</v>
      </c>
      <c r="F54" s="59">
        <f t="shared" si="5"/>
        <v>0.54</v>
      </c>
      <c r="G54" s="60">
        <f>IF(AND(catpn_1_VTHB_1&gt;0,catpn_1_VTHV_12&gt;0),(dagenperjaar1*VLOOKUP(B54,dagsoorttabel1,2,FALSE))/(((dagenperjaar1*VLOOKUP(B54,dagsoorttabel1,2,FALSE))-catfd_1_VTHV_12)/catpn_1_VTHB_1+catfd_1_VTHV_12/catpn_1_VTHV_12),0)</f>
        <v>0</v>
      </c>
      <c r="H54" s="61">
        <f>IF(AND(catpn_1_VTHB_1&gt;0,catpn_1_VTHV_12&gt;0),(catdw_1_VTHB_1*((dagenperjaar1*VLOOKUP(B54,dagsoorttabel1,2,FALSE))-catfd_1_VTHV_12)/catpn_1_VTHB_1+catdw_1_VTHV_12*catfd_1_VTHV_12/catpn_1_VTHV_12)/(((dagenperjaar1*VLOOKUP(B54,dagsoorttabel1,2,FALSE))-catfd_1_VTHV_12)/catpn_1_VTHB_1+catfd_1_VTHV_12/catpn_1_VTHV_12),0)</f>
        <v>0</v>
      </c>
      <c r="I54" s="46" t="s">
        <v>109</v>
      </c>
      <c r="J54" s="50">
        <f>IF(AND(catpn_1_VTHB_1&gt;0,catpn_1_VTHV_12&gt;0),(cattf_1_VTHB_1*((dagenperjaar1*VLOOKUP(B54,dagsoorttabel1,2,FALSE))-catfd_1_VTHV_12)/catpn_1_VTHB_1+cattf_1_VTHV_12*catfd_1_VTHV_12/catpn_1_VTHV_12)/(((dagenperjaar1*VLOOKUP(B54,dagsoorttabel1,2,FALSE))-catfd_1_VTHV_12)/catpn_1_VTHB_1+catfd_1_VTHV_12/catpn_1_VTHV_12),0)</f>
        <v>0</v>
      </c>
      <c r="K54" s="59">
        <f t="shared" si="6"/>
        <v>0</v>
      </c>
      <c r="L54" s="50">
        <f t="shared" si="7"/>
        <v>0</v>
      </c>
      <c r="M54" s="59">
        <f t="shared" si="8"/>
        <v>0</v>
      </c>
      <c r="N54" s="50">
        <f t="shared" si="9"/>
        <v>0</v>
      </c>
    </row>
    <row r="55" spans="1:14" x14ac:dyDescent="0.25">
      <c r="A55" s="46" t="s">
        <v>322</v>
      </c>
      <c r="B55" s="46" t="s">
        <v>9</v>
      </c>
      <c r="C55" s="46" t="s">
        <v>258</v>
      </c>
      <c r="D55" s="46" t="s">
        <v>323</v>
      </c>
      <c r="E55" s="59">
        <v>380.9</v>
      </c>
      <c r="F55" s="59">
        <f t="shared" si="5"/>
        <v>390.42249999999996</v>
      </c>
      <c r="G55" s="60">
        <f>IF(AND(catpn_1_VTHB_1&gt;0,catpn_1_VTHV_41&gt;0),(dagenperjaar1*VLOOKUP(B55,dagsoorttabel1,2,FALSE))/(((dagenperjaar1*VLOOKUP(B55,dagsoorttabel1,2,FALSE))-catfd_1_VTHV_41)/catpn_1_VTHB_1+catfd_1_VTHV_41/catpn_1_VTHV_41),0)</f>
        <v>0</v>
      </c>
      <c r="H55" s="61">
        <f>IF(AND(catpn_1_VTHB_1&gt;0,catpn_1_VTHV_41&gt;0),(catdw_1_VTHB_1*((dagenperjaar1*VLOOKUP(B55,dagsoorttabel1,2,FALSE))-catfd_1_VTHV_41)/catpn_1_VTHB_1+catdw_1_VTHV_41*catfd_1_VTHV_41/catpn_1_VTHV_41)/(((dagenperjaar1*VLOOKUP(B55,dagsoorttabel1,2,FALSE))-catfd_1_VTHV_41)/catpn_1_VTHB_1+catfd_1_VTHV_41/catpn_1_VTHV_41),0)</f>
        <v>0</v>
      </c>
      <c r="I55" s="46" t="s">
        <v>109</v>
      </c>
      <c r="J55" s="50">
        <f>IF(AND(catpn_1_VTHB_1&gt;0,catpn_1_VTHV_41&gt;0),(cattf_1_VTHB_1*((dagenperjaar1*VLOOKUP(B55,dagsoorttabel1,2,FALSE))-catfd_1_VTHV_41)/catpn_1_VTHB_1+cattf_1_VTHV_41*catfd_1_VTHV_41/catpn_1_VTHV_41)/(((dagenperjaar1*VLOOKUP(B55,dagsoorttabel1,2,FALSE))-catfd_1_VTHV_41)/catpn_1_VTHB_1+catfd_1_VTHV_41/catpn_1_VTHV_41),0)</f>
        <v>0</v>
      </c>
      <c r="K55" s="59">
        <f t="shared" si="6"/>
        <v>0</v>
      </c>
      <c r="L55" s="50">
        <f t="shared" si="7"/>
        <v>0</v>
      </c>
      <c r="M55" s="59">
        <f t="shared" si="8"/>
        <v>0</v>
      </c>
      <c r="N55" s="50">
        <f t="shared" si="9"/>
        <v>0</v>
      </c>
    </row>
    <row r="56" spans="1:14" x14ac:dyDescent="0.25">
      <c r="A56" s="51" t="s">
        <v>324</v>
      </c>
      <c r="B56" s="51" t="s">
        <v>24</v>
      </c>
      <c r="C56" s="51" t="s">
        <v>325</v>
      </c>
      <c r="D56" s="51" t="s">
        <v>326</v>
      </c>
      <c r="E56" s="62">
        <v>1893.4</v>
      </c>
      <c r="F56" s="62">
        <f t="shared" si="5"/>
        <v>18.934000000000001</v>
      </c>
      <c r="G56" s="63">
        <f>catpn_1_XDGB_1</f>
        <v>0</v>
      </c>
      <c r="H56" s="64">
        <f>catdw_1_XDGB_1</f>
        <v>0</v>
      </c>
      <c r="I56" s="51" t="s">
        <v>109</v>
      </c>
      <c r="J56" s="55">
        <f>cattf_1_XDGB_1</f>
        <v>0</v>
      </c>
      <c r="K56" s="62">
        <f t="shared" si="6"/>
        <v>0</v>
      </c>
      <c r="L56" s="55">
        <f t="shared" si="7"/>
        <v>0</v>
      </c>
      <c r="M56" s="62">
        <f t="shared" si="8"/>
        <v>0</v>
      </c>
      <c r="N56" s="55">
        <f t="shared" si="9"/>
        <v>0</v>
      </c>
    </row>
    <row r="57" spans="1:14" x14ac:dyDescent="0.25">
      <c r="A57" s="65" t="s">
        <v>327</v>
      </c>
      <c r="B57" s="66"/>
      <c r="C57" s="66"/>
      <c r="D57" s="66"/>
      <c r="E57" s="66"/>
      <c r="F57" s="66"/>
      <c r="G57" s="66"/>
      <c r="H57" s="66"/>
      <c r="I57" s="66"/>
      <c r="J57" s="66"/>
      <c r="K57" s="67">
        <f>SUM(K6:K56)</f>
        <v>0</v>
      </c>
      <c r="L57" s="68">
        <f>SUM(L6:L56)</f>
        <v>0</v>
      </c>
      <c r="M57" s="67">
        <f>SUM(M6:M56)</f>
        <v>0</v>
      </c>
      <c r="N57" s="69">
        <f>SUM(N6:N56)</f>
        <v>0</v>
      </c>
    </row>
    <row r="58" spans="1:14" x14ac:dyDescent="0.25">
      <c r="A58" s="70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71"/>
    </row>
    <row r="59" spans="1:14" x14ac:dyDescent="0.25">
      <c r="A59" s="65" t="s">
        <v>328</v>
      </c>
      <c r="B59" s="66"/>
      <c r="C59" s="66"/>
      <c r="D59" s="66"/>
      <c r="E59" s="66"/>
      <c r="F59" s="66"/>
      <c r="G59" s="66"/>
      <c r="H59" s="66"/>
      <c r="I59" s="66"/>
      <c r="J59" s="68">
        <f>IF(urenjaar1&gt;0,SUMIF(M6:M56,"&gt;0",N6:N56)/urenjaar1,0)</f>
        <v>0</v>
      </c>
      <c r="K59" s="66"/>
      <c r="L59" s="66"/>
      <c r="M59" s="66"/>
      <c r="N59" s="71"/>
    </row>
    <row r="60" spans="1:14" x14ac:dyDescent="0.25">
      <c r="A60" s="70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71"/>
    </row>
    <row r="62" spans="1:14" x14ac:dyDescent="0.25">
      <c r="A62" s="65" t="s">
        <v>329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7">
        <f>urenjaar1</f>
        <v>0</v>
      </c>
      <c r="N62" s="68">
        <f>prijsjaar1</f>
        <v>0</v>
      </c>
    </row>
  </sheetData>
  <sheetProtection algorithmName="SHA-512" hashValue="374ECgd8nlOGn4k2uOyQNgh+msUJifCiyP653OI+5O6a8iz/DCH1DOauUBemNJMqBRV2gCEMJEL64aKyzxAYmA==" saltValue="M+xitOXQzjqXpcw5JctZ6A==" spinCount="100000" sheet="1" objects="1" scenarios="1" autoFilter="0"/>
  <pageMargins left="0.7" right="0.7" top="0.75" bottom="0.75" header="0.3" footer="0.3"/>
  <pageSetup paperSize="9" scale="70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651C-3829-4CDD-A781-94661ECDC3EE}">
  <dimension ref="A1:V82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M15" sqref="M15"/>
    </sheetView>
  </sheetViews>
  <sheetFormatPr defaultColWidth="8.90625" defaultRowHeight="11.5" x14ac:dyDescent="0.25"/>
  <cols>
    <col min="1" max="1" width="8.6328125" style="2" customWidth="1"/>
    <col min="2" max="3" width="7.6328125" style="2" customWidth="1"/>
    <col min="4" max="4" width="10.6328125" style="2" customWidth="1"/>
    <col min="5" max="5" width="25.6328125" style="2" customWidth="1"/>
    <col min="6" max="6" width="11.6328125" style="2" customWidth="1"/>
    <col min="7" max="7" width="7.6328125" style="2" customWidth="1"/>
    <col min="8" max="8" width="6.6328125" style="2" customWidth="1"/>
    <col min="9" max="9" width="8.6328125" style="2" customWidth="1"/>
    <col min="10" max="10" width="40.6328125" style="2" customWidth="1"/>
    <col min="11" max="13" width="10.6328125" style="2" customWidth="1"/>
    <col min="14" max="15" width="11.6328125" style="2" customWidth="1"/>
    <col min="16" max="16" width="9.6328125" style="2" customWidth="1"/>
    <col min="17" max="20" width="11.6328125" style="2" customWidth="1"/>
    <col min="21" max="21" width="12.6328125" style="2" customWidth="1"/>
    <col min="22" max="22" width="14.6328125" style="2" customWidth="1"/>
    <col min="23" max="16384" width="8.90625" style="2"/>
  </cols>
  <sheetData>
    <row r="1" spans="1:22" x14ac:dyDescent="0.25">
      <c r="A1" s="1" t="str">
        <f>CONCATENATE("Bijlage 7.1.3: ",tabeltype," ruimten werkdag")</f>
        <v>Bijlage 7.1.3: Invultabel ruimten werkdag</v>
      </c>
    </row>
    <row r="3" spans="1:22" ht="34.5" x14ac:dyDescent="0.25">
      <c r="A3" s="72" t="s">
        <v>330</v>
      </c>
      <c r="B3" s="34" t="s">
        <v>331</v>
      </c>
      <c r="C3" s="34" t="s">
        <v>332</v>
      </c>
      <c r="D3" s="34" t="s">
        <v>333</v>
      </c>
      <c r="E3" s="34" t="s">
        <v>334</v>
      </c>
      <c r="F3" s="34" t="s">
        <v>335</v>
      </c>
      <c r="G3" s="34" t="s">
        <v>249</v>
      </c>
      <c r="H3" s="34" t="s">
        <v>7</v>
      </c>
      <c r="I3" s="34" t="s">
        <v>336</v>
      </c>
      <c r="J3" s="34" t="s">
        <v>337</v>
      </c>
      <c r="K3" s="34" t="s">
        <v>338</v>
      </c>
      <c r="L3" s="34" t="s">
        <v>251</v>
      </c>
      <c r="M3" s="34" t="s">
        <v>252</v>
      </c>
      <c r="N3" s="34" t="s">
        <v>101</v>
      </c>
      <c r="O3" s="34" t="s">
        <v>102</v>
      </c>
      <c r="P3" s="34" t="s">
        <v>103</v>
      </c>
      <c r="Q3" s="34" t="s">
        <v>104</v>
      </c>
      <c r="R3" s="34" t="s">
        <v>253</v>
      </c>
      <c r="S3" s="34" t="s">
        <v>339</v>
      </c>
      <c r="T3" s="34" t="s">
        <v>254</v>
      </c>
      <c r="U3" s="34" t="s">
        <v>255</v>
      </c>
      <c r="V3" s="73" t="s">
        <v>256</v>
      </c>
    </row>
    <row r="4" spans="1:22" x14ac:dyDescent="0.25">
      <c r="A4" s="74" t="s">
        <v>340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75"/>
    </row>
    <row r="5" spans="1:22" x14ac:dyDescent="0.25">
      <c r="A5" s="76" t="s">
        <v>341</v>
      </c>
      <c r="B5" s="77" t="s">
        <v>42</v>
      </c>
      <c r="C5" s="77" t="s">
        <v>342</v>
      </c>
      <c r="D5" s="77" t="s">
        <v>343</v>
      </c>
      <c r="E5" s="78" t="s">
        <v>344</v>
      </c>
      <c r="F5" s="77" t="s">
        <v>345</v>
      </c>
      <c r="G5" s="77" t="s">
        <v>272</v>
      </c>
      <c r="H5" s="77" t="s">
        <v>9</v>
      </c>
      <c r="I5" s="77" t="s">
        <v>258</v>
      </c>
      <c r="J5" s="78" t="s">
        <v>273</v>
      </c>
      <c r="K5" s="77" t="s">
        <v>346</v>
      </c>
      <c r="L5" s="79">
        <v>812.8</v>
      </c>
      <c r="M5" s="79">
        <f>L5*VLOOKUP(H5,dagsoorttabel1,2,FALSE)</f>
        <v>833.11999999999989</v>
      </c>
      <c r="N5" s="80">
        <f>prodnorm19</f>
        <v>0</v>
      </c>
      <c r="O5" s="81">
        <f>dagwerk19</f>
        <v>0</v>
      </c>
      <c r="P5" s="77" t="s">
        <v>109</v>
      </c>
      <c r="Q5" s="82">
        <f>uurtarief19</f>
        <v>0</v>
      </c>
      <c r="R5" s="79" t="e">
        <f>IF(ISBLANK(N5),0,M5/ROUND(N5,4))</f>
        <v>#DIV/0!</v>
      </c>
      <c r="S5" s="79" t="e">
        <f>IF(ISBLANK(N5),0,R5*ROUND(O5,2))</f>
        <v>#DIV/0!</v>
      </c>
      <c r="T5" s="82" t="e">
        <f>ROUND(Q5,2)*R5</f>
        <v>#DIV/0!</v>
      </c>
      <c r="U5" s="79" t="e">
        <f>R5*dagenperjaar1</f>
        <v>#DIV/0!</v>
      </c>
      <c r="V5" s="83" t="e">
        <f>U5*ROUND(Q5,2)</f>
        <v>#DIV/0!</v>
      </c>
    </row>
    <row r="6" spans="1:22" x14ac:dyDescent="0.25">
      <c r="A6" s="84" t="s">
        <v>341</v>
      </c>
      <c r="B6" s="85" t="s">
        <v>42</v>
      </c>
      <c r="C6" s="85" t="s">
        <v>342</v>
      </c>
      <c r="D6" s="85" t="s">
        <v>347</v>
      </c>
      <c r="E6" s="86" t="s">
        <v>348</v>
      </c>
      <c r="F6" s="85" t="s">
        <v>349</v>
      </c>
      <c r="G6" s="85" t="s">
        <v>350</v>
      </c>
      <c r="H6" s="85"/>
      <c r="I6" s="85"/>
      <c r="J6" s="85"/>
      <c r="K6" s="85" t="s">
        <v>42</v>
      </c>
      <c r="L6" s="87">
        <v>1.9000000000000001</v>
      </c>
      <c r="M6" s="87"/>
      <c r="N6" s="88"/>
      <c r="O6" s="33"/>
      <c r="P6" s="85"/>
      <c r="Q6" s="21"/>
      <c r="R6" s="87"/>
      <c r="S6" s="87"/>
      <c r="T6" s="21"/>
      <c r="U6" s="89"/>
      <c r="V6" s="22"/>
    </row>
    <row r="7" spans="1:22" x14ac:dyDescent="0.25">
      <c r="A7" s="84" t="s">
        <v>341</v>
      </c>
      <c r="B7" s="85" t="s">
        <v>42</v>
      </c>
      <c r="C7" s="85" t="s">
        <v>342</v>
      </c>
      <c r="D7" s="85" t="s">
        <v>351</v>
      </c>
      <c r="E7" s="86" t="s">
        <v>352</v>
      </c>
      <c r="F7" s="85" t="s">
        <v>353</v>
      </c>
      <c r="G7" s="85" t="s">
        <v>350</v>
      </c>
      <c r="H7" s="85"/>
      <c r="I7" s="85"/>
      <c r="J7" s="85"/>
      <c r="K7" s="85" t="s">
        <v>42</v>
      </c>
      <c r="L7" s="87">
        <v>19.7</v>
      </c>
      <c r="M7" s="87"/>
      <c r="N7" s="88"/>
      <c r="O7" s="33"/>
      <c r="P7" s="85"/>
      <c r="Q7" s="21"/>
      <c r="R7" s="87"/>
      <c r="S7" s="87"/>
      <c r="T7" s="21"/>
      <c r="U7" s="89"/>
      <c r="V7" s="22"/>
    </row>
    <row r="8" spans="1:22" x14ac:dyDescent="0.25">
      <c r="A8" s="84" t="s">
        <v>341</v>
      </c>
      <c r="B8" s="85" t="s">
        <v>42</v>
      </c>
      <c r="C8" s="85" t="s">
        <v>342</v>
      </c>
      <c r="D8" s="85" t="s">
        <v>354</v>
      </c>
      <c r="E8" s="86" t="s">
        <v>355</v>
      </c>
      <c r="F8" s="85" t="s">
        <v>353</v>
      </c>
      <c r="G8" s="85" t="s">
        <v>350</v>
      </c>
      <c r="H8" s="85"/>
      <c r="I8" s="85"/>
      <c r="J8" s="85"/>
      <c r="K8" s="85" t="s">
        <v>42</v>
      </c>
      <c r="L8" s="87">
        <v>4.5</v>
      </c>
      <c r="M8" s="87"/>
      <c r="N8" s="88"/>
      <c r="O8" s="33"/>
      <c r="P8" s="85"/>
      <c r="Q8" s="21"/>
      <c r="R8" s="87"/>
      <c r="S8" s="87"/>
      <c r="T8" s="21"/>
      <c r="U8" s="89"/>
      <c r="V8" s="22"/>
    </row>
    <row r="9" spans="1:22" x14ac:dyDescent="0.25">
      <c r="A9" s="84" t="s">
        <v>341</v>
      </c>
      <c r="B9" s="85" t="s">
        <v>42</v>
      </c>
      <c r="C9" s="85" t="s">
        <v>342</v>
      </c>
      <c r="D9" s="85" t="s">
        <v>356</v>
      </c>
      <c r="E9" s="86" t="s">
        <v>357</v>
      </c>
      <c r="F9" s="85" t="s">
        <v>353</v>
      </c>
      <c r="G9" s="85" t="s">
        <v>350</v>
      </c>
      <c r="H9" s="85"/>
      <c r="I9" s="85"/>
      <c r="J9" s="85"/>
      <c r="K9" s="85" t="s">
        <v>42</v>
      </c>
      <c r="L9" s="87">
        <v>20.5</v>
      </c>
      <c r="M9" s="87"/>
      <c r="N9" s="88"/>
      <c r="O9" s="33"/>
      <c r="P9" s="85"/>
      <c r="Q9" s="21"/>
      <c r="R9" s="87"/>
      <c r="S9" s="87"/>
      <c r="T9" s="21"/>
      <c r="U9" s="89"/>
      <c r="V9" s="22"/>
    </row>
    <row r="10" spans="1:22" x14ac:dyDescent="0.25">
      <c r="A10" s="84" t="s">
        <v>341</v>
      </c>
      <c r="B10" s="85" t="s">
        <v>42</v>
      </c>
      <c r="C10" s="85" t="s">
        <v>342</v>
      </c>
      <c r="D10" s="85" t="s">
        <v>358</v>
      </c>
      <c r="E10" s="86" t="s">
        <v>359</v>
      </c>
      <c r="F10" s="85" t="s">
        <v>353</v>
      </c>
      <c r="G10" s="85" t="s">
        <v>350</v>
      </c>
      <c r="H10" s="85"/>
      <c r="I10" s="85"/>
      <c r="J10" s="85"/>
      <c r="K10" s="85" t="s">
        <v>42</v>
      </c>
      <c r="L10" s="87">
        <v>21.3</v>
      </c>
      <c r="M10" s="87"/>
      <c r="N10" s="88"/>
      <c r="O10" s="33"/>
      <c r="P10" s="85"/>
      <c r="Q10" s="21"/>
      <c r="R10" s="87"/>
      <c r="S10" s="87"/>
      <c r="T10" s="21"/>
      <c r="U10" s="89"/>
      <c r="V10" s="22"/>
    </row>
    <row r="11" spans="1:22" x14ac:dyDescent="0.25">
      <c r="A11" s="84" t="s">
        <v>341</v>
      </c>
      <c r="B11" s="85" t="s">
        <v>42</v>
      </c>
      <c r="C11" s="85" t="s">
        <v>342</v>
      </c>
      <c r="D11" s="85" t="s">
        <v>360</v>
      </c>
      <c r="E11" s="86" t="s">
        <v>361</v>
      </c>
      <c r="F11" s="85" t="s">
        <v>353</v>
      </c>
      <c r="G11" s="85" t="s">
        <v>350</v>
      </c>
      <c r="H11" s="85"/>
      <c r="I11" s="85"/>
      <c r="J11" s="85"/>
      <c r="K11" s="85" t="s">
        <v>42</v>
      </c>
      <c r="L11" s="87">
        <v>19.5</v>
      </c>
      <c r="M11" s="87"/>
      <c r="N11" s="88"/>
      <c r="O11" s="33"/>
      <c r="P11" s="85"/>
      <c r="Q11" s="21"/>
      <c r="R11" s="87"/>
      <c r="S11" s="87"/>
      <c r="T11" s="21"/>
      <c r="U11" s="89"/>
      <c r="V11" s="22"/>
    </row>
    <row r="12" spans="1:22" x14ac:dyDescent="0.25">
      <c r="A12" s="84" t="s">
        <v>341</v>
      </c>
      <c r="B12" s="85" t="s">
        <v>42</v>
      </c>
      <c r="C12" s="85" t="s">
        <v>342</v>
      </c>
      <c r="D12" s="85" t="s">
        <v>362</v>
      </c>
      <c r="E12" s="86" t="s">
        <v>357</v>
      </c>
      <c r="F12" s="85" t="s">
        <v>353</v>
      </c>
      <c r="G12" s="85" t="s">
        <v>350</v>
      </c>
      <c r="H12" s="85"/>
      <c r="I12" s="85"/>
      <c r="J12" s="85"/>
      <c r="K12" s="85" t="s">
        <v>42</v>
      </c>
      <c r="L12" s="87">
        <v>20.9</v>
      </c>
      <c r="M12" s="87"/>
      <c r="N12" s="88"/>
      <c r="O12" s="33"/>
      <c r="P12" s="85"/>
      <c r="Q12" s="21"/>
      <c r="R12" s="87"/>
      <c r="S12" s="87"/>
      <c r="T12" s="21"/>
      <c r="U12" s="89"/>
      <c r="V12" s="22"/>
    </row>
    <row r="13" spans="1:22" x14ac:dyDescent="0.25">
      <c r="A13" s="84" t="s">
        <v>341</v>
      </c>
      <c r="B13" s="85" t="s">
        <v>42</v>
      </c>
      <c r="C13" s="85" t="s">
        <v>342</v>
      </c>
      <c r="D13" s="85" t="s">
        <v>363</v>
      </c>
      <c r="E13" s="86" t="s">
        <v>364</v>
      </c>
      <c r="F13" s="85" t="s">
        <v>353</v>
      </c>
      <c r="G13" s="85" t="s">
        <v>257</v>
      </c>
      <c r="H13" s="85" t="s">
        <v>12</v>
      </c>
      <c r="I13" s="85" t="s">
        <v>258</v>
      </c>
      <c r="J13" s="86" t="s">
        <v>259</v>
      </c>
      <c r="K13" s="85" t="s">
        <v>365</v>
      </c>
      <c r="L13" s="87">
        <v>23.9</v>
      </c>
      <c r="M13" s="87">
        <f>L13*VLOOKUP(H13,dagsoorttabel1,2,FALSE)</f>
        <v>14.698499999999999</v>
      </c>
      <c r="N13" s="88">
        <f>prodnorm5</f>
        <v>0</v>
      </c>
      <c r="O13" s="33">
        <f>dagwerk5</f>
        <v>0</v>
      </c>
      <c r="P13" s="85" t="s">
        <v>109</v>
      </c>
      <c r="Q13" s="21">
        <f>uurtarief5</f>
        <v>0</v>
      </c>
      <c r="R13" s="87" t="e">
        <f>IF(ISBLANK(N13),0,M13/ROUND(N13,4))</f>
        <v>#DIV/0!</v>
      </c>
      <c r="S13" s="87" t="e">
        <f>IF(ISBLANK(N13),0,R13*ROUND(O13,2))</f>
        <v>#DIV/0!</v>
      </c>
      <c r="T13" s="21" t="e">
        <f>ROUND(Q13,2)*R13</f>
        <v>#DIV/0!</v>
      </c>
      <c r="U13" s="87" t="e">
        <f>R13*dagenperjaar1</f>
        <v>#DIV/0!</v>
      </c>
      <c r="V13" s="22" t="e">
        <f>U13*ROUND(Q13,2)</f>
        <v>#DIV/0!</v>
      </c>
    </row>
    <row r="14" spans="1:22" x14ac:dyDescent="0.25">
      <c r="A14" s="84" t="s">
        <v>341</v>
      </c>
      <c r="B14" s="85" t="s">
        <v>42</v>
      </c>
      <c r="C14" s="85" t="s">
        <v>342</v>
      </c>
      <c r="D14" s="85" t="s">
        <v>363</v>
      </c>
      <c r="E14" s="86" t="s">
        <v>364</v>
      </c>
      <c r="F14" s="85" t="s">
        <v>353</v>
      </c>
      <c r="G14" s="85" t="s">
        <v>262</v>
      </c>
      <c r="H14" s="85" t="s">
        <v>14</v>
      </c>
      <c r="I14" s="85" t="s">
        <v>258</v>
      </c>
      <c r="J14" s="86" t="s">
        <v>263</v>
      </c>
      <c r="K14" s="85" t="s">
        <v>365</v>
      </c>
      <c r="L14" s="87">
        <v>23.9</v>
      </c>
      <c r="M14" s="87">
        <f>L14*VLOOKUP(H14,dagsoorttabel1,2,FALSE)</f>
        <v>9.7989999999999995</v>
      </c>
      <c r="N14" s="88">
        <f>prodnorm10</f>
        <v>0</v>
      </c>
      <c r="O14" s="33">
        <f>dagwerk10</f>
        <v>0</v>
      </c>
      <c r="P14" s="85" t="s">
        <v>109</v>
      </c>
      <c r="Q14" s="21">
        <f>uurtarief10</f>
        <v>0</v>
      </c>
      <c r="R14" s="87" t="e">
        <f>IF(ISBLANK(N14),0,M14/ROUND(N14,4))</f>
        <v>#DIV/0!</v>
      </c>
      <c r="S14" s="87" t="e">
        <f>IF(ISBLANK(N14),0,R14*ROUND(O14,2))</f>
        <v>#DIV/0!</v>
      </c>
      <c r="T14" s="21" t="e">
        <f>ROUND(Q14,2)*R14</f>
        <v>#DIV/0!</v>
      </c>
      <c r="U14" s="87" t="e">
        <f>R14*dagenperjaar1</f>
        <v>#DIV/0!</v>
      </c>
      <c r="V14" s="22" t="e">
        <f>U14*ROUND(Q14,2)</f>
        <v>#DIV/0!</v>
      </c>
    </row>
    <row r="15" spans="1:22" x14ac:dyDescent="0.25">
      <c r="A15" s="84" t="s">
        <v>341</v>
      </c>
      <c r="B15" s="85" t="s">
        <v>42</v>
      </c>
      <c r="C15" s="85" t="s">
        <v>342</v>
      </c>
      <c r="D15" s="85" t="s">
        <v>366</v>
      </c>
      <c r="E15" s="86" t="s">
        <v>367</v>
      </c>
      <c r="F15" s="85" t="s">
        <v>353</v>
      </c>
      <c r="G15" s="85" t="s">
        <v>350</v>
      </c>
      <c r="H15" s="85"/>
      <c r="I15" s="85"/>
      <c r="J15" s="85"/>
      <c r="K15" s="85" t="s">
        <v>42</v>
      </c>
      <c r="L15" s="87">
        <v>13.97</v>
      </c>
      <c r="M15" s="87"/>
      <c r="N15" s="88"/>
      <c r="O15" s="33"/>
      <c r="P15" s="85"/>
      <c r="Q15" s="21"/>
      <c r="R15" s="87"/>
      <c r="S15" s="87"/>
      <c r="T15" s="21"/>
      <c r="U15" s="89"/>
      <c r="V15" s="22"/>
    </row>
    <row r="16" spans="1:22" x14ac:dyDescent="0.25">
      <c r="A16" s="84" t="s">
        <v>341</v>
      </c>
      <c r="B16" s="85" t="s">
        <v>42</v>
      </c>
      <c r="C16" s="85" t="s">
        <v>342</v>
      </c>
      <c r="D16" s="85" t="s">
        <v>368</v>
      </c>
      <c r="E16" s="86" t="s">
        <v>369</v>
      </c>
      <c r="F16" s="85" t="s">
        <v>353</v>
      </c>
      <c r="G16" s="85" t="s">
        <v>302</v>
      </c>
      <c r="H16" s="85" t="s">
        <v>9</v>
      </c>
      <c r="I16" s="85" t="s">
        <v>258</v>
      </c>
      <c r="J16" s="86" t="s">
        <v>303</v>
      </c>
      <c r="K16" s="85" t="s">
        <v>346</v>
      </c>
      <c r="L16" s="87">
        <v>67.7</v>
      </c>
      <c r="M16" s="87">
        <f>L16*VLOOKUP(H16,dagsoorttabel1,2,FALSE)</f>
        <v>69.392499999999998</v>
      </c>
      <c r="N16" s="88">
        <f>prodnorm38</f>
        <v>0</v>
      </c>
      <c r="O16" s="33">
        <f>dagwerk38</f>
        <v>0</v>
      </c>
      <c r="P16" s="85" t="s">
        <v>109</v>
      </c>
      <c r="Q16" s="21">
        <f>uurtarief38</f>
        <v>0</v>
      </c>
      <c r="R16" s="87" t="e">
        <f>IF(ISBLANK(N16),0,M16/ROUND(N16,4))</f>
        <v>#DIV/0!</v>
      </c>
      <c r="S16" s="87" t="e">
        <f>IF(ISBLANK(N16),0,R16*ROUND(O16,2))</f>
        <v>#DIV/0!</v>
      </c>
      <c r="T16" s="21" t="e">
        <f>ROUND(Q16,2)*R16</f>
        <v>#DIV/0!</v>
      </c>
      <c r="U16" s="87" t="e">
        <f>R16*dagenperjaar1</f>
        <v>#DIV/0!</v>
      </c>
      <c r="V16" s="22" t="e">
        <f>U16*ROUND(Q16,2)</f>
        <v>#DIV/0!</v>
      </c>
    </row>
    <row r="17" spans="1:22" x14ac:dyDescent="0.25">
      <c r="A17" s="84" t="s">
        <v>341</v>
      </c>
      <c r="B17" s="85" t="s">
        <v>42</v>
      </c>
      <c r="C17" s="85" t="s">
        <v>342</v>
      </c>
      <c r="D17" s="85" t="s">
        <v>370</v>
      </c>
      <c r="E17" s="86" t="s">
        <v>371</v>
      </c>
      <c r="F17" s="85" t="s">
        <v>349</v>
      </c>
      <c r="G17" s="85" t="s">
        <v>350</v>
      </c>
      <c r="H17" s="85"/>
      <c r="I17" s="85"/>
      <c r="J17" s="85"/>
      <c r="K17" s="85" t="s">
        <v>42</v>
      </c>
      <c r="L17" s="87">
        <v>26.27</v>
      </c>
      <c r="M17" s="87"/>
      <c r="N17" s="88"/>
      <c r="O17" s="33"/>
      <c r="P17" s="85"/>
      <c r="Q17" s="21"/>
      <c r="R17" s="87"/>
      <c r="S17" s="87"/>
      <c r="T17" s="21"/>
      <c r="U17" s="89"/>
      <c r="V17" s="22"/>
    </row>
    <row r="18" spans="1:22" x14ac:dyDescent="0.25">
      <c r="A18" s="84" t="s">
        <v>341</v>
      </c>
      <c r="B18" s="85" t="s">
        <v>42</v>
      </c>
      <c r="C18" s="85" t="s">
        <v>342</v>
      </c>
      <c r="D18" s="85" t="s">
        <v>372</v>
      </c>
      <c r="E18" s="86" t="s">
        <v>373</v>
      </c>
      <c r="F18" s="85" t="s">
        <v>353</v>
      </c>
      <c r="G18" s="85" t="s">
        <v>350</v>
      </c>
      <c r="H18" s="85"/>
      <c r="I18" s="85"/>
      <c r="J18" s="85"/>
      <c r="K18" s="85" t="s">
        <v>42</v>
      </c>
      <c r="L18" s="87">
        <v>7</v>
      </c>
      <c r="M18" s="87"/>
      <c r="N18" s="88"/>
      <c r="O18" s="33"/>
      <c r="P18" s="85"/>
      <c r="Q18" s="21"/>
      <c r="R18" s="87"/>
      <c r="S18" s="87"/>
      <c r="T18" s="21"/>
      <c r="U18" s="89"/>
      <c r="V18" s="22"/>
    </row>
    <row r="19" spans="1:22" x14ac:dyDescent="0.25">
      <c r="A19" s="84" t="s">
        <v>341</v>
      </c>
      <c r="B19" s="85" t="s">
        <v>42</v>
      </c>
      <c r="C19" s="85" t="s">
        <v>342</v>
      </c>
      <c r="D19" s="85" t="s">
        <v>374</v>
      </c>
      <c r="E19" s="86" t="s">
        <v>373</v>
      </c>
      <c r="F19" s="85" t="s">
        <v>349</v>
      </c>
      <c r="G19" s="85" t="s">
        <v>312</v>
      </c>
      <c r="H19" s="85" t="s">
        <v>9</v>
      </c>
      <c r="I19" s="85" t="s">
        <v>258</v>
      </c>
      <c r="J19" s="86" t="s">
        <v>313</v>
      </c>
      <c r="K19" s="85" t="s">
        <v>346</v>
      </c>
      <c r="L19" s="87">
        <v>31.8</v>
      </c>
      <c r="M19" s="87">
        <f>L19*VLOOKUP(H19,dagsoorttabel1,2,FALSE)</f>
        <v>32.594999999999999</v>
      </c>
      <c r="N19" s="88">
        <f>prodnorm46</f>
        <v>0</v>
      </c>
      <c r="O19" s="33">
        <f>dagwerk46</f>
        <v>0</v>
      </c>
      <c r="P19" s="85" t="s">
        <v>109</v>
      </c>
      <c r="Q19" s="21">
        <f>uurtarief46</f>
        <v>0</v>
      </c>
      <c r="R19" s="87" t="e">
        <f>IF(ISBLANK(N19),0,M19/ROUND(N19,4))</f>
        <v>#DIV/0!</v>
      </c>
      <c r="S19" s="87" t="e">
        <f>IF(ISBLANK(N19),0,R19*ROUND(O19,2))</f>
        <v>#DIV/0!</v>
      </c>
      <c r="T19" s="21" t="e">
        <f>ROUND(Q19,2)*R19</f>
        <v>#DIV/0!</v>
      </c>
      <c r="U19" s="87" t="e">
        <f>R19*dagenperjaar1</f>
        <v>#DIV/0!</v>
      </c>
      <c r="V19" s="22" t="e">
        <f>U19*ROUND(Q19,2)</f>
        <v>#DIV/0!</v>
      </c>
    </row>
    <row r="20" spans="1:22" x14ac:dyDescent="0.25">
      <c r="A20" s="84" t="s">
        <v>341</v>
      </c>
      <c r="B20" s="85" t="s">
        <v>42</v>
      </c>
      <c r="C20" s="85" t="s">
        <v>342</v>
      </c>
      <c r="D20" s="85" t="s">
        <v>375</v>
      </c>
      <c r="E20" s="86" t="s">
        <v>373</v>
      </c>
      <c r="F20" s="85" t="s">
        <v>353</v>
      </c>
      <c r="G20" s="85" t="s">
        <v>350</v>
      </c>
      <c r="H20" s="85"/>
      <c r="I20" s="85"/>
      <c r="J20" s="85"/>
      <c r="K20" s="85" t="s">
        <v>346</v>
      </c>
      <c r="L20" s="87">
        <v>10.5</v>
      </c>
      <c r="M20" s="87"/>
      <c r="N20" s="88"/>
      <c r="O20" s="33"/>
      <c r="P20" s="85"/>
      <c r="Q20" s="21"/>
      <c r="R20" s="87"/>
      <c r="S20" s="87"/>
      <c r="T20" s="21"/>
      <c r="U20" s="89"/>
      <c r="V20" s="22"/>
    </row>
    <row r="21" spans="1:22" x14ac:dyDescent="0.25">
      <c r="A21" s="84" t="s">
        <v>341</v>
      </c>
      <c r="B21" s="85" t="s">
        <v>42</v>
      </c>
      <c r="C21" s="85" t="s">
        <v>342</v>
      </c>
      <c r="D21" s="85" t="s">
        <v>376</v>
      </c>
      <c r="E21" s="86" t="s">
        <v>373</v>
      </c>
      <c r="F21" s="85" t="s">
        <v>353</v>
      </c>
      <c r="G21" s="85" t="s">
        <v>350</v>
      </c>
      <c r="H21" s="85"/>
      <c r="I21" s="85"/>
      <c r="J21" s="85"/>
      <c r="K21" s="85" t="s">
        <v>346</v>
      </c>
      <c r="L21" s="87">
        <v>12.1</v>
      </c>
      <c r="M21" s="87"/>
      <c r="N21" s="88"/>
      <c r="O21" s="33"/>
      <c r="P21" s="85"/>
      <c r="Q21" s="21"/>
      <c r="R21" s="87"/>
      <c r="S21" s="87"/>
      <c r="T21" s="21"/>
      <c r="U21" s="89"/>
      <c r="V21" s="22"/>
    </row>
    <row r="22" spans="1:22" x14ac:dyDescent="0.25">
      <c r="A22" s="84" t="s">
        <v>341</v>
      </c>
      <c r="B22" s="85" t="s">
        <v>42</v>
      </c>
      <c r="C22" s="85" t="s">
        <v>342</v>
      </c>
      <c r="D22" s="85" t="s">
        <v>377</v>
      </c>
      <c r="E22" s="86" t="s">
        <v>373</v>
      </c>
      <c r="F22" s="85" t="s">
        <v>345</v>
      </c>
      <c r="G22" s="85" t="s">
        <v>312</v>
      </c>
      <c r="H22" s="85" t="s">
        <v>9</v>
      </c>
      <c r="I22" s="85" t="s">
        <v>258</v>
      </c>
      <c r="J22" s="86" t="s">
        <v>313</v>
      </c>
      <c r="K22" s="85" t="s">
        <v>346</v>
      </c>
      <c r="L22" s="87">
        <v>8.3000000000000007</v>
      </c>
      <c r="M22" s="87">
        <f>L22*VLOOKUP(H22,dagsoorttabel1,2,FALSE)</f>
        <v>8.5075000000000003</v>
      </c>
      <c r="N22" s="88">
        <f>prodnorm46</f>
        <v>0</v>
      </c>
      <c r="O22" s="33">
        <f>dagwerk46</f>
        <v>0</v>
      </c>
      <c r="P22" s="85" t="s">
        <v>109</v>
      </c>
      <c r="Q22" s="21">
        <f>uurtarief46</f>
        <v>0</v>
      </c>
      <c r="R22" s="87" t="e">
        <f>IF(ISBLANK(N22),0,M22/ROUND(N22,4))</f>
        <v>#DIV/0!</v>
      </c>
      <c r="S22" s="87" t="e">
        <f>IF(ISBLANK(N22),0,R22*ROUND(O22,2))</f>
        <v>#DIV/0!</v>
      </c>
      <c r="T22" s="21" t="e">
        <f>ROUND(Q22,2)*R22</f>
        <v>#DIV/0!</v>
      </c>
      <c r="U22" s="87" t="e">
        <f>R22*dagenperjaar1</f>
        <v>#DIV/0!</v>
      </c>
      <c r="V22" s="22" t="e">
        <f>U22*ROUND(Q22,2)</f>
        <v>#DIV/0!</v>
      </c>
    </row>
    <row r="23" spans="1:22" x14ac:dyDescent="0.25">
      <c r="A23" s="84" t="s">
        <v>341</v>
      </c>
      <c r="B23" s="85" t="s">
        <v>42</v>
      </c>
      <c r="C23" s="85" t="s">
        <v>342</v>
      </c>
      <c r="D23" s="85" t="s">
        <v>378</v>
      </c>
      <c r="E23" s="86" t="s">
        <v>379</v>
      </c>
      <c r="F23" s="85" t="s">
        <v>353</v>
      </c>
      <c r="G23" s="85" t="s">
        <v>350</v>
      </c>
      <c r="H23" s="85"/>
      <c r="I23" s="85"/>
      <c r="J23" s="85"/>
      <c r="K23" s="85" t="s">
        <v>346</v>
      </c>
      <c r="L23" s="87">
        <v>6.2</v>
      </c>
      <c r="M23" s="87"/>
      <c r="N23" s="88"/>
      <c r="O23" s="33"/>
      <c r="P23" s="85"/>
      <c r="Q23" s="21"/>
      <c r="R23" s="87"/>
      <c r="S23" s="87"/>
      <c r="T23" s="21"/>
      <c r="U23" s="89"/>
      <c r="V23" s="22"/>
    </row>
    <row r="24" spans="1:22" x14ac:dyDescent="0.25">
      <c r="A24" s="84" t="s">
        <v>341</v>
      </c>
      <c r="B24" s="85" t="s">
        <v>42</v>
      </c>
      <c r="C24" s="85" t="s">
        <v>342</v>
      </c>
      <c r="D24" s="85" t="s">
        <v>380</v>
      </c>
      <c r="E24" s="86" t="s">
        <v>379</v>
      </c>
      <c r="F24" s="85" t="s">
        <v>353</v>
      </c>
      <c r="G24" s="85" t="s">
        <v>350</v>
      </c>
      <c r="H24" s="85"/>
      <c r="I24" s="85"/>
      <c r="J24" s="85"/>
      <c r="K24" s="85" t="s">
        <v>346</v>
      </c>
      <c r="L24" s="87">
        <v>6.2</v>
      </c>
      <c r="M24" s="87"/>
      <c r="N24" s="88"/>
      <c r="O24" s="33"/>
      <c r="P24" s="85"/>
      <c r="Q24" s="21"/>
      <c r="R24" s="87"/>
      <c r="S24" s="87"/>
      <c r="T24" s="21"/>
      <c r="U24" s="89"/>
      <c r="V24" s="22"/>
    </row>
    <row r="25" spans="1:22" x14ac:dyDescent="0.25">
      <c r="A25" s="84" t="s">
        <v>341</v>
      </c>
      <c r="B25" s="85" t="s">
        <v>42</v>
      </c>
      <c r="C25" s="85" t="s">
        <v>342</v>
      </c>
      <c r="D25" s="85" t="s">
        <v>381</v>
      </c>
      <c r="E25" s="86" t="s">
        <v>373</v>
      </c>
      <c r="F25" s="85" t="s">
        <v>345</v>
      </c>
      <c r="G25" s="85" t="s">
        <v>312</v>
      </c>
      <c r="H25" s="85" t="s">
        <v>9</v>
      </c>
      <c r="I25" s="85" t="s">
        <v>258</v>
      </c>
      <c r="J25" s="86" t="s">
        <v>313</v>
      </c>
      <c r="K25" s="85" t="s">
        <v>346</v>
      </c>
      <c r="L25" s="87">
        <v>8.3000000000000007</v>
      </c>
      <c r="M25" s="87">
        <f>L25*VLOOKUP(H25,dagsoorttabel1,2,FALSE)</f>
        <v>8.5075000000000003</v>
      </c>
      <c r="N25" s="88">
        <f>prodnorm46</f>
        <v>0</v>
      </c>
      <c r="O25" s="33">
        <f>dagwerk46</f>
        <v>0</v>
      </c>
      <c r="P25" s="85" t="s">
        <v>109</v>
      </c>
      <c r="Q25" s="21">
        <f>uurtarief46</f>
        <v>0</v>
      </c>
      <c r="R25" s="87" t="e">
        <f>IF(ISBLANK(N25),0,M25/ROUND(N25,4))</f>
        <v>#DIV/0!</v>
      </c>
      <c r="S25" s="87" t="e">
        <f>IF(ISBLANK(N25),0,R25*ROUND(O25,2))</f>
        <v>#DIV/0!</v>
      </c>
      <c r="T25" s="21" t="e">
        <f>ROUND(Q25,2)*R25</f>
        <v>#DIV/0!</v>
      </c>
      <c r="U25" s="87" t="e">
        <f>R25*dagenperjaar1</f>
        <v>#DIV/0!</v>
      </c>
      <c r="V25" s="22" t="e">
        <f>U25*ROUND(Q25,2)</f>
        <v>#DIV/0!</v>
      </c>
    </row>
    <row r="26" spans="1:22" x14ac:dyDescent="0.25">
      <c r="A26" s="84" t="s">
        <v>341</v>
      </c>
      <c r="B26" s="85" t="s">
        <v>42</v>
      </c>
      <c r="C26" s="85" t="s">
        <v>342</v>
      </c>
      <c r="D26" s="85" t="s">
        <v>382</v>
      </c>
      <c r="E26" s="86" t="s">
        <v>383</v>
      </c>
      <c r="F26" s="85" t="s">
        <v>349</v>
      </c>
      <c r="G26" s="85" t="s">
        <v>350</v>
      </c>
      <c r="H26" s="85"/>
      <c r="I26" s="85"/>
      <c r="J26" s="85"/>
      <c r="K26" s="85" t="s">
        <v>42</v>
      </c>
      <c r="L26" s="87">
        <v>11.62</v>
      </c>
      <c r="M26" s="87"/>
      <c r="N26" s="88"/>
      <c r="O26" s="33"/>
      <c r="P26" s="85"/>
      <c r="Q26" s="21"/>
      <c r="R26" s="87"/>
      <c r="S26" s="87"/>
      <c r="T26" s="21"/>
      <c r="U26" s="89"/>
      <c r="V26" s="22"/>
    </row>
    <row r="27" spans="1:22" x14ac:dyDescent="0.25">
      <c r="A27" s="84" t="s">
        <v>341</v>
      </c>
      <c r="B27" s="85" t="s">
        <v>42</v>
      </c>
      <c r="C27" s="85" t="s">
        <v>342</v>
      </c>
      <c r="D27" s="85" t="s">
        <v>384</v>
      </c>
      <c r="E27" s="86" t="s">
        <v>385</v>
      </c>
      <c r="F27" s="85" t="s">
        <v>353</v>
      </c>
      <c r="G27" s="85" t="s">
        <v>284</v>
      </c>
      <c r="H27" s="85" t="s">
        <v>9</v>
      </c>
      <c r="I27" s="85" t="s">
        <v>258</v>
      </c>
      <c r="J27" s="86" t="s">
        <v>285</v>
      </c>
      <c r="K27" s="85" t="s">
        <v>386</v>
      </c>
      <c r="L27" s="87">
        <v>53.1</v>
      </c>
      <c r="M27" s="87">
        <f>L27*VLOOKUP(H27,dagsoorttabel1,2,FALSE)</f>
        <v>54.427499999999995</v>
      </c>
      <c r="N27" s="88">
        <f>prodnorm25</f>
        <v>0</v>
      </c>
      <c r="O27" s="33">
        <f>dagwerk25</f>
        <v>0</v>
      </c>
      <c r="P27" s="85" t="s">
        <v>109</v>
      </c>
      <c r="Q27" s="21">
        <f>uurtarief25</f>
        <v>0</v>
      </c>
      <c r="R27" s="87" t="e">
        <f>IF(ISBLANK(N27),0,M27/ROUND(N27,4))</f>
        <v>#DIV/0!</v>
      </c>
      <c r="S27" s="87" t="e">
        <f>IF(ISBLANK(N27),0,R27*ROUND(O27,2))</f>
        <v>#DIV/0!</v>
      </c>
      <c r="T27" s="21" t="e">
        <f>ROUND(Q27,2)*R27</f>
        <v>#DIV/0!</v>
      </c>
      <c r="U27" s="87" t="e">
        <f>R27*dagenperjaar1</f>
        <v>#DIV/0!</v>
      </c>
      <c r="V27" s="22" t="e">
        <f>U27*ROUND(Q27,2)</f>
        <v>#DIV/0!</v>
      </c>
    </row>
    <row r="28" spans="1:22" x14ac:dyDescent="0.25">
      <c r="A28" s="84" t="s">
        <v>341</v>
      </c>
      <c r="B28" s="85" t="s">
        <v>42</v>
      </c>
      <c r="C28" s="85" t="s">
        <v>342</v>
      </c>
      <c r="D28" s="85" t="s">
        <v>387</v>
      </c>
      <c r="E28" s="86" t="s">
        <v>385</v>
      </c>
      <c r="F28" s="85" t="s">
        <v>353</v>
      </c>
      <c r="G28" s="85" t="s">
        <v>284</v>
      </c>
      <c r="H28" s="85" t="s">
        <v>9</v>
      </c>
      <c r="I28" s="85" t="s">
        <v>258</v>
      </c>
      <c r="J28" s="86" t="s">
        <v>285</v>
      </c>
      <c r="K28" s="85" t="s">
        <v>386</v>
      </c>
      <c r="L28" s="87">
        <v>53.1</v>
      </c>
      <c r="M28" s="87">
        <f>L28*VLOOKUP(H28,dagsoorttabel1,2,FALSE)</f>
        <v>54.427499999999995</v>
      </c>
      <c r="N28" s="88">
        <f>prodnorm25</f>
        <v>0</v>
      </c>
      <c r="O28" s="33">
        <f>dagwerk25</f>
        <v>0</v>
      </c>
      <c r="P28" s="85" t="s">
        <v>109</v>
      </c>
      <c r="Q28" s="21">
        <f>uurtarief25</f>
        <v>0</v>
      </c>
      <c r="R28" s="87" t="e">
        <f>IF(ISBLANK(N28),0,M28/ROUND(N28,4))</f>
        <v>#DIV/0!</v>
      </c>
      <c r="S28" s="87" t="e">
        <f>IF(ISBLANK(N28),0,R28*ROUND(O28,2))</f>
        <v>#DIV/0!</v>
      </c>
      <c r="T28" s="21" t="e">
        <f>ROUND(Q28,2)*R28</f>
        <v>#DIV/0!</v>
      </c>
      <c r="U28" s="87" t="e">
        <f>R28*dagenperjaar1</f>
        <v>#DIV/0!</v>
      </c>
      <c r="V28" s="22" t="e">
        <f>U28*ROUND(Q28,2)</f>
        <v>#DIV/0!</v>
      </c>
    </row>
    <row r="29" spans="1:22" x14ac:dyDescent="0.25">
      <c r="A29" s="84" t="s">
        <v>341</v>
      </c>
      <c r="B29" s="85" t="s">
        <v>42</v>
      </c>
      <c r="C29" s="85" t="s">
        <v>342</v>
      </c>
      <c r="D29" s="85" t="s">
        <v>388</v>
      </c>
      <c r="E29" s="86" t="s">
        <v>385</v>
      </c>
      <c r="F29" s="85" t="s">
        <v>353</v>
      </c>
      <c r="G29" s="85" t="s">
        <v>284</v>
      </c>
      <c r="H29" s="85" t="s">
        <v>9</v>
      </c>
      <c r="I29" s="85" t="s">
        <v>258</v>
      </c>
      <c r="J29" s="86" t="s">
        <v>285</v>
      </c>
      <c r="K29" s="85" t="s">
        <v>386</v>
      </c>
      <c r="L29" s="87">
        <v>54</v>
      </c>
      <c r="M29" s="87">
        <f>L29*VLOOKUP(H29,dagsoorttabel1,2,FALSE)</f>
        <v>55.349999999999994</v>
      </c>
      <c r="N29" s="88">
        <f>prodnorm25</f>
        <v>0</v>
      </c>
      <c r="O29" s="33">
        <f>dagwerk25</f>
        <v>0</v>
      </c>
      <c r="P29" s="85" t="s">
        <v>109</v>
      </c>
      <c r="Q29" s="21">
        <f>uurtarief25</f>
        <v>0</v>
      </c>
      <c r="R29" s="87" t="e">
        <f>IF(ISBLANK(N29),0,M29/ROUND(N29,4))</f>
        <v>#DIV/0!</v>
      </c>
      <c r="S29" s="87" t="e">
        <f>IF(ISBLANK(N29),0,R29*ROUND(O29,2))</f>
        <v>#DIV/0!</v>
      </c>
      <c r="T29" s="21" t="e">
        <f>ROUND(Q29,2)*R29</f>
        <v>#DIV/0!</v>
      </c>
      <c r="U29" s="87" t="e">
        <f>R29*dagenperjaar1</f>
        <v>#DIV/0!</v>
      </c>
      <c r="V29" s="22" t="e">
        <f>U29*ROUND(Q29,2)</f>
        <v>#DIV/0!</v>
      </c>
    </row>
    <row r="30" spans="1:22" x14ac:dyDescent="0.25">
      <c r="A30" s="84" t="s">
        <v>341</v>
      </c>
      <c r="B30" s="85" t="s">
        <v>42</v>
      </c>
      <c r="C30" s="85" t="s">
        <v>342</v>
      </c>
      <c r="D30" s="85" t="s">
        <v>389</v>
      </c>
      <c r="E30" s="86" t="s">
        <v>385</v>
      </c>
      <c r="F30" s="85" t="s">
        <v>353</v>
      </c>
      <c r="G30" s="85" t="s">
        <v>284</v>
      </c>
      <c r="H30" s="85" t="s">
        <v>9</v>
      </c>
      <c r="I30" s="85" t="s">
        <v>258</v>
      </c>
      <c r="J30" s="86" t="s">
        <v>285</v>
      </c>
      <c r="K30" s="85" t="s">
        <v>386</v>
      </c>
      <c r="L30" s="87">
        <v>54</v>
      </c>
      <c r="M30" s="87">
        <f>L30*VLOOKUP(H30,dagsoorttabel1,2,FALSE)</f>
        <v>55.349999999999994</v>
      </c>
      <c r="N30" s="88">
        <f>prodnorm25</f>
        <v>0</v>
      </c>
      <c r="O30" s="33">
        <f>dagwerk25</f>
        <v>0</v>
      </c>
      <c r="P30" s="85" t="s">
        <v>109</v>
      </c>
      <c r="Q30" s="21">
        <f>uurtarief25</f>
        <v>0</v>
      </c>
      <c r="R30" s="87" t="e">
        <f>IF(ISBLANK(N30),0,M30/ROUND(N30,4))</f>
        <v>#DIV/0!</v>
      </c>
      <c r="S30" s="87" t="e">
        <f>IF(ISBLANK(N30),0,R30*ROUND(O30,2))</f>
        <v>#DIV/0!</v>
      </c>
      <c r="T30" s="21" t="e">
        <f>ROUND(Q30,2)*R30</f>
        <v>#DIV/0!</v>
      </c>
      <c r="U30" s="87" t="e">
        <f>R30*dagenperjaar1</f>
        <v>#DIV/0!</v>
      </c>
      <c r="V30" s="22" t="e">
        <f>U30*ROUND(Q30,2)</f>
        <v>#DIV/0!</v>
      </c>
    </row>
    <row r="31" spans="1:22" x14ac:dyDescent="0.25">
      <c r="A31" s="84" t="s">
        <v>341</v>
      </c>
      <c r="B31" s="85" t="s">
        <v>42</v>
      </c>
      <c r="C31" s="85" t="s">
        <v>342</v>
      </c>
      <c r="D31" s="85" t="s">
        <v>390</v>
      </c>
      <c r="E31" s="86" t="s">
        <v>391</v>
      </c>
      <c r="F31" s="85" t="s">
        <v>353</v>
      </c>
      <c r="G31" s="85" t="s">
        <v>288</v>
      </c>
      <c r="H31" s="85" t="s">
        <v>9</v>
      </c>
      <c r="I31" s="85" t="s">
        <v>258</v>
      </c>
      <c r="J31" s="86" t="s">
        <v>289</v>
      </c>
      <c r="K31" s="85" t="s">
        <v>346</v>
      </c>
      <c r="L31" s="87">
        <v>70.400000000000006</v>
      </c>
      <c r="M31" s="87">
        <f>L31*VLOOKUP(H31,dagsoorttabel1,2,FALSE)</f>
        <v>72.16</v>
      </c>
      <c r="N31" s="88">
        <f>prodnorm27</f>
        <v>0</v>
      </c>
      <c r="O31" s="33">
        <f>dagwerk27</f>
        <v>0</v>
      </c>
      <c r="P31" s="85" t="s">
        <v>109</v>
      </c>
      <c r="Q31" s="21">
        <f>uurtarief27</f>
        <v>0</v>
      </c>
      <c r="R31" s="87" t="e">
        <f>IF(ISBLANK(N31),0,M31/ROUND(N31,4))</f>
        <v>#DIV/0!</v>
      </c>
      <c r="S31" s="87" t="e">
        <f>IF(ISBLANK(N31),0,R31*ROUND(O31,2))</f>
        <v>#DIV/0!</v>
      </c>
      <c r="T31" s="21" t="e">
        <f>ROUND(Q31,2)*R31</f>
        <v>#DIV/0!</v>
      </c>
      <c r="U31" s="87" t="e">
        <f>R31*dagenperjaar1</f>
        <v>#DIV/0!</v>
      </c>
      <c r="V31" s="22" t="e">
        <f>U31*ROUND(Q31,2)</f>
        <v>#DIV/0!</v>
      </c>
    </row>
    <row r="32" spans="1:22" x14ac:dyDescent="0.25">
      <c r="A32" s="84" t="s">
        <v>341</v>
      </c>
      <c r="B32" s="85" t="s">
        <v>42</v>
      </c>
      <c r="C32" s="85" t="s">
        <v>342</v>
      </c>
      <c r="D32" s="85" t="s">
        <v>392</v>
      </c>
      <c r="E32" s="86" t="s">
        <v>393</v>
      </c>
      <c r="F32" s="85" t="s">
        <v>353</v>
      </c>
      <c r="G32" s="85" t="s">
        <v>350</v>
      </c>
      <c r="H32" s="85"/>
      <c r="I32" s="85"/>
      <c r="J32" s="85"/>
      <c r="K32" s="85" t="s">
        <v>42</v>
      </c>
      <c r="L32" s="87">
        <v>11.2</v>
      </c>
      <c r="M32" s="87"/>
      <c r="N32" s="88"/>
      <c r="O32" s="33"/>
      <c r="P32" s="85"/>
      <c r="Q32" s="21"/>
      <c r="R32" s="87"/>
      <c r="S32" s="87"/>
      <c r="T32" s="21"/>
      <c r="U32" s="89"/>
      <c r="V32" s="22"/>
    </row>
    <row r="33" spans="1:22" x14ac:dyDescent="0.25">
      <c r="A33" s="84" t="s">
        <v>341</v>
      </c>
      <c r="B33" s="85" t="s">
        <v>42</v>
      </c>
      <c r="C33" s="85" t="s">
        <v>342</v>
      </c>
      <c r="D33" s="85" t="s">
        <v>394</v>
      </c>
      <c r="E33" s="86" t="s">
        <v>393</v>
      </c>
      <c r="F33" s="85" t="s">
        <v>353</v>
      </c>
      <c r="G33" s="85" t="s">
        <v>257</v>
      </c>
      <c r="H33" s="85" t="s">
        <v>12</v>
      </c>
      <c r="I33" s="85" t="s">
        <v>258</v>
      </c>
      <c r="J33" s="86" t="s">
        <v>259</v>
      </c>
      <c r="K33" s="85" t="s">
        <v>365</v>
      </c>
      <c r="L33" s="87">
        <v>11.2</v>
      </c>
      <c r="M33" s="87">
        <f>L33*VLOOKUP(H33,dagsoorttabel1,2,FALSE)</f>
        <v>6.8879999999999999</v>
      </c>
      <c r="N33" s="88">
        <f>prodnorm5</f>
        <v>0</v>
      </c>
      <c r="O33" s="33">
        <f>dagwerk5</f>
        <v>0</v>
      </c>
      <c r="P33" s="85" t="s">
        <v>109</v>
      </c>
      <c r="Q33" s="21">
        <f>uurtarief5</f>
        <v>0</v>
      </c>
      <c r="R33" s="87" t="e">
        <f>IF(ISBLANK(N33),0,M33/ROUND(N33,4))</f>
        <v>#DIV/0!</v>
      </c>
      <c r="S33" s="87" t="e">
        <f>IF(ISBLANK(N33),0,R33*ROUND(O33,2))</f>
        <v>#DIV/0!</v>
      </c>
      <c r="T33" s="21" t="e">
        <f>ROUND(Q33,2)*R33</f>
        <v>#DIV/0!</v>
      </c>
      <c r="U33" s="87" t="e">
        <f>R33*dagenperjaar1</f>
        <v>#DIV/0!</v>
      </c>
      <c r="V33" s="22" t="e">
        <f>U33*ROUND(Q33,2)</f>
        <v>#DIV/0!</v>
      </c>
    </row>
    <row r="34" spans="1:22" x14ac:dyDescent="0.25">
      <c r="A34" s="84" t="s">
        <v>341</v>
      </c>
      <c r="B34" s="85" t="s">
        <v>42</v>
      </c>
      <c r="C34" s="85" t="s">
        <v>342</v>
      </c>
      <c r="D34" s="85" t="s">
        <v>394</v>
      </c>
      <c r="E34" s="86" t="s">
        <v>393</v>
      </c>
      <c r="F34" s="85" t="s">
        <v>353</v>
      </c>
      <c r="G34" s="85" t="s">
        <v>262</v>
      </c>
      <c r="H34" s="85" t="s">
        <v>14</v>
      </c>
      <c r="I34" s="85" t="s">
        <v>258</v>
      </c>
      <c r="J34" s="86" t="s">
        <v>263</v>
      </c>
      <c r="K34" s="85" t="s">
        <v>365</v>
      </c>
      <c r="L34" s="87">
        <v>11.2</v>
      </c>
      <c r="M34" s="87">
        <f>L34*VLOOKUP(H34,dagsoorttabel1,2,FALSE)</f>
        <v>4.5919999999999996</v>
      </c>
      <c r="N34" s="88">
        <f>prodnorm10</f>
        <v>0</v>
      </c>
      <c r="O34" s="33">
        <f>dagwerk10</f>
        <v>0</v>
      </c>
      <c r="P34" s="85" t="s">
        <v>109</v>
      </c>
      <c r="Q34" s="21">
        <f>uurtarief10</f>
        <v>0</v>
      </c>
      <c r="R34" s="87" t="e">
        <f>IF(ISBLANK(N34),0,M34/ROUND(N34,4))</f>
        <v>#DIV/0!</v>
      </c>
      <c r="S34" s="87" t="e">
        <f>IF(ISBLANK(N34),0,R34*ROUND(O34,2))</f>
        <v>#DIV/0!</v>
      </c>
      <c r="T34" s="21" t="e">
        <f>ROUND(Q34,2)*R34</f>
        <v>#DIV/0!</v>
      </c>
      <c r="U34" s="87" t="e">
        <f>R34*dagenperjaar1</f>
        <v>#DIV/0!</v>
      </c>
      <c r="V34" s="22" t="e">
        <f>U34*ROUND(Q34,2)</f>
        <v>#DIV/0!</v>
      </c>
    </row>
    <row r="35" spans="1:22" x14ac:dyDescent="0.25">
      <c r="A35" s="84" t="s">
        <v>341</v>
      </c>
      <c r="B35" s="85" t="s">
        <v>42</v>
      </c>
      <c r="C35" s="85" t="s">
        <v>342</v>
      </c>
      <c r="D35" s="85" t="s">
        <v>395</v>
      </c>
      <c r="E35" s="86" t="s">
        <v>393</v>
      </c>
      <c r="F35" s="85" t="s">
        <v>353</v>
      </c>
      <c r="G35" s="85" t="s">
        <v>257</v>
      </c>
      <c r="H35" s="85" t="s">
        <v>12</v>
      </c>
      <c r="I35" s="85" t="s">
        <v>258</v>
      </c>
      <c r="J35" s="86" t="s">
        <v>259</v>
      </c>
      <c r="K35" s="85" t="s">
        <v>365</v>
      </c>
      <c r="L35" s="87">
        <v>14.9</v>
      </c>
      <c r="M35" s="87">
        <f>L35*VLOOKUP(H35,dagsoorttabel1,2,FALSE)</f>
        <v>9.1635000000000009</v>
      </c>
      <c r="N35" s="88">
        <f>prodnorm5</f>
        <v>0</v>
      </c>
      <c r="O35" s="33">
        <f>dagwerk5</f>
        <v>0</v>
      </c>
      <c r="P35" s="85" t="s">
        <v>109</v>
      </c>
      <c r="Q35" s="21">
        <f>uurtarief5</f>
        <v>0</v>
      </c>
      <c r="R35" s="87" t="e">
        <f>IF(ISBLANK(N35),0,M35/ROUND(N35,4))</f>
        <v>#DIV/0!</v>
      </c>
      <c r="S35" s="87" t="e">
        <f>IF(ISBLANK(N35),0,R35*ROUND(O35,2))</f>
        <v>#DIV/0!</v>
      </c>
      <c r="T35" s="21" t="e">
        <f>ROUND(Q35,2)*R35</f>
        <v>#DIV/0!</v>
      </c>
      <c r="U35" s="87" t="e">
        <f>R35*dagenperjaar1</f>
        <v>#DIV/0!</v>
      </c>
      <c r="V35" s="22" t="e">
        <f>U35*ROUND(Q35,2)</f>
        <v>#DIV/0!</v>
      </c>
    </row>
    <row r="36" spans="1:22" x14ac:dyDescent="0.25">
      <c r="A36" s="84" t="s">
        <v>341</v>
      </c>
      <c r="B36" s="85" t="s">
        <v>42</v>
      </c>
      <c r="C36" s="85" t="s">
        <v>342</v>
      </c>
      <c r="D36" s="85" t="s">
        <v>395</v>
      </c>
      <c r="E36" s="86" t="s">
        <v>393</v>
      </c>
      <c r="F36" s="85" t="s">
        <v>353</v>
      </c>
      <c r="G36" s="85" t="s">
        <v>262</v>
      </c>
      <c r="H36" s="85" t="s">
        <v>14</v>
      </c>
      <c r="I36" s="85" t="s">
        <v>258</v>
      </c>
      <c r="J36" s="86" t="s">
        <v>263</v>
      </c>
      <c r="K36" s="85" t="s">
        <v>365</v>
      </c>
      <c r="L36" s="87">
        <v>14.9</v>
      </c>
      <c r="M36" s="87">
        <f>L36*VLOOKUP(H36,dagsoorttabel1,2,FALSE)</f>
        <v>6.109</v>
      </c>
      <c r="N36" s="88">
        <f>prodnorm10</f>
        <v>0</v>
      </c>
      <c r="O36" s="33">
        <f>dagwerk10</f>
        <v>0</v>
      </c>
      <c r="P36" s="85" t="s">
        <v>109</v>
      </c>
      <c r="Q36" s="21">
        <f>uurtarief10</f>
        <v>0</v>
      </c>
      <c r="R36" s="87" t="e">
        <f>IF(ISBLANK(N36),0,M36/ROUND(N36,4))</f>
        <v>#DIV/0!</v>
      </c>
      <c r="S36" s="87" t="e">
        <f>IF(ISBLANK(N36),0,R36*ROUND(O36,2))</f>
        <v>#DIV/0!</v>
      </c>
      <c r="T36" s="21" t="e">
        <f>ROUND(Q36,2)*R36</f>
        <v>#DIV/0!</v>
      </c>
      <c r="U36" s="87" t="e">
        <f>R36*dagenperjaar1</f>
        <v>#DIV/0!</v>
      </c>
      <c r="V36" s="22" t="e">
        <f>U36*ROUND(Q36,2)</f>
        <v>#DIV/0!</v>
      </c>
    </row>
    <row r="37" spans="1:22" x14ac:dyDescent="0.25">
      <c r="A37" s="84" t="s">
        <v>341</v>
      </c>
      <c r="B37" s="85" t="s">
        <v>42</v>
      </c>
      <c r="C37" s="85" t="s">
        <v>342</v>
      </c>
      <c r="D37" s="85" t="s">
        <v>396</v>
      </c>
      <c r="E37" s="86" t="s">
        <v>397</v>
      </c>
      <c r="F37" s="85" t="s">
        <v>353</v>
      </c>
      <c r="G37" s="85" t="s">
        <v>288</v>
      </c>
      <c r="H37" s="85" t="s">
        <v>9</v>
      </c>
      <c r="I37" s="85" t="s">
        <v>258</v>
      </c>
      <c r="J37" s="86" t="s">
        <v>289</v>
      </c>
      <c r="K37" s="85" t="s">
        <v>346</v>
      </c>
      <c r="L37" s="87">
        <v>69.400000000000006</v>
      </c>
      <c r="M37" s="87">
        <f>L37*VLOOKUP(H37,dagsoorttabel1,2,FALSE)</f>
        <v>71.135000000000005</v>
      </c>
      <c r="N37" s="88">
        <f>prodnorm27</f>
        <v>0</v>
      </c>
      <c r="O37" s="33">
        <f>dagwerk27</f>
        <v>0</v>
      </c>
      <c r="P37" s="85" t="s">
        <v>109</v>
      </c>
      <c r="Q37" s="21">
        <f>uurtarief27</f>
        <v>0</v>
      </c>
      <c r="R37" s="87" t="e">
        <f>IF(ISBLANK(N37),0,M37/ROUND(N37,4))</f>
        <v>#DIV/0!</v>
      </c>
      <c r="S37" s="87" t="e">
        <f>IF(ISBLANK(N37),0,R37*ROUND(O37,2))</f>
        <v>#DIV/0!</v>
      </c>
      <c r="T37" s="21" t="e">
        <f>ROUND(Q37,2)*R37</f>
        <v>#DIV/0!</v>
      </c>
      <c r="U37" s="87" t="e">
        <f>R37*dagenperjaar1</f>
        <v>#DIV/0!</v>
      </c>
      <c r="V37" s="22" t="e">
        <f>U37*ROUND(Q37,2)</f>
        <v>#DIV/0!</v>
      </c>
    </row>
    <row r="38" spans="1:22" x14ac:dyDescent="0.25">
      <c r="A38" s="84" t="s">
        <v>341</v>
      </c>
      <c r="B38" s="85" t="s">
        <v>42</v>
      </c>
      <c r="C38" s="85" t="s">
        <v>342</v>
      </c>
      <c r="D38" s="85" t="s">
        <v>398</v>
      </c>
      <c r="E38" s="86" t="s">
        <v>393</v>
      </c>
      <c r="F38" s="85" t="s">
        <v>353</v>
      </c>
      <c r="G38" s="85" t="s">
        <v>350</v>
      </c>
      <c r="H38" s="85"/>
      <c r="I38" s="85"/>
      <c r="J38" s="85"/>
      <c r="K38" s="85" t="s">
        <v>42</v>
      </c>
      <c r="L38" s="87">
        <v>11.76</v>
      </c>
      <c r="M38" s="87"/>
      <c r="N38" s="88"/>
      <c r="O38" s="33"/>
      <c r="P38" s="85"/>
      <c r="Q38" s="21"/>
      <c r="R38" s="87"/>
      <c r="S38" s="87"/>
      <c r="T38" s="21"/>
      <c r="U38" s="89"/>
      <c r="V38" s="22"/>
    </row>
    <row r="39" spans="1:22" x14ac:dyDescent="0.25">
      <c r="A39" s="84" t="s">
        <v>341</v>
      </c>
      <c r="B39" s="85" t="s">
        <v>42</v>
      </c>
      <c r="C39" s="85" t="s">
        <v>342</v>
      </c>
      <c r="D39" s="85" t="s">
        <v>399</v>
      </c>
      <c r="E39" s="86" t="s">
        <v>393</v>
      </c>
      <c r="F39" s="85" t="s">
        <v>353</v>
      </c>
      <c r="G39" s="85" t="s">
        <v>257</v>
      </c>
      <c r="H39" s="85" t="s">
        <v>12</v>
      </c>
      <c r="I39" s="85" t="s">
        <v>258</v>
      </c>
      <c r="J39" s="86" t="s">
        <v>259</v>
      </c>
      <c r="K39" s="85" t="s">
        <v>365</v>
      </c>
      <c r="L39" s="87">
        <v>11.3</v>
      </c>
      <c r="M39" s="87">
        <f t="shared" ref="M39:M45" si="0">L39*VLOOKUP(H39,dagsoorttabel1,2,FALSE)</f>
        <v>6.9495000000000005</v>
      </c>
      <c r="N39" s="88">
        <f>prodnorm5</f>
        <v>0</v>
      </c>
      <c r="O39" s="33">
        <f>dagwerk5</f>
        <v>0</v>
      </c>
      <c r="P39" s="85" t="s">
        <v>109</v>
      </c>
      <c r="Q39" s="21">
        <f>uurtarief5</f>
        <v>0</v>
      </c>
      <c r="R39" s="87" t="e">
        <f t="shared" ref="R39:R45" si="1">IF(ISBLANK(N39),0,M39/ROUND(N39,4))</f>
        <v>#DIV/0!</v>
      </c>
      <c r="S39" s="87" t="e">
        <f t="shared" ref="S39:S45" si="2">IF(ISBLANK(N39),0,R39*ROUND(O39,2))</f>
        <v>#DIV/0!</v>
      </c>
      <c r="T39" s="21" t="e">
        <f t="shared" ref="T39:T45" si="3">ROUND(Q39,2)*R39</f>
        <v>#DIV/0!</v>
      </c>
      <c r="U39" s="87" t="e">
        <f t="shared" ref="U39:U45" si="4">R39*dagenperjaar1</f>
        <v>#DIV/0!</v>
      </c>
      <c r="V39" s="22" t="e">
        <f t="shared" ref="V39:V45" si="5">U39*ROUND(Q39,2)</f>
        <v>#DIV/0!</v>
      </c>
    </row>
    <row r="40" spans="1:22" x14ac:dyDescent="0.25">
      <c r="A40" s="84" t="s">
        <v>341</v>
      </c>
      <c r="B40" s="85" t="s">
        <v>42</v>
      </c>
      <c r="C40" s="85" t="s">
        <v>342</v>
      </c>
      <c r="D40" s="85" t="s">
        <v>399</v>
      </c>
      <c r="E40" s="86" t="s">
        <v>393</v>
      </c>
      <c r="F40" s="85" t="s">
        <v>353</v>
      </c>
      <c r="G40" s="85" t="s">
        <v>262</v>
      </c>
      <c r="H40" s="85" t="s">
        <v>14</v>
      </c>
      <c r="I40" s="85" t="s">
        <v>258</v>
      </c>
      <c r="J40" s="86" t="s">
        <v>263</v>
      </c>
      <c r="K40" s="85" t="s">
        <v>365</v>
      </c>
      <c r="L40" s="87">
        <v>11.3</v>
      </c>
      <c r="M40" s="87">
        <f t="shared" si="0"/>
        <v>4.633</v>
      </c>
      <c r="N40" s="88">
        <f>prodnorm10</f>
        <v>0</v>
      </c>
      <c r="O40" s="33">
        <f>dagwerk10</f>
        <v>0</v>
      </c>
      <c r="P40" s="85" t="s">
        <v>109</v>
      </c>
      <c r="Q40" s="21">
        <f>uurtarief10</f>
        <v>0</v>
      </c>
      <c r="R40" s="87" t="e">
        <f t="shared" si="1"/>
        <v>#DIV/0!</v>
      </c>
      <c r="S40" s="87" t="e">
        <f t="shared" si="2"/>
        <v>#DIV/0!</v>
      </c>
      <c r="T40" s="21" t="e">
        <f t="shared" si="3"/>
        <v>#DIV/0!</v>
      </c>
      <c r="U40" s="87" t="e">
        <f t="shared" si="4"/>
        <v>#DIV/0!</v>
      </c>
      <c r="V40" s="22" t="e">
        <f t="shared" si="5"/>
        <v>#DIV/0!</v>
      </c>
    </row>
    <row r="41" spans="1:22" x14ac:dyDescent="0.25">
      <c r="A41" s="84" t="s">
        <v>341</v>
      </c>
      <c r="B41" s="85" t="s">
        <v>42</v>
      </c>
      <c r="C41" s="85" t="s">
        <v>342</v>
      </c>
      <c r="D41" s="85" t="s">
        <v>400</v>
      </c>
      <c r="E41" s="86" t="s">
        <v>393</v>
      </c>
      <c r="F41" s="85" t="s">
        <v>353</v>
      </c>
      <c r="G41" s="85" t="s">
        <v>257</v>
      </c>
      <c r="H41" s="85" t="s">
        <v>12</v>
      </c>
      <c r="I41" s="85" t="s">
        <v>258</v>
      </c>
      <c r="J41" s="86" t="s">
        <v>259</v>
      </c>
      <c r="K41" s="85" t="s">
        <v>365</v>
      </c>
      <c r="L41" s="87">
        <v>14.9</v>
      </c>
      <c r="M41" s="87">
        <f t="shared" si="0"/>
        <v>9.1635000000000009</v>
      </c>
      <c r="N41" s="88">
        <f>prodnorm5</f>
        <v>0</v>
      </c>
      <c r="O41" s="33">
        <f>dagwerk5</f>
        <v>0</v>
      </c>
      <c r="P41" s="85" t="s">
        <v>109</v>
      </c>
      <c r="Q41" s="21">
        <f>uurtarief5</f>
        <v>0</v>
      </c>
      <c r="R41" s="87" t="e">
        <f t="shared" si="1"/>
        <v>#DIV/0!</v>
      </c>
      <c r="S41" s="87" t="e">
        <f t="shared" si="2"/>
        <v>#DIV/0!</v>
      </c>
      <c r="T41" s="21" t="e">
        <f t="shared" si="3"/>
        <v>#DIV/0!</v>
      </c>
      <c r="U41" s="87" t="e">
        <f t="shared" si="4"/>
        <v>#DIV/0!</v>
      </c>
      <c r="V41" s="22" t="e">
        <f t="shared" si="5"/>
        <v>#DIV/0!</v>
      </c>
    </row>
    <row r="42" spans="1:22" x14ac:dyDescent="0.25">
      <c r="A42" s="84" t="s">
        <v>341</v>
      </c>
      <c r="B42" s="85" t="s">
        <v>42</v>
      </c>
      <c r="C42" s="85" t="s">
        <v>342</v>
      </c>
      <c r="D42" s="85" t="s">
        <v>400</v>
      </c>
      <c r="E42" s="86" t="s">
        <v>393</v>
      </c>
      <c r="F42" s="85" t="s">
        <v>353</v>
      </c>
      <c r="G42" s="85" t="s">
        <v>262</v>
      </c>
      <c r="H42" s="85" t="s">
        <v>14</v>
      </c>
      <c r="I42" s="85" t="s">
        <v>258</v>
      </c>
      <c r="J42" s="86" t="s">
        <v>263</v>
      </c>
      <c r="K42" s="85" t="s">
        <v>365</v>
      </c>
      <c r="L42" s="87">
        <v>14.9</v>
      </c>
      <c r="M42" s="87">
        <f t="shared" si="0"/>
        <v>6.109</v>
      </c>
      <c r="N42" s="88">
        <f>prodnorm10</f>
        <v>0</v>
      </c>
      <c r="O42" s="33">
        <f>dagwerk10</f>
        <v>0</v>
      </c>
      <c r="P42" s="85" t="s">
        <v>109</v>
      </c>
      <c r="Q42" s="21">
        <f>uurtarief10</f>
        <v>0</v>
      </c>
      <c r="R42" s="87" t="e">
        <f t="shared" si="1"/>
        <v>#DIV/0!</v>
      </c>
      <c r="S42" s="87" t="e">
        <f t="shared" si="2"/>
        <v>#DIV/0!</v>
      </c>
      <c r="T42" s="21" t="e">
        <f t="shared" si="3"/>
        <v>#DIV/0!</v>
      </c>
      <c r="U42" s="87" t="e">
        <f t="shared" si="4"/>
        <v>#DIV/0!</v>
      </c>
      <c r="V42" s="22" t="e">
        <f t="shared" si="5"/>
        <v>#DIV/0!</v>
      </c>
    </row>
    <row r="43" spans="1:22" x14ac:dyDescent="0.25">
      <c r="A43" s="84" t="s">
        <v>341</v>
      </c>
      <c r="B43" s="85" t="s">
        <v>42</v>
      </c>
      <c r="C43" s="85" t="s">
        <v>342</v>
      </c>
      <c r="D43" s="85" t="s">
        <v>401</v>
      </c>
      <c r="E43" s="86" t="s">
        <v>402</v>
      </c>
      <c r="F43" s="85" t="s">
        <v>353</v>
      </c>
      <c r="G43" s="85" t="s">
        <v>284</v>
      </c>
      <c r="H43" s="85" t="s">
        <v>9</v>
      </c>
      <c r="I43" s="85" t="s">
        <v>258</v>
      </c>
      <c r="J43" s="86" t="s">
        <v>285</v>
      </c>
      <c r="K43" s="85" t="s">
        <v>386</v>
      </c>
      <c r="L43" s="87">
        <v>54</v>
      </c>
      <c r="M43" s="87">
        <f t="shared" si="0"/>
        <v>55.349999999999994</v>
      </c>
      <c r="N43" s="88">
        <f>prodnorm25</f>
        <v>0</v>
      </c>
      <c r="O43" s="33">
        <f>dagwerk25</f>
        <v>0</v>
      </c>
      <c r="P43" s="85" t="s">
        <v>109</v>
      </c>
      <c r="Q43" s="21">
        <f>uurtarief25</f>
        <v>0</v>
      </c>
      <c r="R43" s="87" t="e">
        <f t="shared" si="1"/>
        <v>#DIV/0!</v>
      </c>
      <c r="S43" s="87" t="e">
        <f t="shared" si="2"/>
        <v>#DIV/0!</v>
      </c>
      <c r="T43" s="21" t="e">
        <f t="shared" si="3"/>
        <v>#DIV/0!</v>
      </c>
      <c r="U43" s="87" t="e">
        <f t="shared" si="4"/>
        <v>#DIV/0!</v>
      </c>
      <c r="V43" s="22" t="e">
        <f t="shared" si="5"/>
        <v>#DIV/0!</v>
      </c>
    </row>
    <row r="44" spans="1:22" x14ac:dyDescent="0.25">
      <c r="A44" s="84" t="s">
        <v>341</v>
      </c>
      <c r="B44" s="85" t="s">
        <v>42</v>
      </c>
      <c r="C44" s="85" t="s">
        <v>342</v>
      </c>
      <c r="D44" s="85" t="s">
        <v>403</v>
      </c>
      <c r="E44" s="86" t="s">
        <v>402</v>
      </c>
      <c r="F44" s="85" t="s">
        <v>353</v>
      </c>
      <c r="G44" s="85" t="s">
        <v>284</v>
      </c>
      <c r="H44" s="85" t="s">
        <v>9</v>
      </c>
      <c r="I44" s="85" t="s">
        <v>258</v>
      </c>
      <c r="J44" s="86" t="s">
        <v>285</v>
      </c>
      <c r="K44" s="85" t="s">
        <v>386</v>
      </c>
      <c r="L44" s="87">
        <v>54</v>
      </c>
      <c r="M44" s="87">
        <f t="shared" si="0"/>
        <v>55.349999999999994</v>
      </c>
      <c r="N44" s="88">
        <f>prodnorm25</f>
        <v>0</v>
      </c>
      <c r="O44" s="33">
        <f>dagwerk25</f>
        <v>0</v>
      </c>
      <c r="P44" s="85" t="s">
        <v>109</v>
      </c>
      <c r="Q44" s="21">
        <f>uurtarief25</f>
        <v>0</v>
      </c>
      <c r="R44" s="87" t="e">
        <f t="shared" si="1"/>
        <v>#DIV/0!</v>
      </c>
      <c r="S44" s="87" t="e">
        <f t="shared" si="2"/>
        <v>#DIV/0!</v>
      </c>
      <c r="T44" s="21" t="e">
        <f t="shared" si="3"/>
        <v>#DIV/0!</v>
      </c>
      <c r="U44" s="87" t="e">
        <f t="shared" si="4"/>
        <v>#DIV/0!</v>
      </c>
      <c r="V44" s="22" t="e">
        <f t="shared" si="5"/>
        <v>#DIV/0!</v>
      </c>
    </row>
    <row r="45" spans="1:22" x14ac:dyDescent="0.25">
      <c r="A45" s="84" t="s">
        <v>341</v>
      </c>
      <c r="B45" s="85" t="s">
        <v>42</v>
      </c>
      <c r="C45" s="85" t="s">
        <v>342</v>
      </c>
      <c r="D45" s="85" t="s">
        <v>404</v>
      </c>
      <c r="E45" s="86" t="s">
        <v>402</v>
      </c>
      <c r="F45" s="85" t="s">
        <v>353</v>
      </c>
      <c r="G45" s="85" t="s">
        <v>284</v>
      </c>
      <c r="H45" s="85" t="s">
        <v>9</v>
      </c>
      <c r="I45" s="85" t="s">
        <v>258</v>
      </c>
      <c r="J45" s="86" t="s">
        <v>285</v>
      </c>
      <c r="K45" s="85" t="s">
        <v>386</v>
      </c>
      <c r="L45" s="87">
        <v>53.1</v>
      </c>
      <c r="M45" s="87">
        <f t="shared" si="0"/>
        <v>54.427499999999995</v>
      </c>
      <c r="N45" s="88">
        <f>prodnorm25</f>
        <v>0</v>
      </c>
      <c r="O45" s="33">
        <f>dagwerk25</f>
        <v>0</v>
      </c>
      <c r="P45" s="85" t="s">
        <v>109</v>
      </c>
      <c r="Q45" s="21">
        <f>uurtarief25</f>
        <v>0</v>
      </c>
      <c r="R45" s="87" t="e">
        <f t="shared" si="1"/>
        <v>#DIV/0!</v>
      </c>
      <c r="S45" s="87" t="e">
        <f t="shared" si="2"/>
        <v>#DIV/0!</v>
      </c>
      <c r="T45" s="21" t="e">
        <f t="shared" si="3"/>
        <v>#DIV/0!</v>
      </c>
      <c r="U45" s="87" t="e">
        <f t="shared" si="4"/>
        <v>#DIV/0!</v>
      </c>
      <c r="V45" s="22" t="e">
        <f t="shared" si="5"/>
        <v>#DIV/0!</v>
      </c>
    </row>
    <row r="46" spans="1:22" x14ac:dyDescent="0.25">
      <c r="A46" s="84" t="s">
        <v>341</v>
      </c>
      <c r="B46" s="85" t="s">
        <v>42</v>
      </c>
      <c r="C46" s="85" t="s">
        <v>342</v>
      </c>
      <c r="D46" s="85" t="s">
        <v>405</v>
      </c>
      <c r="E46" s="86" t="s">
        <v>406</v>
      </c>
      <c r="F46" s="85" t="s">
        <v>349</v>
      </c>
      <c r="G46" s="85" t="s">
        <v>350</v>
      </c>
      <c r="H46" s="85"/>
      <c r="I46" s="85"/>
      <c r="J46" s="85"/>
      <c r="K46" s="85" t="s">
        <v>42</v>
      </c>
      <c r="L46" s="87">
        <v>28.57</v>
      </c>
      <c r="M46" s="87"/>
      <c r="N46" s="88"/>
      <c r="O46" s="33"/>
      <c r="P46" s="85"/>
      <c r="Q46" s="21"/>
      <c r="R46" s="87"/>
      <c r="S46" s="87"/>
      <c r="T46" s="21"/>
      <c r="U46" s="89"/>
      <c r="V46" s="22"/>
    </row>
    <row r="47" spans="1:22" x14ac:dyDescent="0.25">
      <c r="A47" s="84" t="s">
        <v>341</v>
      </c>
      <c r="B47" s="85" t="s">
        <v>42</v>
      </c>
      <c r="C47" s="85" t="s">
        <v>342</v>
      </c>
      <c r="D47" s="85" t="s">
        <v>407</v>
      </c>
      <c r="E47" s="86" t="s">
        <v>408</v>
      </c>
      <c r="F47" s="85" t="s">
        <v>349</v>
      </c>
      <c r="G47" s="85" t="s">
        <v>350</v>
      </c>
      <c r="H47" s="85"/>
      <c r="I47" s="85"/>
      <c r="J47" s="85"/>
      <c r="K47" s="85" t="s">
        <v>42</v>
      </c>
      <c r="L47" s="87">
        <v>63.97</v>
      </c>
      <c r="M47" s="87"/>
      <c r="N47" s="88"/>
      <c r="O47" s="33"/>
      <c r="P47" s="85"/>
      <c r="Q47" s="21"/>
      <c r="R47" s="87"/>
      <c r="S47" s="87"/>
      <c r="T47" s="21"/>
      <c r="U47" s="89"/>
      <c r="V47" s="22"/>
    </row>
    <row r="48" spans="1:22" x14ac:dyDescent="0.25">
      <c r="A48" s="84" t="s">
        <v>341</v>
      </c>
      <c r="B48" s="85" t="s">
        <v>42</v>
      </c>
      <c r="C48" s="85" t="s">
        <v>342</v>
      </c>
      <c r="D48" s="85" t="s">
        <v>409</v>
      </c>
      <c r="E48" s="86" t="s">
        <v>364</v>
      </c>
      <c r="F48" s="85" t="s">
        <v>349</v>
      </c>
      <c r="G48" s="85" t="s">
        <v>257</v>
      </c>
      <c r="H48" s="85" t="s">
        <v>12</v>
      </c>
      <c r="I48" s="85" t="s">
        <v>258</v>
      </c>
      <c r="J48" s="86" t="s">
        <v>259</v>
      </c>
      <c r="K48" s="85" t="s">
        <v>365</v>
      </c>
      <c r="L48" s="87">
        <v>12.7</v>
      </c>
      <c r="M48" s="87">
        <f t="shared" ref="M48:M79" si="6">L48*VLOOKUP(H48,dagsoorttabel1,2,FALSE)</f>
        <v>7.8104999999999993</v>
      </c>
      <c r="N48" s="88">
        <f>prodnorm5</f>
        <v>0</v>
      </c>
      <c r="O48" s="33">
        <f>dagwerk5</f>
        <v>0</v>
      </c>
      <c r="P48" s="85" t="s">
        <v>109</v>
      </c>
      <c r="Q48" s="21">
        <f>uurtarief5</f>
        <v>0</v>
      </c>
      <c r="R48" s="87" t="e">
        <f t="shared" ref="R48:R79" si="7">IF(ISBLANK(N48),0,M48/ROUND(N48,4))</f>
        <v>#DIV/0!</v>
      </c>
      <c r="S48" s="87" t="e">
        <f t="shared" ref="S48:S79" si="8">IF(ISBLANK(N48),0,R48*ROUND(O48,2))</f>
        <v>#DIV/0!</v>
      </c>
      <c r="T48" s="21" t="e">
        <f t="shared" ref="T48:T79" si="9">ROUND(Q48,2)*R48</f>
        <v>#DIV/0!</v>
      </c>
      <c r="U48" s="87" t="e">
        <f t="shared" ref="U48:U79" si="10">R48*dagenperjaar1</f>
        <v>#DIV/0!</v>
      </c>
      <c r="V48" s="22" t="e">
        <f t="shared" ref="V48:V79" si="11">U48*ROUND(Q48,2)</f>
        <v>#DIV/0!</v>
      </c>
    </row>
    <row r="49" spans="1:22" x14ac:dyDescent="0.25">
      <c r="A49" s="84" t="s">
        <v>341</v>
      </c>
      <c r="B49" s="85" t="s">
        <v>42</v>
      </c>
      <c r="C49" s="85" t="s">
        <v>342</v>
      </c>
      <c r="D49" s="85" t="s">
        <v>409</v>
      </c>
      <c r="E49" s="86" t="s">
        <v>364</v>
      </c>
      <c r="F49" s="85" t="s">
        <v>349</v>
      </c>
      <c r="G49" s="85" t="s">
        <v>260</v>
      </c>
      <c r="H49" s="85" t="s">
        <v>14</v>
      </c>
      <c r="I49" s="85" t="s">
        <v>258</v>
      </c>
      <c r="J49" s="86" t="s">
        <v>261</v>
      </c>
      <c r="K49" s="85" t="s">
        <v>365</v>
      </c>
      <c r="L49" s="87">
        <v>12.7</v>
      </c>
      <c r="M49" s="87">
        <f t="shared" si="6"/>
        <v>5.206999999999999</v>
      </c>
      <c r="N49" s="88">
        <f>prodnorm7</f>
        <v>0</v>
      </c>
      <c r="O49" s="33">
        <f>dagwerk7</f>
        <v>0</v>
      </c>
      <c r="P49" s="85" t="s">
        <v>109</v>
      </c>
      <c r="Q49" s="21">
        <f>uurtarief7</f>
        <v>0</v>
      </c>
      <c r="R49" s="87" t="e">
        <f t="shared" si="7"/>
        <v>#DIV/0!</v>
      </c>
      <c r="S49" s="87" t="e">
        <f t="shared" si="8"/>
        <v>#DIV/0!</v>
      </c>
      <c r="T49" s="21" t="e">
        <f t="shared" si="9"/>
        <v>#DIV/0!</v>
      </c>
      <c r="U49" s="87" t="e">
        <f t="shared" si="10"/>
        <v>#DIV/0!</v>
      </c>
      <c r="V49" s="22" t="e">
        <f t="shared" si="11"/>
        <v>#DIV/0!</v>
      </c>
    </row>
    <row r="50" spans="1:22" x14ac:dyDescent="0.25">
      <c r="A50" s="84" t="s">
        <v>341</v>
      </c>
      <c r="B50" s="85" t="s">
        <v>42</v>
      </c>
      <c r="C50" s="85" t="s">
        <v>342</v>
      </c>
      <c r="D50" s="85" t="s">
        <v>410</v>
      </c>
      <c r="E50" s="86" t="s">
        <v>408</v>
      </c>
      <c r="F50" s="85" t="s">
        <v>349</v>
      </c>
      <c r="G50" s="85" t="s">
        <v>320</v>
      </c>
      <c r="H50" s="85" t="s">
        <v>9</v>
      </c>
      <c r="I50" s="85" t="s">
        <v>258</v>
      </c>
      <c r="J50" s="86" t="s">
        <v>321</v>
      </c>
      <c r="K50" s="85" t="s">
        <v>346</v>
      </c>
      <c r="L50" s="87">
        <v>25.4</v>
      </c>
      <c r="M50" s="87">
        <f t="shared" si="6"/>
        <v>26.034999999999997</v>
      </c>
      <c r="N50" s="88">
        <f>prodnorm51</f>
        <v>0</v>
      </c>
      <c r="O50" s="33">
        <f>dagwerk51</f>
        <v>0</v>
      </c>
      <c r="P50" s="85" t="s">
        <v>109</v>
      </c>
      <c r="Q50" s="21">
        <f>uurtarief51</f>
        <v>0</v>
      </c>
      <c r="R50" s="87" t="e">
        <f t="shared" si="7"/>
        <v>#DIV/0!</v>
      </c>
      <c r="S50" s="87" t="e">
        <f t="shared" si="8"/>
        <v>#DIV/0!</v>
      </c>
      <c r="T50" s="21" t="e">
        <f t="shared" si="9"/>
        <v>#DIV/0!</v>
      </c>
      <c r="U50" s="87" t="e">
        <f t="shared" si="10"/>
        <v>#DIV/0!</v>
      </c>
      <c r="V50" s="22" t="e">
        <f t="shared" si="11"/>
        <v>#DIV/0!</v>
      </c>
    </row>
    <row r="51" spans="1:22" x14ac:dyDescent="0.25">
      <c r="A51" s="84" t="s">
        <v>341</v>
      </c>
      <c r="B51" s="85" t="s">
        <v>42</v>
      </c>
      <c r="C51" s="85" t="s">
        <v>342</v>
      </c>
      <c r="D51" s="85" t="s">
        <v>411</v>
      </c>
      <c r="E51" s="86" t="s">
        <v>412</v>
      </c>
      <c r="F51" s="85" t="s">
        <v>413</v>
      </c>
      <c r="G51" s="85" t="s">
        <v>322</v>
      </c>
      <c r="H51" s="85" t="s">
        <v>9</v>
      </c>
      <c r="I51" s="85" t="s">
        <v>258</v>
      </c>
      <c r="J51" s="86" t="s">
        <v>323</v>
      </c>
      <c r="K51" s="85" t="s">
        <v>42</v>
      </c>
      <c r="L51" s="87">
        <v>15.9</v>
      </c>
      <c r="M51" s="87">
        <f t="shared" si="6"/>
        <v>16.297499999999999</v>
      </c>
      <c r="N51" s="88">
        <f>prodnorm54</f>
        <v>0</v>
      </c>
      <c r="O51" s="33">
        <f>dagwerk54</f>
        <v>0</v>
      </c>
      <c r="P51" s="85" t="s">
        <v>109</v>
      </c>
      <c r="Q51" s="21">
        <f>uurtarief54</f>
        <v>0</v>
      </c>
      <c r="R51" s="87" t="e">
        <f t="shared" si="7"/>
        <v>#DIV/0!</v>
      </c>
      <c r="S51" s="87" t="e">
        <f t="shared" si="8"/>
        <v>#DIV/0!</v>
      </c>
      <c r="T51" s="21" t="e">
        <f t="shared" si="9"/>
        <v>#DIV/0!</v>
      </c>
      <c r="U51" s="87" t="e">
        <f t="shared" si="10"/>
        <v>#DIV/0!</v>
      </c>
      <c r="V51" s="22" t="e">
        <f t="shared" si="11"/>
        <v>#DIV/0!</v>
      </c>
    </row>
    <row r="52" spans="1:22" x14ac:dyDescent="0.25">
      <c r="A52" s="84" t="s">
        <v>341</v>
      </c>
      <c r="B52" s="85" t="s">
        <v>42</v>
      </c>
      <c r="C52" s="85" t="s">
        <v>342</v>
      </c>
      <c r="D52" s="85" t="s">
        <v>414</v>
      </c>
      <c r="E52" s="86" t="s">
        <v>412</v>
      </c>
      <c r="F52" s="85" t="s">
        <v>413</v>
      </c>
      <c r="G52" s="85" t="s">
        <v>322</v>
      </c>
      <c r="H52" s="85" t="s">
        <v>9</v>
      </c>
      <c r="I52" s="85" t="s">
        <v>258</v>
      </c>
      <c r="J52" s="86" t="s">
        <v>323</v>
      </c>
      <c r="K52" s="85" t="s">
        <v>42</v>
      </c>
      <c r="L52" s="87">
        <v>15.9</v>
      </c>
      <c r="M52" s="87">
        <f t="shared" si="6"/>
        <v>16.297499999999999</v>
      </c>
      <c r="N52" s="88">
        <f>prodnorm54</f>
        <v>0</v>
      </c>
      <c r="O52" s="33">
        <f>dagwerk54</f>
        <v>0</v>
      </c>
      <c r="P52" s="85" t="s">
        <v>109</v>
      </c>
      <c r="Q52" s="21">
        <f>uurtarief54</f>
        <v>0</v>
      </c>
      <c r="R52" s="87" t="e">
        <f t="shared" si="7"/>
        <v>#DIV/0!</v>
      </c>
      <c r="S52" s="87" t="e">
        <f t="shared" si="8"/>
        <v>#DIV/0!</v>
      </c>
      <c r="T52" s="21" t="e">
        <f t="shared" si="9"/>
        <v>#DIV/0!</v>
      </c>
      <c r="U52" s="87" t="e">
        <f t="shared" si="10"/>
        <v>#DIV/0!</v>
      </c>
      <c r="V52" s="22" t="e">
        <f t="shared" si="11"/>
        <v>#DIV/0!</v>
      </c>
    </row>
    <row r="53" spans="1:22" x14ac:dyDescent="0.25">
      <c r="A53" s="84" t="s">
        <v>341</v>
      </c>
      <c r="B53" s="85" t="s">
        <v>42</v>
      </c>
      <c r="C53" s="85" t="s">
        <v>342</v>
      </c>
      <c r="D53" s="85" t="s">
        <v>415</v>
      </c>
      <c r="E53" s="86" t="s">
        <v>416</v>
      </c>
      <c r="F53" s="85" t="s">
        <v>345</v>
      </c>
      <c r="G53" s="85" t="s">
        <v>310</v>
      </c>
      <c r="H53" s="85" t="s">
        <v>9</v>
      </c>
      <c r="I53" s="85" t="s">
        <v>258</v>
      </c>
      <c r="J53" s="86" t="s">
        <v>311</v>
      </c>
      <c r="K53" s="85" t="s">
        <v>417</v>
      </c>
      <c r="L53" s="87">
        <v>9.1</v>
      </c>
      <c r="M53" s="87">
        <f t="shared" si="6"/>
        <v>9.3274999999999988</v>
      </c>
      <c r="N53" s="88">
        <f>prodnorm45</f>
        <v>0</v>
      </c>
      <c r="O53" s="33">
        <f>dagwerk45</f>
        <v>0</v>
      </c>
      <c r="P53" s="85" t="s">
        <v>109</v>
      </c>
      <c r="Q53" s="21">
        <f>uurtarief45</f>
        <v>0</v>
      </c>
      <c r="R53" s="87" t="e">
        <f t="shared" si="7"/>
        <v>#DIV/0!</v>
      </c>
      <c r="S53" s="87" t="e">
        <f t="shared" si="8"/>
        <v>#DIV/0!</v>
      </c>
      <c r="T53" s="21" t="e">
        <f t="shared" si="9"/>
        <v>#DIV/0!</v>
      </c>
      <c r="U53" s="87" t="e">
        <f t="shared" si="10"/>
        <v>#DIV/0!</v>
      </c>
      <c r="V53" s="22" t="e">
        <f t="shared" si="11"/>
        <v>#DIV/0!</v>
      </c>
    </row>
    <row r="54" spans="1:22" x14ac:dyDescent="0.25">
      <c r="A54" s="84" t="s">
        <v>341</v>
      </c>
      <c r="B54" s="85" t="s">
        <v>42</v>
      </c>
      <c r="C54" s="85" t="s">
        <v>342</v>
      </c>
      <c r="D54" s="85" t="s">
        <v>418</v>
      </c>
      <c r="E54" s="86" t="s">
        <v>416</v>
      </c>
      <c r="F54" s="85" t="s">
        <v>345</v>
      </c>
      <c r="G54" s="85" t="s">
        <v>310</v>
      </c>
      <c r="H54" s="85" t="s">
        <v>9</v>
      </c>
      <c r="I54" s="85" t="s">
        <v>258</v>
      </c>
      <c r="J54" s="86" t="s">
        <v>311</v>
      </c>
      <c r="K54" s="85" t="s">
        <v>417</v>
      </c>
      <c r="L54" s="87">
        <v>9.1</v>
      </c>
      <c r="M54" s="87">
        <f t="shared" si="6"/>
        <v>9.3274999999999988</v>
      </c>
      <c r="N54" s="88">
        <f>prodnorm45</f>
        <v>0</v>
      </c>
      <c r="O54" s="33">
        <f>dagwerk45</f>
        <v>0</v>
      </c>
      <c r="P54" s="85" t="s">
        <v>109</v>
      </c>
      <c r="Q54" s="21">
        <f>uurtarief45</f>
        <v>0</v>
      </c>
      <c r="R54" s="87" t="e">
        <f t="shared" si="7"/>
        <v>#DIV/0!</v>
      </c>
      <c r="S54" s="87" t="e">
        <f t="shared" si="8"/>
        <v>#DIV/0!</v>
      </c>
      <c r="T54" s="21" t="e">
        <f t="shared" si="9"/>
        <v>#DIV/0!</v>
      </c>
      <c r="U54" s="87" t="e">
        <f t="shared" si="10"/>
        <v>#DIV/0!</v>
      </c>
      <c r="V54" s="22" t="e">
        <f t="shared" si="11"/>
        <v>#DIV/0!</v>
      </c>
    </row>
    <row r="55" spans="1:22" x14ac:dyDescent="0.25">
      <c r="A55" s="84" t="s">
        <v>341</v>
      </c>
      <c r="B55" s="85" t="s">
        <v>42</v>
      </c>
      <c r="C55" s="85" t="s">
        <v>342</v>
      </c>
      <c r="D55" s="85" t="s">
        <v>419</v>
      </c>
      <c r="E55" s="86" t="s">
        <v>416</v>
      </c>
      <c r="F55" s="85" t="s">
        <v>345</v>
      </c>
      <c r="G55" s="85" t="s">
        <v>310</v>
      </c>
      <c r="H55" s="85" t="s">
        <v>9</v>
      </c>
      <c r="I55" s="85" t="s">
        <v>258</v>
      </c>
      <c r="J55" s="86" t="s">
        <v>311</v>
      </c>
      <c r="K55" s="85" t="s">
        <v>417</v>
      </c>
      <c r="L55" s="87">
        <v>9.1</v>
      </c>
      <c r="M55" s="87">
        <f t="shared" si="6"/>
        <v>9.3274999999999988</v>
      </c>
      <c r="N55" s="88">
        <f>prodnorm45</f>
        <v>0</v>
      </c>
      <c r="O55" s="33">
        <f>dagwerk45</f>
        <v>0</v>
      </c>
      <c r="P55" s="85" t="s">
        <v>109</v>
      </c>
      <c r="Q55" s="21">
        <f>uurtarief45</f>
        <v>0</v>
      </c>
      <c r="R55" s="87" t="e">
        <f t="shared" si="7"/>
        <v>#DIV/0!</v>
      </c>
      <c r="S55" s="87" t="e">
        <f t="shared" si="8"/>
        <v>#DIV/0!</v>
      </c>
      <c r="T55" s="21" t="e">
        <f t="shared" si="9"/>
        <v>#DIV/0!</v>
      </c>
      <c r="U55" s="87" t="e">
        <f t="shared" si="10"/>
        <v>#DIV/0!</v>
      </c>
      <c r="V55" s="22" t="e">
        <f t="shared" si="11"/>
        <v>#DIV/0!</v>
      </c>
    </row>
    <row r="56" spans="1:22" x14ac:dyDescent="0.25">
      <c r="A56" s="84" t="s">
        <v>341</v>
      </c>
      <c r="B56" s="85" t="s">
        <v>42</v>
      </c>
      <c r="C56" s="85" t="s">
        <v>342</v>
      </c>
      <c r="D56" s="85" t="s">
        <v>420</v>
      </c>
      <c r="E56" s="86" t="s">
        <v>416</v>
      </c>
      <c r="F56" s="85" t="s">
        <v>345</v>
      </c>
      <c r="G56" s="85" t="s">
        <v>310</v>
      </c>
      <c r="H56" s="85" t="s">
        <v>9</v>
      </c>
      <c r="I56" s="85" t="s">
        <v>258</v>
      </c>
      <c r="J56" s="86" t="s">
        <v>311</v>
      </c>
      <c r="K56" s="85" t="s">
        <v>417</v>
      </c>
      <c r="L56" s="87">
        <v>7.1</v>
      </c>
      <c r="M56" s="87">
        <f t="shared" si="6"/>
        <v>7.277499999999999</v>
      </c>
      <c r="N56" s="88">
        <f>prodnorm45</f>
        <v>0</v>
      </c>
      <c r="O56" s="33">
        <f>dagwerk45</f>
        <v>0</v>
      </c>
      <c r="P56" s="85" t="s">
        <v>109</v>
      </c>
      <c r="Q56" s="21">
        <f>uurtarief45</f>
        <v>0</v>
      </c>
      <c r="R56" s="87" t="e">
        <f t="shared" si="7"/>
        <v>#DIV/0!</v>
      </c>
      <c r="S56" s="87" t="e">
        <f t="shared" si="8"/>
        <v>#DIV/0!</v>
      </c>
      <c r="T56" s="21" t="e">
        <f t="shared" si="9"/>
        <v>#DIV/0!</v>
      </c>
      <c r="U56" s="87" t="e">
        <f t="shared" si="10"/>
        <v>#DIV/0!</v>
      </c>
      <c r="V56" s="22" t="e">
        <f t="shared" si="11"/>
        <v>#DIV/0!</v>
      </c>
    </row>
    <row r="57" spans="1:22" x14ac:dyDescent="0.25">
      <c r="A57" s="84" t="s">
        <v>341</v>
      </c>
      <c r="B57" s="85" t="s">
        <v>42</v>
      </c>
      <c r="C57" s="85" t="s">
        <v>342</v>
      </c>
      <c r="D57" s="85" t="s">
        <v>421</v>
      </c>
      <c r="E57" s="86" t="s">
        <v>416</v>
      </c>
      <c r="F57" s="85" t="s">
        <v>345</v>
      </c>
      <c r="G57" s="85" t="s">
        <v>310</v>
      </c>
      <c r="H57" s="85" t="s">
        <v>9</v>
      </c>
      <c r="I57" s="85" t="s">
        <v>258</v>
      </c>
      <c r="J57" s="86" t="s">
        <v>311</v>
      </c>
      <c r="K57" s="85" t="s">
        <v>417</v>
      </c>
      <c r="L57" s="87">
        <v>18</v>
      </c>
      <c r="M57" s="87">
        <f t="shared" si="6"/>
        <v>18.45</v>
      </c>
      <c r="N57" s="88">
        <f>prodnorm45</f>
        <v>0</v>
      </c>
      <c r="O57" s="33">
        <f>dagwerk45</f>
        <v>0</v>
      </c>
      <c r="P57" s="85" t="s">
        <v>109</v>
      </c>
      <c r="Q57" s="21">
        <f>uurtarief45</f>
        <v>0</v>
      </c>
      <c r="R57" s="87" t="e">
        <f t="shared" si="7"/>
        <v>#DIV/0!</v>
      </c>
      <c r="S57" s="87" t="e">
        <f t="shared" si="8"/>
        <v>#DIV/0!</v>
      </c>
      <c r="T57" s="21" t="e">
        <f t="shared" si="9"/>
        <v>#DIV/0!</v>
      </c>
      <c r="U57" s="87" t="e">
        <f t="shared" si="10"/>
        <v>#DIV/0!</v>
      </c>
      <c r="V57" s="22" t="e">
        <f t="shared" si="11"/>
        <v>#DIV/0!</v>
      </c>
    </row>
    <row r="58" spans="1:22" x14ac:dyDescent="0.25">
      <c r="A58" s="84" t="s">
        <v>341</v>
      </c>
      <c r="B58" s="85" t="s">
        <v>42</v>
      </c>
      <c r="C58" s="85" t="s">
        <v>342</v>
      </c>
      <c r="D58" s="85" t="s">
        <v>422</v>
      </c>
      <c r="E58" s="86" t="s">
        <v>423</v>
      </c>
      <c r="F58" s="85" t="s">
        <v>353</v>
      </c>
      <c r="G58" s="85" t="s">
        <v>284</v>
      </c>
      <c r="H58" s="85" t="s">
        <v>9</v>
      </c>
      <c r="I58" s="85" t="s">
        <v>258</v>
      </c>
      <c r="J58" s="86" t="s">
        <v>285</v>
      </c>
      <c r="K58" s="85" t="s">
        <v>386</v>
      </c>
      <c r="L58" s="87">
        <v>53.1</v>
      </c>
      <c r="M58" s="87">
        <f t="shared" si="6"/>
        <v>54.427499999999995</v>
      </c>
      <c r="N58" s="88">
        <f t="shared" ref="N58:N70" si="12">prodnorm25</f>
        <v>0</v>
      </c>
      <c r="O58" s="33">
        <f t="shared" ref="O58:O70" si="13">dagwerk25</f>
        <v>0</v>
      </c>
      <c r="P58" s="85" t="s">
        <v>109</v>
      </c>
      <c r="Q58" s="21">
        <f t="shared" ref="Q58:Q70" si="14">uurtarief25</f>
        <v>0</v>
      </c>
      <c r="R58" s="87" t="e">
        <f t="shared" si="7"/>
        <v>#DIV/0!</v>
      </c>
      <c r="S58" s="87" t="e">
        <f t="shared" si="8"/>
        <v>#DIV/0!</v>
      </c>
      <c r="T58" s="21" t="e">
        <f t="shared" si="9"/>
        <v>#DIV/0!</v>
      </c>
      <c r="U58" s="87" t="e">
        <f t="shared" si="10"/>
        <v>#DIV/0!</v>
      </c>
      <c r="V58" s="22" t="e">
        <f t="shared" si="11"/>
        <v>#DIV/0!</v>
      </c>
    </row>
    <row r="59" spans="1:22" x14ac:dyDescent="0.25">
      <c r="A59" s="84" t="s">
        <v>341</v>
      </c>
      <c r="B59" s="85" t="s">
        <v>42</v>
      </c>
      <c r="C59" s="85" t="s">
        <v>342</v>
      </c>
      <c r="D59" s="85" t="s">
        <v>424</v>
      </c>
      <c r="E59" s="86" t="s">
        <v>423</v>
      </c>
      <c r="F59" s="85" t="s">
        <v>353</v>
      </c>
      <c r="G59" s="85" t="s">
        <v>284</v>
      </c>
      <c r="H59" s="85" t="s">
        <v>9</v>
      </c>
      <c r="I59" s="85" t="s">
        <v>258</v>
      </c>
      <c r="J59" s="86" t="s">
        <v>285</v>
      </c>
      <c r="K59" s="85" t="s">
        <v>386</v>
      </c>
      <c r="L59" s="87">
        <v>53.1</v>
      </c>
      <c r="M59" s="87">
        <f t="shared" si="6"/>
        <v>54.427499999999995</v>
      </c>
      <c r="N59" s="88">
        <f t="shared" si="12"/>
        <v>0</v>
      </c>
      <c r="O59" s="33">
        <f t="shared" si="13"/>
        <v>0</v>
      </c>
      <c r="P59" s="85" t="s">
        <v>109</v>
      </c>
      <c r="Q59" s="21">
        <f t="shared" si="14"/>
        <v>0</v>
      </c>
      <c r="R59" s="87" t="e">
        <f t="shared" si="7"/>
        <v>#DIV/0!</v>
      </c>
      <c r="S59" s="87" t="e">
        <f t="shared" si="8"/>
        <v>#DIV/0!</v>
      </c>
      <c r="T59" s="21" t="e">
        <f t="shared" si="9"/>
        <v>#DIV/0!</v>
      </c>
      <c r="U59" s="87" t="e">
        <f t="shared" si="10"/>
        <v>#DIV/0!</v>
      </c>
      <c r="V59" s="22" t="e">
        <f t="shared" si="11"/>
        <v>#DIV/0!</v>
      </c>
    </row>
    <row r="60" spans="1:22" x14ac:dyDescent="0.25">
      <c r="A60" s="84" t="s">
        <v>341</v>
      </c>
      <c r="B60" s="85" t="s">
        <v>42</v>
      </c>
      <c r="C60" s="85" t="s">
        <v>342</v>
      </c>
      <c r="D60" s="85" t="s">
        <v>425</v>
      </c>
      <c r="E60" s="86" t="s">
        <v>423</v>
      </c>
      <c r="F60" s="85" t="s">
        <v>353</v>
      </c>
      <c r="G60" s="85" t="s">
        <v>284</v>
      </c>
      <c r="H60" s="85" t="s">
        <v>9</v>
      </c>
      <c r="I60" s="85" t="s">
        <v>258</v>
      </c>
      <c r="J60" s="86" t="s">
        <v>285</v>
      </c>
      <c r="K60" s="85" t="s">
        <v>386</v>
      </c>
      <c r="L60" s="87">
        <v>54</v>
      </c>
      <c r="M60" s="87">
        <f t="shared" si="6"/>
        <v>55.349999999999994</v>
      </c>
      <c r="N60" s="88">
        <f t="shared" si="12"/>
        <v>0</v>
      </c>
      <c r="O60" s="33">
        <f t="shared" si="13"/>
        <v>0</v>
      </c>
      <c r="P60" s="85" t="s">
        <v>109</v>
      </c>
      <c r="Q60" s="21">
        <f t="shared" si="14"/>
        <v>0</v>
      </c>
      <c r="R60" s="87" t="e">
        <f t="shared" si="7"/>
        <v>#DIV/0!</v>
      </c>
      <c r="S60" s="87" t="e">
        <f t="shared" si="8"/>
        <v>#DIV/0!</v>
      </c>
      <c r="T60" s="21" t="e">
        <f t="shared" si="9"/>
        <v>#DIV/0!</v>
      </c>
      <c r="U60" s="87" t="e">
        <f t="shared" si="10"/>
        <v>#DIV/0!</v>
      </c>
      <c r="V60" s="22" t="e">
        <f t="shared" si="11"/>
        <v>#DIV/0!</v>
      </c>
    </row>
    <row r="61" spans="1:22" x14ac:dyDescent="0.25">
      <c r="A61" s="84" t="s">
        <v>341</v>
      </c>
      <c r="B61" s="85" t="s">
        <v>42</v>
      </c>
      <c r="C61" s="85" t="s">
        <v>342</v>
      </c>
      <c r="D61" s="85" t="s">
        <v>426</v>
      </c>
      <c r="E61" s="86" t="s">
        <v>423</v>
      </c>
      <c r="F61" s="85" t="s">
        <v>353</v>
      </c>
      <c r="G61" s="85" t="s">
        <v>284</v>
      </c>
      <c r="H61" s="85" t="s">
        <v>9</v>
      </c>
      <c r="I61" s="85" t="s">
        <v>258</v>
      </c>
      <c r="J61" s="86" t="s">
        <v>285</v>
      </c>
      <c r="K61" s="85" t="s">
        <v>386</v>
      </c>
      <c r="L61" s="87">
        <v>54</v>
      </c>
      <c r="M61" s="87">
        <f t="shared" si="6"/>
        <v>55.349999999999994</v>
      </c>
      <c r="N61" s="88">
        <f t="shared" si="12"/>
        <v>0</v>
      </c>
      <c r="O61" s="33">
        <f t="shared" si="13"/>
        <v>0</v>
      </c>
      <c r="P61" s="85" t="s">
        <v>109</v>
      </c>
      <c r="Q61" s="21">
        <f t="shared" si="14"/>
        <v>0</v>
      </c>
      <c r="R61" s="87" t="e">
        <f t="shared" si="7"/>
        <v>#DIV/0!</v>
      </c>
      <c r="S61" s="87" t="e">
        <f t="shared" si="8"/>
        <v>#DIV/0!</v>
      </c>
      <c r="T61" s="21" t="e">
        <f t="shared" si="9"/>
        <v>#DIV/0!</v>
      </c>
      <c r="U61" s="87" t="e">
        <f t="shared" si="10"/>
        <v>#DIV/0!</v>
      </c>
      <c r="V61" s="22" t="e">
        <f t="shared" si="11"/>
        <v>#DIV/0!</v>
      </c>
    </row>
    <row r="62" spans="1:22" x14ac:dyDescent="0.25">
      <c r="A62" s="84" t="s">
        <v>341</v>
      </c>
      <c r="B62" s="85" t="s">
        <v>42</v>
      </c>
      <c r="C62" s="85" t="s">
        <v>342</v>
      </c>
      <c r="D62" s="85" t="s">
        <v>427</v>
      </c>
      <c r="E62" s="86" t="s">
        <v>423</v>
      </c>
      <c r="F62" s="85" t="s">
        <v>353</v>
      </c>
      <c r="G62" s="85" t="s">
        <v>284</v>
      </c>
      <c r="H62" s="85" t="s">
        <v>9</v>
      </c>
      <c r="I62" s="85" t="s">
        <v>258</v>
      </c>
      <c r="J62" s="86" t="s">
        <v>285</v>
      </c>
      <c r="K62" s="85" t="s">
        <v>386</v>
      </c>
      <c r="L62" s="87">
        <v>54</v>
      </c>
      <c r="M62" s="87">
        <f t="shared" si="6"/>
        <v>55.349999999999994</v>
      </c>
      <c r="N62" s="88">
        <f t="shared" si="12"/>
        <v>0</v>
      </c>
      <c r="O62" s="33">
        <f t="shared" si="13"/>
        <v>0</v>
      </c>
      <c r="P62" s="85" t="s">
        <v>109</v>
      </c>
      <c r="Q62" s="21">
        <f t="shared" si="14"/>
        <v>0</v>
      </c>
      <c r="R62" s="87" t="e">
        <f t="shared" si="7"/>
        <v>#DIV/0!</v>
      </c>
      <c r="S62" s="87" t="e">
        <f t="shared" si="8"/>
        <v>#DIV/0!</v>
      </c>
      <c r="T62" s="21" t="e">
        <f t="shared" si="9"/>
        <v>#DIV/0!</v>
      </c>
      <c r="U62" s="87" t="e">
        <f t="shared" si="10"/>
        <v>#DIV/0!</v>
      </c>
      <c r="V62" s="22" t="e">
        <f t="shared" si="11"/>
        <v>#DIV/0!</v>
      </c>
    </row>
    <row r="63" spans="1:22" x14ac:dyDescent="0.25">
      <c r="A63" s="84" t="s">
        <v>341</v>
      </c>
      <c r="B63" s="85" t="s">
        <v>42</v>
      </c>
      <c r="C63" s="85" t="s">
        <v>342</v>
      </c>
      <c r="D63" s="85" t="s">
        <v>428</v>
      </c>
      <c r="E63" s="86" t="s">
        <v>423</v>
      </c>
      <c r="F63" s="85" t="s">
        <v>353</v>
      </c>
      <c r="G63" s="85" t="s">
        <v>284</v>
      </c>
      <c r="H63" s="85" t="s">
        <v>9</v>
      </c>
      <c r="I63" s="85" t="s">
        <v>258</v>
      </c>
      <c r="J63" s="86" t="s">
        <v>285</v>
      </c>
      <c r="K63" s="85" t="s">
        <v>386</v>
      </c>
      <c r="L63" s="87">
        <v>54</v>
      </c>
      <c r="M63" s="87">
        <f t="shared" si="6"/>
        <v>55.349999999999994</v>
      </c>
      <c r="N63" s="88">
        <f t="shared" si="12"/>
        <v>0</v>
      </c>
      <c r="O63" s="33">
        <f t="shared" si="13"/>
        <v>0</v>
      </c>
      <c r="P63" s="85" t="s">
        <v>109</v>
      </c>
      <c r="Q63" s="21">
        <f t="shared" si="14"/>
        <v>0</v>
      </c>
      <c r="R63" s="87" t="e">
        <f t="shared" si="7"/>
        <v>#DIV/0!</v>
      </c>
      <c r="S63" s="87" t="e">
        <f t="shared" si="8"/>
        <v>#DIV/0!</v>
      </c>
      <c r="T63" s="21" t="e">
        <f t="shared" si="9"/>
        <v>#DIV/0!</v>
      </c>
      <c r="U63" s="87" t="e">
        <f t="shared" si="10"/>
        <v>#DIV/0!</v>
      </c>
      <c r="V63" s="22" t="e">
        <f t="shared" si="11"/>
        <v>#DIV/0!</v>
      </c>
    </row>
    <row r="64" spans="1:22" x14ac:dyDescent="0.25">
      <c r="A64" s="84" t="s">
        <v>341</v>
      </c>
      <c r="B64" s="85" t="s">
        <v>42</v>
      </c>
      <c r="C64" s="85" t="s">
        <v>342</v>
      </c>
      <c r="D64" s="85" t="s">
        <v>429</v>
      </c>
      <c r="E64" s="86" t="s">
        <v>423</v>
      </c>
      <c r="F64" s="85" t="s">
        <v>353</v>
      </c>
      <c r="G64" s="85" t="s">
        <v>284</v>
      </c>
      <c r="H64" s="85" t="s">
        <v>9</v>
      </c>
      <c r="I64" s="85" t="s">
        <v>258</v>
      </c>
      <c r="J64" s="86" t="s">
        <v>285</v>
      </c>
      <c r="K64" s="85" t="s">
        <v>386</v>
      </c>
      <c r="L64" s="87">
        <v>54</v>
      </c>
      <c r="M64" s="87">
        <f t="shared" si="6"/>
        <v>55.349999999999994</v>
      </c>
      <c r="N64" s="88">
        <f t="shared" si="12"/>
        <v>0</v>
      </c>
      <c r="O64" s="33">
        <f t="shared" si="13"/>
        <v>0</v>
      </c>
      <c r="P64" s="85" t="s">
        <v>109</v>
      </c>
      <c r="Q64" s="21">
        <f t="shared" si="14"/>
        <v>0</v>
      </c>
      <c r="R64" s="87" t="e">
        <f t="shared" si="7"/>
        <v>#DIV/0!</v>
      </c>
      <c r="S64" s="87" t="e">
        <f t="shared" si="8"/>
        <v>#DIV/0!</v>
      </c>
      <c r="T64" s="21" t="e">
        <f t="shared" si="9"/>
        <v>#DIV/0!</v>
      </c>
      <c r="U64" s="87" t="e">
        <f t="shared" si="10"/>
        <v>#DIV/0!</v>
      </c>
      <c r="V64" s="22" t="e">
        <f t="shared" si="11"/>
        <v>#DIV/0!</v>
      </c>
    </row>
    <row r="65" spans="1:22" x14ac:dyDescent="0.25">
      <c r="A65" s="84" t="s">
        <v>341</v>
      </c>
      <c r="B65" s="85" t="s">
        <v>42</v>
      </c>
      <c r="C65" s="85" t="s">
        <v>342</v>
      </c>
      <c r="D65" s="85" t="s">
        <v>430</v>
      </c>
      <c r="E65" s="86" t="s">
        <v>423</v>
      </c>
      <c r="F65" s="85" t="s">
        <v>353</v>
      </c>
      <c r="G65" s="85" t="s">
        <v>284</v>
      </c>
      <c r="H65" s="85" t="s">
        <v>9</v>
      </c>
      <c r="I65" s="85" t="s">
        <v>258</v>
      </c>
      <c r="J65" s="86" t="s">
        <v>285</v>
      </c>
      <c r="K65" s="85" t="s">
        <v>386</v>
      </c>
      <c r="L65" s="87">
        <v>54</v>
      </c>
      <c r="M65" s="87">
        <f t="shared" si="6"/>
        <v>55.349999999999994</v>
      </c>
      <c r="N65" s="88">
        <f t="shared" si="12"/>
        <v>0</v>
      </c>
      <c r="O65" s="33">
        <f t="shared" si="13"/>
        <v>0</v>
      </c>
      <c r="P65" s="85" t="s">
        <v>109</v>
      </c>
      <c r="Q65" s="21">
        <f t="shared" si="14"/>
        <v>0</v>
      </c>
      <c r="R65" s="87" t="e">
        <f t="shared" si="7"/>
        <v>#DIV/0!</v>
      </c>
      <c r="S65" s="87" t="e">
        <f t="shared" si="8"/>
        <v>#DIV/0!</v>
      </c>
      <c r="T65" s="21" t="e">
        <f t="shared" si="9"/>
        <v>#DIV/0!</v>
      </c>
      <c r="U65" s="87" t="e">
        <f t="shared" si="10"/>
        <v>#DIV/0!</v>
      </c>
      <c r="V65" s="22" t="e">
        <f t="shared" si="11"/>
        <v>#DIV/0!</v>
      </c>
    </row>
    <row r="66" spans="1:22" x14ac:dyDescent="0.25">
      <c r="A66" s="84" t="s">
        <v>341</v>
      </c>
      <c r="B66" s="85" t="s">
        <v>42</v>
      </c>
      <c r="C66" s="85" t="s">
        <v>342</v>
      </c>
      <c r="D66" s="85" t="s">
        <v>431</v>
      </c>
      <c r="E66" s="86" t="s">
        <v>423</v>
      </c>
      <c r="F66" s="85" t="s">
        <v>353</v>
      </c>
      <c r="G66" s="85" t="s">
        <v>284</v>
      </c>
      <c r="H66" s="85" t="s">
        <v>9</v>
      </c>
      <c r="I66" s="85" t="s">
        <v>258</v>
      </c>
      <c r="J66" s="86" t="s">
        <v>285</v>
      </c>
      <c r="K66" s="85" t="s">
        <v>386</v>
      </c>
      <c r="L66" s="87">
        <v>54</v>
      </c>
      <c r="M66" s="87">
        <f t="shared" si="6"/>
        <v>55.349999999999994</v>
      </c>
      <c r="N66" s="88">
        <f t="shared" si="12"/>
        <v>0</v>
      </c>
      <c r="O66" s="33">
        <f t="shared" si="13"/>
        <v>0</v>
      </c>
      <c r="P66" s="85" t="s">
        <v>109</v>
      </c>
      <c r="Q66" s="21">
        <f t="shared" si="14"/>
        <v>0</v>
      </c>
      <c r="R66" s="87" t="e">
        <f t="shared" si="7"/>
        <v>#DIV/0!</v>
      </c>
      <c r="S66" s="87" t="e">
        <f t="shared" si="8"/>
        <v>#DIV/0!</v>
      </c>
      <c r="T66" s="21" t="e">
        <f t="shared" si="9"/>
        <v>#DIV/0!</v>
      </c>
      <c r="U66" s="87" t="e">
        <f t="shared" si="10"/>
        <v>#DIV/0!</v>
      </c>
      <c r="V66" s="22" t="e">
        <f t="shared" si="11"/>
        <v>#DIV/0!</v>
      </c>
    </row>
    <row r="67" spans="1:22" x14ac:dyDescent="0.25">
      <c r="A67" s="84" t="s">
        <v>341</v>
      </c>
      <c r="B67" s="85" t="s">
        <v>42</v>
      </c>
      <c r="C67" s="85" t="s">
        <v>342</v>
      </c>
      <c r="D67" s="85" t="s">
        <v>432</v>
      </c>
      <c r="E67" s="86" t="s">
        <v>423</v>
      </c>
      <c r="F67" s="85" t="s">
        <v>353</v>
      </c>
      <c r="G67" s="85" t="s">
        <v>284</v>
      </c>
      <c r="H67" s="85" t="s">
        <v>9</v>
      </c>
      <c r="I67" s="85" t="s">
        <v>258</v>
      </c>
      <c r="J67" s="86" t="s">
        <v>285</v>
      </c>
      <c r="K67" s="85" t="s">
        <v>386</v>
      </c>
      <c r="L67" s="87">
        <v>54</v>
      </c>
      <c r="M67" s="87">
        <f t="shared" si="6"/>
        <v>55.349999999999994</v>
      </c>
      <c r="N67" s="88">
        <f t="shared" si="12"/>
        <v>0</v>
      </c>
      <c r="O67" s="33">
        <f t="shared" si="13"/>
        <v>0</v>
      </c>
      <c r="P67" s="85" t="s">
        <v>109</v>
      </c>
      <c r="Q67" s="21">
        <f t="shared" si="14"/>
        <v>0</v>
      </c>
      <c r="R67" s="87" t="e">
        <f t="shared" si="7"/>
        <v>#DIV/0!</v>
      </c>
      <c r="S67" s="87" t="e">
        <f t="shared" si="8"/>
        <v>#DIV/0!</v>
      </c>
      <c r="T67" s="21" t="e">
        <f t="shared" si="9"/>
        <v>#DIV/0!</v>
      </c>
      <c r="U67" s="87" t="e">
        <f t="shared" si="10"/>
        <v>#DIV/0!</v>
      </c>
      <c r="V67" s="22" t="e">
        <f t="shared" si="11"/>
        <v>#DIV/0!</v>
      </c>
    </row>
    <row r="68" spans="1:22" x14ac:dyDescent="0.25">
      <c r="A68" s="84" t="s">
        <v>341</v>
      </c>
      <c r="B68" s="85" t="s">
        <v>42</v>
      </c>
      <c r="C68" s="85" t="s">
        <v>342</v>
      </c>
      <c r="D68" s="85" t="s">
        <v>433</v>
      </c>
      <c r="E68" s="86" t="s">
        <v>423</v>
      </c>
      <c r="F68" s="85" t="s">
        <v>353</v>
      </c>
      <c r="G68" s="85" t="s">
        <v>284</v>
      </c>
      <c r="H68" s="85" t="s">
        <v>9</v>
      </c>
      <c r="I68" s="85" t="s">
        <v>258</v>
      </c>
      <c r="J68" s="86" t="s">
        <v>285</v>
      </c>
      <c r="K68" s="85" t="s">
        <v>386</v>
      </c>
      <c r="L68" s="87">
        <v>53.1</v>
      </c>
      <c r="M68" s="87">
        <f t="shared" si="6"/>
        <v>54.427499999999995</v>
      </c>
      <c r="N68" s="88">
        <f t="shared" si="12"/>
        <v>0</v>
      </c>
      <c r="O68" s="33">
        <f t="shared" si="13"/>
        <v>0</v>
      </c>
      <c r="P68" s="85" t="s">
        <v>109</v>
      </c>
      <c r="Q68" s="21">
        <f t="shared" si="14"/>
        <v>0</v>
      </c>
      <c r="R68" s="87" t="e">
        <f t="shared" si="7"/>
        <v>#DIV/0!</v>
      </c>
      <c r="S68" s="87" t="e">
        <f t="shared" si="8"/>
        <v>#DIV/0!</v>
      </c>
      <c r="T68" s="21" t="e">
        <f t="shared" si="9"/>
        <v>#DIV/0!</v>
      </c>
      <c r="U68" s="87" t="e">
        <f t="shared" si="10"/>
        <v>#DIV/0!</v>
      </c>
      <c r="V68" s="22" t="e">
        <f t="shared" si="11"/>
        <v>#DIV/0!</v>
      </c>
    </row>
    <row r="69" spans="1:22" x14ac:dyDescent="0.25">
      <c r="A69" s="84" t="s">
        <v>341</v>
      </c>
      <c r="B69" s="85" t="s">
        <v>42</v>
      </c>
      <c r="C69" s="85" t="s">
        <v>342</v>
      </c>
      <c r="D69" s="85" t="s">
        <v>434</v>
      </c>
      <c r="E69" s="86" t="s">
        <v>423</v>
      </c>
      <c r="F69" s="85" t="s">
        <v>353</v>
      </c>
      <c r="G69" s="85" t="s">
        <v>284</v>
      </c>
      <c r="H69" s="85" t="s">
        <v>9</v>
      </c>
      <c r="I69" s="85" t="s">
        <v>258</v>
      </c>
      <c r="J69" s="86" t="s">
        <v>285</v>
      </c>
      <c r="K69" s="85" t="s">
        <v>386</v>
      </c>
      <c r="L69" s="87">
        <v>53.1</v>
      </c>
      <c r="M69" s="87">
        <f t="shared" si="6"/>
        <v>54.427499999999995</v>
      </c>
      <c r="N69" s="88">
        <f t="shared" si="12"/>
        <v>0</v>
      </c>
      <c r="O69" s="33">
        <f t="shared" si="13"/>
        <v>0</v>
      </c>
      <c r="P69" s="85" t="s">
        <v>109</v>
      </c>
      <c r="Q69" s="21">
        <f t="shared" si="14"/>
        <v>0</v>
      </c>
      <c r="R69" s="87" t="e">
        <f t="shared" si="7"/>
        <v>#DIV/0!</v>
      </c>
      <c r="S69" s="87" t="e">
        <f t="shared" si="8"/>
        <v>#DIV/0!</v>
      </c>
      <c r="T69" s="21" t="e">
        <f t="shared" si="9"/>
        <v>#DIV/0!</v>
      </c>
      <c r="U69" s="87" t="e">
        <f t="shared" si="10"/>
        <v>#DIV/0!</v>
      </c>
      <c r="V69" s="22" t="e">
        <f t="shared" si="11"/>
        <v>#DIV/0!</v>
      </c>
    </row>
    <row r="70" spans="1:22" x14ac:dyDescent="0.25">
      <c r="A70" s="84" t="s">
        <v>341</v>
      </c>
      <c r="B70" s="85" t="s">
        <v>42</v>
      </c>
      <c r="C70" s="85" t="s">
        <v>342</v>
      </c>
      <c r="D70" s="85" t="s">
        <v>435</v>
      </c>
      <c r="E70" s="86" t="s">
        <v>423</v>
      </c>
      <c r="F70" s="85" t="s">
        <v>353</v>
      </c>
      <c r="G70" s="85" t="s">
        <v>284</v>
      </c>
      <c r="H70" s="85" t="s">
        <v>9</v>
      </c>
      <c r="I70" s="85" t="s">
        <v>258</v>
      </c>
      <c r="J70" s="86" t="s">
        <v>285</v>
      </c>
      <c r="K70" s="85" t="s">
        <v>386</v>
      </c>
      <c r="L70" s="87">
        <v>54</v>
      </c>
      <c r="M70" s="87">
        <f t="shared" si="6"/>
        <v>55.349999999999994</v>
      </c>
      <c r="N70" s="88">
        <f t="shared" si="12"/>
        <v>0</v>
      </c>
      <c r="O70" s="33">
        <f t="shared" si="13"/>
        <v>0</v>
      </c>
      <c r="P70" s="85" t="s">
        <v>109</v>
      </c>
      <c r="Q70" s="21">
        <f t="shared" si="14"/>
        <v>0</v>
      </c>
      <c r="R70" s="87" t="e">
        <f t="shared" si="7"/>
        <v>#DIV/0!</v>
      </c>
      <c r="S70" s="87" t="e">
        <f t="shared" si="8"/>
        <v>#DIV/0!</v>
      </c>
      <c r="T70" s="21" t="e">
        <f t="shared" si="9"/>
        <v>#DIV/0!</v>
      </c>
      <c r="U70" s="87" t="e">
        <f t="shared" si="10"/>
        <v>#DIV/0!</v>
      </c>
      <c r="V70" s="22" t="e">
        <f t="shared" si="11"/>
        <v>#DIV/0!</v>
      </c>
    </row>
    <row r="71" spans="1:22" x14ac:dyDescent="0.25">
      <c r="A71" s="84" t="s">
        <v>341</v>
      </c>
      <c r="B71" s="85" t="s">
        <v>42</v>
      </c>
      <c r="C71" s="85" t="s">
        <v>342</v>
      </c>
      <c r="D71" s="85" t="s">
        <v>436</v>
      </c>
      <c r="E71" s="86" t="s">
        <v>437</v>
      </c>
      <c r="F71" s="85" t="s">
        <v>353</v>
      </c>
      <c r="G71" s="85" t="s">
        <v>288</v>
      </c>
      <c r="H71" s="85" t="s">
        <v>9</v>
      </c>
      <c r="I71" s="85" t="s">
        <v>258</v>
      </c>
      <c r="J71" s="86" t="s">
        <v>289</v>
      </c>
      <c r="K71" s="85" t="s">
        <v>346</v>
      </c>
      <c r="L71" s="87">
        <v>57.3</v>
      </c>
      <c r="M71" s="87">
        <f t="shared" si="6"/>
        <v>58.732499999999995</v>
      </c>
      <c r="N71" s="88">
        <f>prodnorm27</f>
        <v>0</v>
      </c>
      <c r="O71" s="33">
        <f>dagwerk27</f>
        <v>0</v>
      </c>
      <c r="P71" s="85" t="s">
        <v>109</v>
      </c>
      <c r="Q71" s="21">
        <f>uurtarief27</f>
        <v>0</v>
      </c>
      <c r="R71" s="87" t="e">
        <f t="shared" si="7"/>
        <v>#DIV/0!</v>
      </c>
      <c r="S71" s="87" t="e">
        <f t="shared" si="8"/>
        <v>#DIV/0!</v>
      </c>
      <c r="T71" s="21" t="e">
        <f t="shared" si="9"/>
        <v>#DIV/0!</v>
      </c>
      <c r="U71" s="87" t="e">
        <f t="shared" si="10"/>
        <v>#DIV/0!</v>
      </c>
      <c r="V71" s="22" t="e">
        <f t="shared" si="11"/>
        <v>#DIV/0!</v>
      </c>
    </row>
    <row r="72" spans="1:22" x14ac:dyDescent="0.25">
      <c r="A72" s="84" t="s">
        <v>341</v>
      </c>
      <c r="B72" s="85" t="s">
        <v>42</v>
      </c>
      <c r="C72" s="85" t="s">
        <v>342</v>
      </c>
      <c r="D72" s="85" t="s">
        <v>438</v>
      </c>
      <c r="E72" s="86" t="s">
        <v>439</v>
      </c>
      <c r="F72" s="85" t="s">
        <v>353</v>
      </c>
      <c r="G72" s="85" t="s">
        <v>257</v>
      </c>
      <c r="H72" s="85" t="s">
        <v>12</v>
      </c>
      <c r="I72" s="85" t="s">
        <v>258</v>
      </c>
      <c r="J72" s="86" t="s">
        <v>259</v>
      </c>
      <c r="K72" s="85" t="s">
        <v>365</v>
      </c>
      <c r="L72" s="87">
        <v>12.5</v>
      </c>
      <c r="M72" s="87">
        <f t="shared" si="6"/>
        <v>7.6875</v>
      </c>
      <c r="N72" s="88">
        <f>prodnorm5</f>
        <v>0</v>
      </c>
      <c r="O72" s="33">
        <f>dagwerk5</f>
        <v>0</v>
      </c>
      <c r="P72" s="85" t="s">
        <v>109</v>
      </c>
      <c r="Q72" s="21">
        <f>uurtarief5</f>
        <v>0</v>
      </c>
      <c r="R72" s="87" t="e">
        <f t="shared" si="7"/>
        <v>#DIV/0!</v>
      </c>
      <c r="S72" s="87" t="e">
        <f t="shared" si="8"/>
        <v>#DIV/0!</v>
      </c>
      <c r="T72" s="21" t="e">
        <f t="shared" si="9"/>
        <v>#DIV/0!</v>
      </c>
      <c r="U72" s="87" t="e">
        <f t="shared" si="10"/>
        <v>#DIV/0!</v>
      </c>
      <c r="V72" s="22" t="e">
        <f t="shared" si="11"/>
        <v>#DIV/0!</v>
      </c>
    </row>
    <row r="73" spans="1:22" x14ac:dyDescent="0.25">
      <c r="A73" s="84" t="s">
        <v>341</v>
      </c>
      <c r="B73" s="85" t="s">
        <v>42</v>
      </c>
      <c r="C73" s="85" t="s">
        <v>342</v>
      </c>
      <c r="D73" s="85" t="s">
        <v>438</v>
      </c>
      <c r="E73" s="86" t="s">
        <v>439</v>
      </c>
      <c r="F73" s="85" t="s">
        <v>353</v>
      </c>
      <c r="G73" s="85" t="s">
        <v>262</v>
      </c>
      <c r="H73" s="85" t="s">
        <v>14</v>
      </c>
      <c r="I73" s="85" t="s">
        <v>258</v>
      </c>
      <c r="J73" s="86" t="s">
        <v>263</v>
      </c>
      <c r="K73" s="85" t="s">
        <v>365</v>
      </c>
      <c r="L73" s="87">
        <v>12.5</v>
      </c>
      <c r="M73" s="87">
        <f t="shared" si="6"/>
        <v>5.125</v>
      </c>
      <c r="N73" s="88">
        <f>prodnorm10</f>
        <v>0</v>
      </c>
      <c r="O73" s="33">
        <f>dagwerk10</f>
        <v>0</v>
      </c>
      <c r="P73" s="85" t="s">
        <v>109</v>
      </c>
      <c r="Q73" s="21">
        <f>uurtarief10</f>
        <v>0</v>
      </c>
      <c r="R73" s="87" t="e">
        <f t="shared" si="7"/>
        <v>#DIV/0!</v>
      </c>
      <c r="S73" s="87" t="e">
        <f t="shared" si="8"/>
        <v>#DIV/0!</v>
      </c>
      <c r="T73" s="21" t="e">
        <f t="shared" si="9"/>
        <v>#DIV/0!</v>
      </c>
      <c r="U73" s="87" t="e">
        <f t="shared" si="10"/>
        <v>#DIV/0!</v>
      </c>
      <c r="V73" s="22" t="e">
        <f t="shared" si="11"/>
        <v>#DIV/0!</v>
      </c>
    </row>
    <row r="74" spans="1:22" x14ac:dyDescent="0.25">
      <c r="A74" s="84" t="s">
        <v>341</v>
      </c>
      <c r="B74" s="85" t="s">
        <v>42</v>
      </c>
      <c r="C74" s="85" t="s">
        <v>342</v>
      </c>
      <c r="D74" s="85" t="s">
        <v>440</v>
      </c>
      <c r="E74" s="86" t="s">
        <v>441</v>
      </c>
      <c r="F74" s="85" t="s">
        <v>353</v>
      </c>
      <c r="G74" s="85" t="s">
        <v>257</v>
      </c>
      <c r="H74" s="85" t="s">
        <v>12</v>
      </c>
      <c r="I74" s="85" t="s">
        <v>258</v>
      </c>
      <c r="J74" s="86" t="s">
        <v>259</v>
      </c>
      <c r="K74" s="85" t="s">
        <v>365</v>
      </c>
      <c r="L74" s="87">
        <v>17.7</v>
      </c>
      <c r="M74" s="87">
        <f t="shared" si="6"/>
        <v>10.885499999999999</v>
      </c>
      <c r="N74" s="88">
        <f>prodnorm5</f>
        <v>0</v>
      </c>
      <c r="O74" s="33">
        <f>dagwerk5</f>
        <v>0</v>
      </c>
      <c r="P74" s="85" t="s">
        <v>109</v>
      </c>
      <c r="Q74" s="21">
        <f>uurtarief5</f>
        <v>0</v>
      </c>
      <c r="R74" s="87" t="e">
        <f t="shared" si="7"/>
        <v>#DIV/0!</v>
      </c>
      <c r="S74" s="87" t="e">
        <f t="shared" si="8"/>
        <v>#DIV/0!</v>
      </c>
      <c r="T74" s="21" t="e">
        <f t="shared" si="9"/>
        <v>#DIV/0!</v>
      </c>
      <c r="U74" s="87" t="e">
        <f t="shared" si="10"/>
        <v>#DIV/0!</v>
      </c>
      <c r="V74" s="22" t="e">
        <f t="shared" si="11"/>
        <v>#DIV/0!</v>
      </c>
    </row>
    <row r="75" spans="1:22" x14ac:dyDescent="0.25">
      <c r="A75" s="84" t="s">
        <v>341</v>
      </c>
      <c r="B75" s="85" t="s">
        <v>42</v>
      </c>
      <c r="C75" s="85" t="s">
        <v>342</v>
      </c>
      <c r="D75" s="85" t="s">
        <v>440</v>
      </c>
      <c r="E75" s="86" t="s">
        <v>441</v>
      </c>
      <c r="F75" s="85" t="s">
        <v>353</v>
      </c>
      <c r="G75" s="85" t="s">
        <v>262</v>
      </c>
      <c r="H75" s="85" t="s">
        <v>14</v>
      </c>
      <c r="I75" s="85" t="s">
        <v>258</v>
      </c>
      <c r="J75" s="86" t="s">
        <v>263</v>
      </c>
      <c r="K75" s="85" t="s">
        <v>365</v>
      </c>
      <c r="L75" s="87">
        <v>17.7</v>
      </c>
      <c r="M75" s="87">
        <f t="shared" si="6"/>
        <v>7.2569999999999997</v>
      </c>
      <c r="N75" s="88">
        <f>prodnorm10</f>
        <v>0</v>
      </c>
      <c r="O75" s="33">
        <f>dagwerk10</f>
        <v>0</v>
      </c>
      <c r="P75" s="85" t="s">
        <v>109</v>
      </c>
      <c r="Q75" s="21">
        <f>uurtarief10</f>
        <v>0</v>
      </c>
      <c r="R75" s="87" t="e">
        <f t="shared" si="7"/>
        <v>#DIV/0!</v>
      </c>
      <c r="S75" s="87" t="e">
        <f t="shared" si="8"/>
        <v>#DIV/0!</v>
      </c>
      <c r="T75" s="21" t="e">
        <f t="shared" si="9"/>
        <v>#DIV/0!</v>
      </c>
      <c r="U75" s="87" t="e">
        <f t="shared" si="10"/>
        <v>#DIV/0!</v>
      </c>
      <c r="V75" s="22" t="e">
        <f t="shared" si="11"/>
        <v>#DIV/0!</v>
      </c>
    </row>
    <row r="76" spans="1:22" x14ac:dyDescent="0.25">
      <c r="A76" s="84" t="s">
        <v>341</v>
      </c>
      <c r="B76" s="85" t="s">
        <v>42</v>
      </c>
      <c r="C76" s="85" t="s">
        <v>342</v>
      </c>
      <c r="D76" s="85" t="s">
        <v>442</v>
      </c>
      <c r="E76" s="86" t="s">
        <v>443</v>
      </c>
      <c r="F76" s="85" t="s">
        <v>353</v>
      </c>
      <c r="G76" s="85" t="s">
        <v>257</v>
      </c>
      <c r="H76" s="85" t="s">
        <v>12</v>
      </c>
      <c r="I76" s="85" t="s">
        <v>258</v>
      </c>
      <c r="J76" s="86" t="s">
        <v>259</v>
      </c>
      <c r="K76" s="85" t="s">
        <v>365</v>
      </c>
      <c r="L76" s="87">
        <v>12.5</v>
      </c>
      <c r="M76" s="87">
        <f t="shared" si="6"/>
        <v>7.6875</v>
      </c>
      <c r="N76" s="88">
        <f>prodnorm5</f>
        <v>0</v>
      </c>
      <c r="O76" s="33">
        <f>dagwerk5</f>
        <v>0</v>
      </c>
      <c r="P76" s="85" t="s">
        <v>109</v>
      </c>
      <c r="Q76" s="21">
        <f>uurtarief5</f>
        <v>0</v>
      </c>
      <c r="R76" s="87" t="e">
        <f t="shared" si="7"/>
        <v>#DIV/0!</v>
      </c>
      <c r="S76" s="87" t="e">
        <f t="shared" si="8"/>
        <v>#DIV/0!</v>
      </c>
      <c r="T76" s="21" t="e">
        <f t="shared" si="9"/>
        <v>#DIV/0!</v>
      </c>
      <c r="U76" s="87" t="e">
        <f t="shared" si="10"/>
        <v>#DIV/0!</v>
      </c>
      <c r="V76" s="22" t="e">
        <f t="shared" si="11"/>
        <v>#DIV/0!</v>
      </c>
    </row>
    <row r="77" spans="1:22" x14ac:dyDescent="0.25">
      <c r="A77" s="84" t="s">
        <v>341</v>
      </c>
      <c r="B77" s="85" t="s">
        <v>42</v>
      </c>
      <c r="C77" s="85" t="s">
        <v>342</v>
      </c>
      <c r="D77" s="85" t="s">
        <v>442</v>
      </c>
      <c r="E77" s="86" t="s">
        <v>443</v>
      </c>
      <c r="F77" s="85" t="s">
        <v>353</v>
      </c>
      <c r="G77" s="85" t="s">
        <v>262</v>
      </c>
      <c r="H77" s="85" t="s">
        <v>14</v>
      </c>
      <c r="I77" s="85" t="s">
        <v>258</v>
      </c>
      <c r="J77" s="86" t="s">
        <v>263</v>
      </c>
      <c r="K77" s="85" t="s">
        <v>365</v>
      </c>
      <c r="L77" s="87">
        <v>12.5</v>
      </c>
      <c r="M77" s="87">
        <f t="shared" si="6"/>
        <v>5.125</v>
      </c>
      <c r="N77" s="88">
        <f>prodnorm10</f>
        <v>0</v>
      </c>
      <c r="O77" s="33">
        <f>dagwerk10</f>
        <v>0</v>
      </c>
      <c r="P77" s="85" t="s">
        <v>109</v>
      </c>
      <c r="Q77" s="21">
        <f>uurtarief10</f>
        <v>0</v>
      </c>
      <c r="R77" s="87" t="e">
        <f t="shared" si="7"/>
        <v>#DIV/0!</v>
      </c>
      <c r="S77" s="87" t="e">
        <f t="shared" si="8"/>
        <v>#DIV/0!</v>
      </c>
      <c r="T77" s="21" t="e">
        <f t="shared" si="9"/>
        <v>#DIV/0!</v>
      </c>
      <c r="U77" s="87" t="e">
        <f t="shared" si="10"/>
        <v>#DIV/0!</v>
      </c>
      <c r="V77" s="22" t="e">
        <f t="shared" si="11"/>
        <v>#DIV/0!</v>
      </c>
    </row>
    <row r="78" spans="1:22" x14ac:dyDescent="0.25">
      <c r="A78" s="84" t="s">
        <v>341</v>
      </c>
      <c r="B78" s="85" t="s">
        <v>42</v>
      </c>
      <c r="C78" s="85" t="s">
        <v>342</v>
      </c>
      <c r="D78" s="85" t="s">
        <v>444</v>
      </c>
      <c r="E78" s="86" t="s">
        <v>393</v>
      </c>
      <c r="F78" s="85" t="s">
        <v>353</v>
      </c>
      <c r="G78" s="85" t="s">
        <v>257</v>
      </c>
      <c r="H78" s="85" t="s">
        <v>12</v>
      </c>
      <c r="I78" s="85" t="s">
        <v>258</v>
      </c>
      <c r="J78" s="86" t="s">
        <v>259</v>
      </c>
      <c r="K78" s="85" t="s">
        <v>365</v>
      </c>
      <c r="L78" s="87">
        <v>22</v>
      </c>
      <c r="M78" s="87">
        <f t="shared" si="6"/>
        <v>13.53</v>
      </c>
      <c r="N78" s="88">
        <f>prodnorm5</f>
        <v>0</v>
      </c>
      <c r="O78" s="33">
        <f>dagwerk5</f>
        <v>0</v>
      </c>
      <c r="P78" s="85" t="s">
        <v>109</v>
      </c>
      <c r="Q78" s="21">
        <f>uurtarief5</f>
        <v>0</v>
      </c>
      <c r="R78" s="87" t="e">
        <f t="shared" si="7"/>
        <v>#DIV/0!</v>
      </c>
      <c r="S78" s="87" t="e">
        <f t="shared" si="8"/>
        <v>#DIV/0!</v>
      </c>
      <c r="T78" s="21" t="e">
        <f t="shared" si="9"/>
        <v>#DIV/0!</v>
      </c>
      <c r="U78" s="87" t="e">
        <f t="shared" si="10"/>
        <v>#DIV/0!</v>
      </c>
      <c r="V78" s="22" t="e">
        <f t="shared" si="11"/>
        <v>#DIV/0!</v>
      </c>
    </row>
    <row r="79" spans="1:22" x14ac:dyDescent="0.25">
      <c r="A79" s="84" t="s">
        <v>341</v>
      </c>
      <c r="B79" s="85" t="s">
        <v>42</v>
      </c>
      <c r="C79" s="85" t="s">
        <v>342</v>
      </c>
      <c r="D79" s="85" t="s">
        <v>444</v>
      </c>
      <c r="E79" s="86" t="s">
        <v>393</v>
      </c>
      <c r="F79" s="85" t="s">
        <v>353</v>
      </c>
      <c r="G79" s="85" t="s">
        <v>262</v>
      </c>
      <c r="H79" s="85" t="s">
        <v>14</v>
      </c>
      <c r="I79" s="85" t="s">
        <v>258</v>
      </c>
      <c r="J79" s="86" t="s">
        <v>263</v>
      </c>
      <c r="K79" s="85" t="s">
        <v>365</v>
      </c>
      <c r="L79" s="87">
        <v>22</v>
      </c>
      <c r="M79" s="87">
        <f t="shared" si="6"/>
        <v>9.02</v>
      </c>
      <c r="N79" s="88">
        <f>prodnorm10</f>
        <v>0</v>
      </c>
      <c r="O79" s="33">
        <f>dagwerk10</f>
        <v>0</v>
      </c>
      <c r="P79" s="85" t="s">
        <v>109</v>
      </c>
      <c r="Q79" s="21">
        <f>uurtarief10</f>
        <v>0</v>
      </c>
      <c r="R79" s="87" t="e">
        <f t="shared" si="7"/>
        <v>#DIV/0!</v>
      </c>
      <c r="S79" s="87" t="e">
        <f t="shared" si="8"/>
        <v>#DIV/0!</v>
      </c>
      <c r="T79" s="21" t="e">
        <f t="shared" si="9"/>
        <v>#DIV/0!</v>
      </c>
      <c r="U79" s="87" t="e">
        <f t="shared" si="10"/>
        <v>#DIV/0!</v>
      </c>
      <c r="V79" s="22" t="e">
        <f t="shared" si="11"/>
        <v>#DIV/0!</v>
      </c>
    </row>
    <row r="80" spans="1:22" x14ac:dyDescent="0.25">
      <c r="A80" s="84" t="s">
        <v>341</v>
      </c>
      <c r="B80" s="85" t="s">
        <v>42</v>
      </c>
      <c r="C80" s="85" t="s">
        <v>342</v>
      </c>
      <c r="D80" s="85" t="s">
        <v>445</v>
      </c>
      <c r="E80" s="86" t="s">
        <v>446</v>
      </c>
      <c r="F80" s="85" t="s">
        <v>353</v>
      </c>
      <c r="G80" s="85" t="s">
        <v>262</v>
      </c>
      <c r="H80" s="85" t="s">
        <v>16</v>
      </c>
      <c r="I80" s="85" t="s">
        <v>258</v>
      </c>
      <c r="J80" s="86" t="s">
        <v>263</v>
      </c>
      <c r="K80" s="85" t="s">
        <v>365</v>
      </c>
      <c r="L80" s="87">
        <v>11.2</v>
      </c>
      <c r="M80" s="87">
        <f t="shared" ref="M80:M111" si="15">L80*VLOOKUP(H80,dagsoorttabel1,2,FALSE)</f>
        <v>2.2959999999999998</v>
      </c>
      <c r="N80" s="88">
        <f>prodnorm9</f>
        <v>0</v>
      </c>
      <c r="O80" s="33">
        <f>dagwerk9</f>
        <v>0</v>
      </c>
      <c r="P80" s="85" t="s">
        <v>109</v>
      </c>
      <c r="Q80" s="21">
        <f>uurtarief9</f>
        <v>0</v>
      </c>
      <c r="R80" s="87" t="e">
        <f t="shared" ref="R80:R111" si="16">IF(ISBLANK(N80),0,M80/ROUND(N80,4))</f>
        <v>#DIV/0!</v>
      </c>
      <c r="S80" s="87" t="e">
        <f t="shared" ref="S80:S111" si="17">IF(ISBLANK(N80),0,R80*ROUND(O80,2))</f>
        <v>#DIV/0!</v>
      </c>
      <c r="T80" s="21" t="e">
        <f t="shared" ref="T80:T111" si="18">ROUND(Q80,2)*R80</f>
        <v>#DIV/0!</v>
      </c>
      <c r="U80" s="87" t="e">
        <f t="shared" ref="U80:U111" si="19">R80*dagenperjaar1</f>
        <v>#DIV/0!</v>
      </c>
      <c r="V80" s="22" t="e">
        <f t="shared" ref="V80:V111" si="20">U80*ROUND(Q80,2)</f>
        <v>#DIV/0!</v>
      </c>
    </row>
    <row r="81" spans="1:22" x14ac:dyDescent="0.25">
      <c r="A81" s="84" t="s">
        <v>341</v>
      </c>
      <c r="B81" s="85" t="s">
        <v>42</v>
      </c>
      <c r="C81" s="85" t="s">
        <v>342</v>
      </c>
      <c r="D81" s="85" t="s">
        <v>447</v>
      </c>
      <c r="E81" s="86" t="s">
        <v>393</v>
      </c>
      <c r="F81" s="85" t="s">
        <v>353</v>
      </c>
      <c r="G81" s="85" t="s">
        <v>257</v>
      </c>
      <c r="H81" s="85" t="s">
        <v>12</v>
      </c>
      <c r="I81" s="85" t="s">
        <v>258</v>
      </c>
      <c r="J81" s="86" t="s">
        <v>259</v>
      </c>
      <c r="K81" s="85" t="s">
        <v>365</v>
      </c>
      <c r="L81" s="87">
        <v>8.6</v>
      </c>
      <c r="M81" s="87">
        <f t="shared" si="15"/>
        <v>5.2889999999999997</v>
      </c>
      <c r="N81" s="88">
        <f>prodnorm5</f>
        <v>0</v>
      </c>
      <c r="O81" s="33">
        <f>dagwerk5</f>
        <v>0</v>
      </c>
      <c r="P81" s="85" t="s">
        <v>109</v>
      </c>
      <c r="Q81" s="21">
        <f>uurtarief5</f>
        <v>0</v>
      </c>
      <c r="R81" s="87" t="e">
        <f t="shared" si="16"/>
        <v>#DIV/0!</v>
      </c>
      <c r="S81" s="87" t="e">
        <f t="shared" si="17"/>
        <v>#DIV/0!</v>
      </c>
      <c r="T81" s="21" t="e">
        <f t="shared" si="18"/>
        <v>#DIV/0!</v>
      </c>
      <c r="U81" s="87" t="e">
        <f t="shared" si="19"/>
        <v>#DIV/0!</v>
      </c>
      <c r="V81" s="22" t="e">
        <f t="shared" si="20"/>
        <v>#DIV/0!</v>
      </c>
    </row>
    <row r="82" spans="1:22" x14ac:dyDescent="0.25">
      <c r="A82" s="84" t="s">
        <v>341</v>
      </c>
      <c r="B82" s="85" t="s">
        <v>42</v>
      </c>
      <c r="C82" s="85" t="s">
        <v>342</v>
      </c>
      <c r="D82" s="85" t="s">
        <v>447</v>
      </c>
      <c r="E82" s="86" t="s">
        <v>393</v>
      </c>
      <c r="F82" s="85" t="s">
        <v>353</v>
      </c>
      <c r="G82" s="85" t="s">
        <v>262</v>
      </c>
      <c r="H82" s="85" t="s">
        <v>14</v>
      </c>
      <c r="I82" s="85" t="s">
        <v>258</v>
      </c>
      <c r="J82" s="86" t="s">
        <v>263</v>
      </c>
      <c r="K82" s="85" t="s">
        <v>365</v>
      </c>
      <c r="L82" s="87">
        <v>8.6</v>
      </c>
      <c r="M82" s="87">
        <f t="shared" si="15"/>
        <v>3.5259999999999998</v>
      </c>
      <c r="N82" s="88">
        <f>prodnorm10</f>
        <v>0</v>
      </c>
      <c r="O82" s="33">
        <f>dagwerk10</f>
        <v>0</v>
      </c>
      <c r="P82" s="85" t="s">
        <v>109</v>
      </c>
      <c r="Q82" s="21">
        <f>uurtarief10</f>
        <v>0</v>
      </c>
      <c r="R82" s="87" t="e">
        <f t="shared" si="16"/>
        <v>#DIV/0!</v>
      </c>
      <c r="S82" s="87" t="e">
        <f t="shared" si="17"/>
        <v>#DIV/0!</v>
      </c>
      <c r="T82" s="21" t="e">
        <f t="shared" si="18"/>
        <v>#DIV/0!</v>
      </c>
      <c r="U82" s="87" t="e">
        <f t="shared" si="19"/>
        <v>#DIV/0!</v>
      </c>
      <c r="V82" s="22" t="e">
        <f t="shared" si="20"/>
        <v>#DIV/0!</v>
      </c>
    </row>
    <row r="83" spans="1:22" x14ac:dyDescent="0.25">
      <c r="A83" s="84" t="s">
        <v>341</v>
      </c>
      <c r="B83" s="85" t="s">
        <v>42</v>
      </c>
      <c r="C83" s="85" t="s">
        <v>342</v>
      </c>
      <c r="D83" s="85" t="s">
        <v>448</v>
      </c>
      <c r="E83" s="86" t="s">
        <v>393</v>
      </c>
      <c r="F83" s="85" t="s">
        <v>353</v>
      </c>
      <c r="G83" s="85" t="s">
        <v>257</v>
      </c>
      <c r="H83" s="85" t="s">
        <v>12</v>
      </c>
      <c r="I83" s="85" t="s">
        <v>258</v>
      </c>
      <c r="J83" s="86" t="s">
        <v>259</v>
      </c>
      <c r="K83" s="85" t="s">
        <v>365</v>
      </c>
      <c r="L83" s="87">
        <v>17.399999999999999</v>
      </c>
      <c r="M83" s="87">
        <f t="shared" si="15"/>
        <v>10.700999999999999</v>
      </c>
      <c r="N83" s="88">
        <f>prodnorm5</f>
        <v>0</v>
      </c>
      <c r="O83" s="33">
        <f>dagwerk5</f>
        <v>0</v>
      </c>
      <c r="P83" s="85" t="s">
        <v>109</v>
      </c>
      <c r="Q83" s="21">
        <f>uurtarief5</f>
        <v>0</v>
      </c>
      <c r="R83" s="87" t="e">
        <f t="shared" si="16"/>
        <v>#DIV/0!</v>
      </c>
      <c r="S83" s="87" t="e">
        <f t="shared" si="17"/>
        <v>#DIV/0!</v>
      </c>
      <c r="T83" s="21" t="e">
        <f t="shared" si="18"/>
        <v>#DIV/0!</v>
      </c>
      <c r="U83" s="87" t="e">
        <f t="shared" si="19"/>
        <v>#DIV/0!</v>
      </c>
      <c r="V83" s="22" t="e">
        <f t="shared" si="20"/>
        <v>#DIV/0!</v>
      </c>
    </row>
    <row r="84" spans="1:22" x14ac:dyDescent="0.25">
      <c r="A84" s="84" t="s">
        <v>341</v>
      </c>
      <c r="B84" s="85" t="s">
        <v>42</v>
      </c>
      <c r="C84" s="85" t="s">
        <v>342</v>
      </c>
      <c r="D84" s="85" t="s">
        <v>448</v>
      </c>
      <c r="E84" s="86" t="s">
        <v>393</v>
      </c>
      <c r="F84" s="85" t="s">
        <v>353</v>
      </c>
      <c r="G84" s="85" t="s">
        <v>262</v>
      </c>
      <c r="H84" s="85" t="s">
        <v>14</v>
      </c>
      <c r="I84" s="85" t="s">
        <v>258</v>
      </c>
      <c r="J84" s="86" t="s">
        <v>263</v>
      </c>
      <c r="K84" s="85" t="s">
        <v>365</v>
      </c>
      <c r="L84" s="87">
        <v>17.399999999999999</v>
      </c>
      <c r="M84" s="87">
        <f t="shared" si="15"/>
        <v>7.1339999999999986</v>
      </c>
      <c r="N84" s="88">
        <f>prodnorm10</f>
        <v>0</v>
      </c>
      <c r="O84" s="33">
        <f>dagwerk10</f>
        <v>0</v>
      </c>
      <c r="P84" s="85" t="s">
        <v>109</v>
      </c>
      <c r="Q84" s="21">
        <f>uurtarief10</f>
        <v>0</v>
      </c>
      <c r="R84" s="87" t="e">
        <f t="shared" si="16"/>
        <v>#DIV/0!</v>
      </c>
      <c r="S84" s="87" t="e">
        <f t="shared" si="17"/>
        <v>#DIV/0!</v>
      </c>
      <c r="T84" s="21" t="e">
        <f t="shared" si="18"/>
        <v>#DIV/0!</v>
      </c>
      <c r="U84" s="87" t="e">
        <f t="shared" si="19"/>
        <v>#DIV/0!</v>
      </c>
      <c r="V84" s="22" t="e">
        <f t="shared" si="20"/>
        <v>#DIV/0!</v>
      </c>
    </row>
    <row r="85" spans="1:22" x14ac:dyDescent="0.25">
      <c r="A85" s="84" t="s">
        <v>341</v>
      </c>
      <c r="B85" s="85" t="s">
        <v>42</v>
      </c>
      <c r="C85" s="85" t="s">
        <v>342</v>
      </c>
      <c r="D85" s="85" t="s">
        <v>449</v>
      </c>
      <c r="E85" s="86" t="s">
        <v>437</v>
      </c>
      <c r="F85" s="85" t="s">
        <v>353</v>
      </c>
      <c r="G85" s="85" t="s">
        <v>288</v>
      </c>
      <c r="H85" s="85" t="s">
        <v>9</v>
      </c>
      <c r="I85" s="85" t="s">
        <v>258</v>
      </c>
      <c r="J85" s="86" t="s">
        <v>289</v>
      </c>
      <c r="K85" s="85" t="s">
        <v>346</v>
      </c>
      <c r="L85" s="87">
        <v>81.400000000000006</v>
      </c>
      <c r="M85" s="87">
        <f t="shared" si="15"/>
        <v>83.435000000000002</v>
      </c>
      <c r="N85" s="88">
        <f>prodnorm27</f>
        <v>0</v>
      </c>
      <c r="O85" s="33">
        <f>dagwerk27</f>
        <v>0</v>
      </c>
      <c r="P85" s="85" t="s">
        <v>109</v>
      </c>
      <c r="Q85" s="21">
        <f>uurtarief27</f>
        <v>0</v>
      </c>
      <c r="R85" s="87" t="e">
        <f t="shared" si="16"/>
        <v>#DIV/0!</v>
      </c>
      <c r="S85" s="87" t="e">
        <f t="shared" si="17"/>
        <v>#DIV/0!</v>
      </c>
      <c r="T85" s="21" t="e">
        <f t="shared" si="18"/>
        <v>#DIV/0!</v>
      </c>
      <c r="U85" s="87" t="e">
        <f t="shared" si="19"/>
        <v>#DIV/0!</v>
      </c>
      <c r="V85" s="22" t="e">
        <f t="shared" si="20"/>
        <v>#DIV/0!</v>
      </c>
    </row>
    <row r="86" spans="1:22" x14ac:dyDescent="0.25">
      <c r="A86" s="84" t="s">
        <v>341</v>
      </c>
      <c r="B86" s="85" t="s">
        <v>42</v>
      </c>
      <c r="C86" s="85" t="s">
        <v>342</v>
      </c>
      <c r="D86" s="85" t="s">
        <v>450</v>
      </c>
      <c r="E86" s="86" t="s">
        <v>373</v>
      </c>
      <c r="F86" s="85" t="s">
        <v>349</v>
      </c>
      <c r="G86" s="85" t="s">
        <v>312</v>
      </c>
      <c r="H86" s="85" t="s">
        <v>9</v>
      </c>
      <c r="I86" s="85" t="s">
        <v>258</v>
      </c>
      <c r="J86" s="86" t="s">
        <v>313</v>
      </c>
      <c r="K86" s="85" t="s">
        <v>346</v>
      </c>
      <c r="L86" s="87">
        <v>185.1</v>
      </c>
      <c r="M86" s="87">
        <f t="shared" si="15"/>
        <v>189.72749999999996</v>
      </c>
      <c r="N86" s="88">
        <f>prodnorm46</f>
        <v>0</v>
      </c>
      <c r="O86" s="33">
        <f>dagwerk46</f>
        <v>0</v>
      </c>
      <c r="P86" s="85" t="s">
        <v>109</v>
      </c>
      <c r="Q86" s="21">
        <f>uurtarief46</f>
        <v>0</v>
      </c>
      <c r="R86" s="87" t="e">
        <f t="shared" si="16"/>
        <v>#DIV/0!</v>
      </c>
      <c r="S86" s="87" t="e">
        <f t="shared" si="17"/>
        <v>#DIV/0!</v>
      </c>
      <c r="T86" s="21" t="e">
        <f t="shared" si="18"/>
        <v>#DIV/0!</v>
      </c>
      <c r="U86" s="87" t="e">
        <f t="shared" si="19"/>
        <v>#DIV/0!</v>
      </c>
      <c r="V86" s="22" t="e">
        <f t="shared" si="20"/>
        <v>#DIV/0!</v>
      </c>
    </row>
    <row r="87" spans="1:22" x14ac:dyDescent="0.25">
      <c r="A87" s="84" t="s">
        <v>341</v>
      </c>
      <c r="B87" s="85" t="s">
        <v>42</v>
      </c>
      <c r="C87" s="85" t="s">
        <v>342</v>
      </c>
      <c r="D87" s="85" t="s">
        <v>451</v>
      </c>
      <c r="E87" s="86" t="s">
        <v>452</v>
      </c>
      <c r="F87" s="85" t="s">
        <v>349</v>
      </c>
      <c r="G87" s="85" t="s">
        <v>322</v>
      </c>
      <c r="H87" s="85" t="s">
        <v>9</v>
      </c>
      <c r="I87" s="85" t="s">
        <v>258</v>
      </c>
      <c r="J87" s="86" t="s">
        <v>323</v>
      </c>
      <c r="K87" s="85" t="s">
        <v>346</v>
      </c>
      <c r="L87" s="87">
        <v>15.9</v>
      </c>
      <c r="M87" s="87">
        <f t="shared" si="15"/>
        <v>16.297499999999999</v>
      </c>
      <c r="N87" s="88">
        <f>prodnorm54</f>
        <v>0</v>
      </c>
      <c r="O87" s="33">
        <f>dagwerk54</f>
        <v>0</v>
      </c>
      <c r="P87" s="85" t="s">
        <v>109</v>
      </c>
      <c r="Q87" s="21">
        <f>uurtarief54</f>
        <v>0</v>
      </c>
      <c r="R87" s="87" t="e">
        <f t="shared" si="16"/>
        <v>#DIV/0!</v>
      </c>
      <c r="S87" s="87" t="e">
        <f t="shared" si="17"/>
        <v>#DIV/0!</v>
      </c>
      <c r="T87" s="21" t="e">
        <f t="shared" si="18"/>
        <v>#DIV/0!</v>
      </c>
      <c r="U87" s="87" t="e">
        <f t="shared" si="19"/>
        <v>#DIV/0!</v>
      </c>
      <c r="V87" s="22" t="e">
        <f t="shared" si="20"/>
        <v>#DIV/0!</v>
      </c>
    </row>
    <row r="88" spans="1:22" x14ac:dyDescent="0.25">
      <c r="A88" s="84" t="s">
        <v>341</v>
      </c>
      <c r="B88" s="85" t="s">
        <v>42</v>
      </c>
      <c r="C88" s="85" t="s">
        <v>342</v>
      </c>
      <c r="D88" s="85" t="s">
        <v>453</v>
      </c>
      <c r="E88" s="86" t="s">
        <v>452</v>
      </c>
      <c r="F88" s="85" t="s">
        <v>349</v>
      </c>
      <c r="G88" s="85" t="s">
        <v>322</v>
      </c>
      <c r="H88" s="85" t="s">
        <v>9</v>
      </c>
      <c r="I88" s="85" t="s">
        <v>258</v>
      </c>
      <c r="J88" s="86" t="s">
        <v>323</v>
      </c>
      <c r="K88" s="85" t="s">
        <v>346</v>
      </c>
      <c r="L88" s="87">
        <v>15.9</v>
      </c>
      <c r="M88" s="87">
        <f t="shared" si="15"/>
        <v>16.297499999999999</v>
      </c>
      <c r="N88" s="88">
        <f>prodnorm54</f>
        <v>0</v>
      </c>
      <c r="O88" s="33">
        <f>dagwerk54</f>
        <v>0</v>
      </c>
      <c r="P88" s="85" t="s">
        <v>109</v>
      </c>
      <c r="Q88" s="21">
        <f>uurtarief54</f>
        <v>0</v>
      </c>
      <c r="R88" s="87" t="e">
        <f t="shared" si="16"/>
        <v>#DIV/0!</v>
      </c>
      <c r="S88" s="87" t="e">
        <f t="shared" si="17"/>
        <v>#DIV/0!</v>
      </c>
      <c r="T88" s="21" t="e">
        <f t="shared" si="18"/>
        <v>#DIV/0!</v>
      </c>
      <c r="U88" s="87" t="e">
        <f t="shared" si="19"/>
        <v>#DIV/0!</v>
      </c>
      <c r="V88" s="22" t="e">
        <f t="shared" si="20"/>
        <v>#DIV/0!</v>
      </c>
    </row>
    <row r="89" spans="1:22" x14ac:dyDescent="0.25">
      <c r="A89" s="84" t="s">
        <v>341</v>
      </c>
      <c r="B89" s="85" t="s">
        <v>42</v>
      </c>
      <c r="C89" s="85" t="s">
        <v>342</v>
      </c>
      <c r="D89" s="85" t="s">
        <v>454</v>
      </c>
      <c r="E89" s="86" t="s">
        <v>455</v>
      </c>
      <c r="F89" s="85" t="s">
        <v>42</v>
      </c>
      <c r="G89" s="85" t="s">
        <v>310</v>
      </c>
      <c r="H89" s="85" t="s">
        <v>9</v>
      </c>
      <c r="I89" s="85" t="s">
        <v>258</v>
      </c>
      <c r="J89" s="86" t="s">
        <v>311</v>
      </c>
      <c r="K89" s="85" t="s">
        <v>417</v>
      </c>
      <c r="L89" s="87">
        <v>9.1</v>
      </c>
      <c r="M89" s="87">
        <f t="shared" si="15"/>
        <v>9.3274999999999988</v>
      </c>
      <c r="N89" s="88">
        <f t="shared" ref="N89:N95" si="21">prodnorm45</f>
        <v>0</v>
      </c>
      <c r="O89" s="33">
        <f t="shared" ref="O89:O95" si="22">dagwerk45</f>
        <v>0</v>
      </c>
      <c r="P89" s="85" t="s">
        <v>109</v>
      </c>
      <c r="Q89" s="21">
        <f t="shared" ref="Q89:Q95" si="23">uurtarief45</f>
        <v>0</v>
      </c>
      <c r="R89" s="87" t="e">
        <f t="shared" si="16"/>
        <v>#DIV/0!</v>
      </c>
      <c r="S89" s="87" t="e">
        <f t="shared" si="17"/>
        <v>#DIV/0!</v>
      </c>
      <c r="T89" s="21" t="e">
        <f t="shared" si="18"/>
        <v>#DIV/0!</v>
      </c>
      <c r="U89" s="87" t="e">
        <f t="shared" si="19"/>
        <v>#DIV/0!</v>
      </c>
      <c r="V89" s="22" t="e">
        <f t="shared" si="20"/>
        <v>#DIV/0!</v>
      </c>
    </row>
    <row r="90" spans="1:22" x14ac:dyDescent="0.25">
      <c r="A90" s="84" t="s">
        <v>341</v>
      </c>
      <c r="B90" s="85" t="s">
        <v>42</v>
      </c>
      <c r="C90" s="85" t="s">
        <v>342</v>
      </c>
      <c r="D90" s="85" t="s">
        <v>456</v>
      </c>
      <c r="E90" s="86" t="s">
        <v>455</v>
      </c>
      <c r="F90" s="85" t="s">
        <v>42</v>
      </c>
      <c r="G90" s="85" t="s">
        <v>310</v>
      </c>
      <c r="H90" s="85" t="s">
        <v>9</v>
      </c>
      <c r="I90" s="85" t="s">
        <v>258</v>
      </c>
      <c r="J90" s="86" t="s">
        <v>311</v>
      </c>
      <c r="K90" s="85" t="s">
        <v>417</v>
      </c>
      <c r="L90" s="87">
        <v>8.6</v>
      </c>
      <c r="M90" s="87">
        <f t="shared" si="15"/>
        <v>8.8149999999999995</v>
      </c>
      <c r="N90" s="88">
        <f t="shared" si="21"/>
        <v>0</v>
      </c>
      <c r="O90" s="33">
        <f t="shared" si="22"/>
        <v>0</v>
      </c>
      <c r="P90" s="85" t="s">
        <v>109</v>
      </c>
      <c r="Q90" s="21">
        <f t="shared" si="23"/>
        <v>0</v>
      </c>
      <c r="R90" s="87" t="e">
        <f t="shared" si="16"/>
        <v>#DIV/0!</v>
      </c>
      <c r="S90" s="87" t="e">
        <f t="shared" si="17"/>
        <v>#DIV/0!</v>
      </c>
      <c r="T90" s="21" t="e">
        <f t="shared" si="18"/>
        <v>#DIV/0!</v>
      </c>
      <c r="U90" s="87" t="e">
        <f t="shared" si="19"/>
        <v>#DIV/0!</v>
      </c>
      <c r="V90" s="22" t="e">
        <f t="shared" si="20"/>
        <v>#DIV/0!</v>
      </c>
    </row>
    <row r="91" spans="1:22" x14ac:dyDescent="0.25">
      <c r="A91" s="84" t="s">
        <v>341</v>
      </c>
      <c r="B91" s="85" t="s">
        <v>42</v>
      </c>
      <c r="C91" s="85" t="s">
        <v>342</v>
      </c>
      <c r="D91" s="85" t="s">
        <v>457</v>
      </c>
      <c r="E91" s="86" t="s">
        <v>416</v>
      </c>
      <c r="F91" s="85" t="s">
        <v>345</v>
      </c>
      <c r="G91" s="85" t="s">
        <v>310</v>
      </c>
      <c r="H91" s="85" t="s">
        <v>9</v>
      </c>
      <c r="I91" s="85" t="s">
        <v>258</v>
      </c>
      <c r="J91" s="86" t="s">
        <v>311</v>
      </c>
      <c r="K91" s="85" t="s">
        <v>417</v>
      </c>
      <c r="L91" s="87">
        <v>9.1</v>
      </c>
      <c r="M91" s="87">
        <f t="shared" si="15"/>
        <v>9.3274999999999988</v>
      </c>
      <c r="N91" s="88">
        <f t="shared" si="21"/>
        <v>0</v>
      </c>
      <c r="O91" s="33">
        <f t="shared" si="22"/>
        <v>0</v>
      </c>
      <c r="P91" s="85" t="s">
        <v>109</v>
      </c>
      <c r="Q91" s="21">
        <f t="shared" si="23"/>
        <v>0</v>
      </c>
      <c r="R91" s="87" t="e">
        <f t="shared" si="16"/>
        <v>#DIV/0!</v>
      </c>
      <c r="S91" s="87" t="e">
        <f t="shared" si="17"/>
        <v>#DIV/0!</v>
      </c>
      <c r="T91" s="21" t="e">
        <f t="shared" si="18"/>
        <v>#DIV/0!</v>
      </c>
      <c r="U91" s="87" t="e">
        <f t="shared" si="19"/>
        <v>#DIV/0!</v>
      </c>
      <c r="V91" s="22" t="e">
        <f t="shared" si="20"/>
        <v>#DIV/0!</v>
      </c>
    </row>
    <row r="92" spans="1:22" x14ac:dyDescent="0.25">
      <c r="A92" s="84" t="s">
        <v>341</v>
      </c>
      <c r="B92" s="85" t="s">
        <v>42</v>
      </c>
      <c r="C92" s="85" t="s">
        <v>342</v>
      </c>
      <c r="D92" s="85" t="s">
        <v>458</v>
      </c>
      <c r="E92" s="86" t="s">
        <v>416</v>
      </c>
      <c r="F92" s="85" t="s">
        <v>345</v>
      </c>
      <c r="G92" s="85" t="s">
        <v>310</v>
      </c>
      <c r="H92" s="85" t="s">
        <v>9</v>
      </c>
      <c r="I92" s="85" t="s">
        <v>258</v>
      </c>
      <c r="J92" s="86" t="s">
        <v>311</v>
      </c>
      <c r="K92" s="85" t="s">
        <v>417</v>
      </c>
      <c r="L92" s="87">
        <v>7.1</v>
      </c>
      <c r="M92" s="87">
        <f t="shared" si="15"/>
        <v>7.277499999999999</v>
      </c>
      <c r="N92" s="88">
        <f t="shared" si="21"/>
        <v>0</v>
      </c>
      <c r="O92" s="33">
        <f t="shared" si="22"/>
        <v>0</v>
      </c>
      <c r="P92" s="85" t="s">
        <v>109</v>
      </c>
      <c r="Q92" s="21">
        <f t="shared" si="23"/>
        <v>0</v>
      </c>
      <c r="R92" s="87" t="e">
        <f t="shared" si="16"/>
        <v>#DIV/0!</v>
      </c>
      <c r="S92" s="87" t="e">
        <f t="shared" si="17"/>
        <v>#DIV/0!</v>
      </c>
      <c r="T92" s="21" t="e">
        <f t="shared" si="18"/>
        <v>#DIV/0!</v>
      </c>
      <c r="U92" s="87" t="e">
        <f t="shared" si="19"/>
        <v>#DIV/0!</v>
      </c>
      <c r="V92" s="22" t="e">
        <f t="shared" si="20"/>
        <v>#DIV/0!</v>
      </c>
    </row>
    <row r="93" spans="1:22" x14ac:dyDescent="0.25">
      <c r="A93" s="84" t="s">
        <v>341</v>
      </c>
      <c r="B93" s="85" t="s">
        <v>42</v>
      </c>
      <c r="C93" s="85" t="s">
        <v>342</v>
      </c>
      <c r="D93" s="85" t="s">
        <v>459</v>
      </c>
      <c r="E93" s="86" t="s">
        <v>416</v>
      </c>
      <c r="F93" s="85" t="s">
        <v>345</v>
      </c>
      <c r="G93" s="85" t="s">
        <v>310</v>
      </c>
      <c r="H93" s="85" t="s">
        <v>9</v>
      </c>
      <c r="I93" s="85" t="s">
        <v>258</v>
      </c>
      <c r="J93" s="86" t="s">
        <v>311</v>
      </c>
      <c r="K93" s="85" t="s">
        <v>417</v>
      </c>
      <c r="L93" s="87">
        <v>17</v>
      </c>
      <c r="M93" s="87">
        <f t="shared" si="15"/>
        <v>17.424999999999997</v>
      </c>
      <c r="N93" s="88">
        <f t="shared" si="21"/>
        <v>0</v>
      </c>
      <c r="O93" s="33">
        <f t="shared" si="22"/>
        <v>0</v>
      </c>
      <c r="P93" s="85" t="s">
        <v>109</v>
      </c>
      <c r="Q93" s="21">
        <f t="shared" si="23"/>
        <v>0</v>
      </c>
      <c r="R93" s="87" t="e">
        <f t="shared" si="16"/>
        <v>#DIV/0!</v>
      </c>
      <c r="S93" s="87" t="e">
        <f t="shared" si="17"/>
        <v>#DIV/0!</v>
      </c>
      <c r="T93" s="21" t="e">
        <f t="shared" si="18"/>
        <v>#DIV/0!</v>
      </c>
      <c r="U93" s="87" t="e">
        <f t="shared" si="19"/>
        <v>#DIV/0!</v>
      </c>
      <c r="V93" s="22" t="e">
        <f t="shared" si="20"/>
        <v>#DIV/0!</v>
      </c>
    </row>
    <row r="94" spans="1:22" x14ac:dyDescent="0.25">
      <c r="A94" s="84" t="s">
        <v>341</v>
      </c>
      <c r="B94" s="85" t="s">
        <v>42</v>
      </c>
      <c r="C94" s="85" t="s">
        <v>342</v>
      </c>
      <c r="D94" s="85" t="s">
        <v>460</v>
      </c>
      <c r="E94" s="86" t="s">
        <v>461</v>
      </c>
      <c r="F94" s="85" t="s">
        <v>345</v>
      </c>
      <c r="G94" s="85" t="s">
        <v>310</v>
      </c>
      <c r="H94" s="85" t="s">
        <v>9</v>
      </c>
      <c r="I94" s="85" t="s">
        <v>258</v>
      </c>
      <c r="J94" s="86" t="s">
        <v>311</v>
      </c>
      <c r="K94" s="85" t="s">
        <v>417</v>
      </c>
      <c r="L94" s="87">
        <v>4</v>
      </c>
      <c r="M94" s="87">
        <f t="shared" si="15"/>
        <v>4.0999999999999996</v>
      </c>
      <c r="N94" s="88">
        <f t="shared" si="21"/>
        <v>0</v>
      </c>
      <c r="O94" s="33">
        <f t="shared" si="22"/>
        <v>0</v>
      </c>
      <c r="P94" s="85" t="s">
        <v>109</v>
      </c>
      <c r="Q94" s="21">
        <f t="shared" si="23"/>
        <v>0</v>
      </c>
      <c r="R94" s="87" t="e">
        <f t="shared" si="16"/>
        <v>#DIV/0!</v>
      </c>
      <c r="S94" s="87" t="e">
        <f t="shared" si="17"/>
        <v>#DIV/0!</v>
      </c>
      <c r="T94" s="21" t="e">
        <f t="shared" si="18"/>
        <v>#DIV/0!</v>
      </c>
      <c r="U94" s="87" t="e">
        <f t="shared" si="19"/>
        <v>#DIV/0!</v>
      </c>
      <c r="V94" s="22" t="e">
        <f t="shared" si="20"/>
        <v>#DIV/0!</v>
      </c>
    </row>
    <row r="95" spans="1:22" x14ac:dyDescent="0.25">
      <c r="A95" s="84" t="s">
        <v>341</v>
      </c>
      <c r="B95" s="85" t="s">
        <v>42</v>
      </c>
      <c r="C95" s="85" t="s">
        <v>342</v>
      </c>
      <c r="D95" s="85" t="s">
        <v>462</v>
      </c>
      <c r="E95" s="86" t="s">
        <v>463</v>
      </c>
      <c r="F95" s="85" t="s">
        <v>345</v>
      </c>
      <c r="G95" s="85" t="s">
        <v>310</v>
      </c>
      <c r="H95" s="85" t="s">
        <v>9</v>
      </c>
      <c r="I95" s="85" t="s">
        <v>258</v>
      </c>
      <c r="J95" s="86" t="s">
        <v>311</v>
      </c>
      <c r="K95" s="85" t="s">
        <v>417</v>
      </c>
      <c r="L95" s="87">
        <v>4</v>
      </c>
      <c r="M95" s="87">
        <f t="shared" si="15"/>
        <v>4.0999999999999996</v>
      </c>
      <c r="N95" s="88">
        <f t="shared" si="21"/>
        <v>0</v>
      </c>
      <c r="O95" s="33">
        <f t="shared" si="22"/>
        <v>0</v>
      </c>
      <c r="P95" s="85" t="s">
        <v>109</v>
      </c>
      <c r="Q95" s="21">
        <f t="shared" si="23"/>
        <v>0</v>
      </c>
      <c r="R95" s="87" t="e">
        <f t="shared" si="16"/>
        <v>#DIV/0!</v>
      </c>
      <c r="S95" s="87" t="e">
        <f t="shared" si="17"/>
        <v>#DIV/0!</v>
      </c>
      <c r="T95" s="21" t="e">
        <f t="shared" si="18"/>
        <v>#DIV/0!</v>
      </c>
      <c r="U95" s="87" t="e">
        <f t="shared" si="19"/>
        <v>#DIV/0!</v>
      </c>
      <c r="V95" s="22" t="e">
        <f t="shared" si="20"/>
        <v>#DIV/0!</v>
      </c>
    </row>
    <row r="96" spans="1:22" x14ac:dyDescent="0.25">
      <c r="A96" s="84" t="s">
        <v>341</v>
      </c>
      <c r="B96" s="85" t="s">
        <v>42</v>
      </c>
      <c r="C96" s="85" t="s">
        <v>464</v>
      </c>
      <c r="D96" s="85" t="s">
        <v>465</v>
      </c>
      <c r="E96" s="86" t="s">
        <v>466</v>
      </c>
      <c r="F96" s="85" t="s">
        <v>353</v>
      </c>
      <c r="G96" s="85" t="s">
        <v>257</v>
      </c>
      <c r="H96" s="85" t="s">
        <v>12</v>
      </c>
      <c r="I96" s="85" t="s">
        <v>258</v>
      </c>
      <c r="J96" s="86" t="s">
        <v>259</v>
      </c>
      <c r="K96" s="85" t="s">
        <v>365</v>
      </c>
      <c r="L96" s="87">
        <v>42.5</v>
      </c>
      <c r="M96" s="87">
        <f t="shared" si="15"/>
        <v>26.137499999999999</v>
      </c>
      <c r="N96" s="88">
        <f>prodnorm5</f>
        <v>0</v>
      </c>
      <c r="O96" s="33">
        <f>dagwerk5</f>
        <v>0</v>
      </c>
      <c r="P96" s="85" t="s">
        <v>109</v>
      </c>
      <c r="Q96" s="21">
        <f>uurtarief5</f>
        <v>0</v>
      </c>
      <c r="R96" s="87" t="e">
        <f t="shared" si="16"/>
        <v>#DIV/0!</v>
      </c>
      <c r="S96" s="87" t="e">
        <f t="shared" si="17"/>
        <v>#DIV/0!</v>
      </c>
      <c r="T96" s="21" t="e">
        <f t="shared" si="18"/>
        <v>#DIV/0!</v>
      </c>
      <c r="U96" s="87" t="e">
        <f t="shared" si="19"/>
        <v>#DIV/0!</v>
      </c>
      <c r="V96" s="22" t="e">
        <f t="shared" si="20"/>
        <v>#DIV/0!</v>
      </c>
    </row>
    <row r="97" spans="1:22" x14ac:dyDescent="0.25">
      <c r="A97" s="84" t="s">
        <v>341</v>
      </c>
      <c r="B97" s="85" t="s">
        <v>42</v>
      </c>
      <c r="C97" s="85" t="s">
        <v>464</v>
      </c>
      <c r="D97" s="85" t="s">
        <v>465</v>
      </c>
      <c r="E97" s="86" t="s">
        <v>466</v>
      </c>
      <c r="F97" s="85" t="s">
        <v>353</v>
      </c>
      <c r="G97" s="85" t="s">
        <v>262</v>
      </c>
      <c r="H97" s="85" t="s">
        <v>14</v>
      </c>
      <c r="I97" s="85" t="s">
        <v>258</v>
      </c>
      <c r="J97" s="86" t="s">
        <v>263</v>
      </c>
      <c r="K97" s="85" t="s">
        <v>365</v>
      </c>
      <c r="L97" s="87">
        <v>42.5</v>
      </c>
      <c r="M97" s="87">
        <f t="shared" si="15"/>
        <v>17.425000000000001</v>
      </c>
      <c r="N97" s="88">
        <f>prodnorm10</f>
        <v>0</v>
      </c>
      <c r="O97" s="33">
        <f>dagwerk10</f>
        <v>0</v>
      </c>
      <c r="P97" s="85" t="s">
        <v>109</v>
      </c>
      <c r="Q97" s="21">
        <f>uurtarief10</f>
        <v>0</v>
      </c>
      <c r="R97" s="87" t="e">
        <f t="shared" si="16"/>
        <v>#DIV/0!</v>
      </c>
      <c r="S97" s="87" t="e">
        <f t="shared" si="17"/>
        <v>#DIV/0!</v>
      </c>
      <c r="T97" s="21" t="e">
        <f t="shared" si="18"/>
        <v>#DIV/0!</v>
      </c>
      <c r="U97" s="87" t="e">
        <f t="shared" si="19"/>
        <v>#DIV/0!</v>
      </c>
      <c r="V97" s="22" t="e">
        <f t="shared" si="20"/>
        <v>#DIV/0!</v>
      </c>
    </row>
    <row r="98" spans="1:22" x14ac:dyDescent="0.25">
      <c r="A98" s="84" t="s">
        <v>341</v>
      </c>
      <c r="B98" s="85" t="s">
        <v>42</v>
      </c>
      <c r="C98" s="85" t="s">
        <v>464</v>
      </c>
      <c r="D98" s="85" t="s">
        <v>467</v>
      </c>
      <c r="E98" s="86" t="s">
        <v>466</v>
      </c>
      <c r="F98" s="85" t="s">
        <v>353</v>
      </c>
      <c r="G98" s="85" t="s">
        <v>257</v>
      </c>
      <c r="H98" s="85" t="s">
        <v>12</v>
      </c>
      <c r="I98" s="85" t="s">
        <v>258</v>
      </c>
      <c r="J98" s="86" t="s">
        <v>259</v>
      </c>
      <c r="K98" s="85" t="s">
        <v>365</v>
      </c>
      <c r="L98" s="87">
        <v>16.8</v>
      </c>
      <c r="M98" s="87">
        <f t="shared" si="15"/>
        <v>10.332000000000001</v>
      </c>
      <c r="N98" s="88">
        <f>prodnorm5</f>
        <v>0</v>
      </c>
      <c r="O98" s="33">
        <f>dagwerk5</f>
        <v>0</v>
      </c>
      <c r="P98" s="85" t="s">
        <v>109</v>
      </c>
      <c r="Q98" s="21">
        <f>uurtarief5</f>
        <v>0</v>
      </c>
      <c r="R98" s="87" t="e">
        <f t="shared" si="16"/>
        <v>#DIV/0!</v>
      </c>
      <c r="S98" s="87" t="e">
        <f t="shared" si="17"/>
        <v>#DIV/0!</v>
      </c>
      <c r="T98" s="21" t="e">
        <f t="shared" si="18"/>
        <v>#DIV/0!</v>
      </c>
      <c r="U98" s="87" t="e">
        <f t="shared" si="19"/>
        <v>#DIV/0!</v>
      </c>
      <c r="V98" s="22" t="e">
        <f t="shared" si="20"/>
        <v>#DIV/0!</v>
      </c>
    </row>
    <row r="99" spans="1:22" x14ac:dyDescent="0.25">
      <c r="A99" s="84" t="s">
        <v>341</v>
      </c>
      <c r="B99" s="85" t="s">
        <v>42</v>
      </c>
      <c r="C99" s="85" t="s">
        <v>464</v>
      </c>
      <c r="D99" s="85" t="s">
        <v>467</v>
      </c>
      <c r="E99" s="86" t="s">
        <v>466</v>
      </c>
      <c r="F99" s="85" t="s">
        <v>353</v>
      </c>
      <c r="G99" s="85" t="s">
        <v>262</v>
      </c>
      <c r="H99" s="85" t="s">
        <v>14</v>
      </c>
      <c r="I99" s="85" t="s">
        <v>258</v>
      </c>
      <c r="J99" s="86" t="s">
        <v>263</v>
      </c>
      <c r="K99" s="85" t="s">
        <v>365</v>
      </c>
      <c r="L99" s="87">
        <v>16.8</v>
      </c>
      <c r="M99" s="87">
        <f t="shared" si="15"/>
        <v>6.8879999999999999</v>
      </c>
      <c r="N99" s="88">
        <f>prodnorm10</f>
        <v>0</v>
      </c>
      <c r="O99" s="33">
        <f>dagwerk10</f>
        <v>0</v>
      </c>
      <c r="P99" s="85" t="s">
        <v>109</v>
      </c>
      <c r="Q99" s="21">
        <f>uurtarief10</f>
        <v>0</v>
      </c>
      <c r="R99" s="87" t="e">
        <f t="shared" si="16"/>
        <v>#DIV/0!</v>
      </c>
      <c r="S99" s="87" t="e">
        <f t="shared" si="17"/>
        <v>#DIV/0!</v>
      </c>
      <c r="T99" s="21" t="e">
        <f t="shared" si="18"/>
        <v>#DIV/0!</v>
      </c>
      <c r="U99" s="87" t="e">
        <f t="shared" si="19"/>
        <v>#DIV/0!</v>
      </c>
      <c r="V99" s="22" t="e">
        <f t="shared" si="20"/>
        <v>#DIV/0!</v>
      </c>
    </row>
    <row r="100" spans="1:22" x14ac:dyDescent="0.25">
      <c r="A100" s="84" t="s">
        <v>341</v>
      </c>
      <c r="B100" s="85" t="s">
        <v>42</v>
      </c>
      <c r="C100" s="85" t="s">
        <v>464</v>
      </c>
      <c r="D100" s="85" t="s">
        <v>468</v>
      </c>
      <c r="E100" s="86" t="s">
        <v>469</v>
      </c>
      <c r="F100" s="85" t="s">
        <v>353</v>
      </c>
      <c r="G100" s="85" t="s">
        <v>257</v>
      </c>
      <c r="H100" s="85" t="s">
        <v>12</v>
      </c>
      <c r="I100" s="85" t="s">
        <v>258</v>
      </c>
      <c r="J100" s="86" t="s">
        <v>259</v>
      </c>
      <c r="K100" s="85" t="s">
        <v>365</v>
      </c>
      <c r="L100" s="87">
        <v>17.100000000000001</v>
      </c>
      <c r="M100" s="87">
        <f t="shared" si="15"/>
        <v>10.516500000000001</v>
      </c>
      <c r="N100" s="88">
        <f>prodnorm5</f>
        <v>0</v>
      </c>
      <c r="O100" s="33">
        <f>dagwerk5</f>
        <v>0</v>
      </c>
      <c r="P100" s="85" t="s">
        <v>109</v>
      </c>
      <c r="Q100" s="21">
        <f>uurtarief5</f>
        <v>0</v>
      </c>
      <c r="R100" s="87" t="e">
        <f t="shared" si="16"/>
        <v>#DIV/0!</v>
      </c>
      <c r="S100" s="87" t="e">
        <f t="shared" si="17"/>
        <v>#DIV/0!</v>
      </c>
      <c r="T100" s="21" t="e">
        <f t="shared" si="18"/>
        <v>#DIV/0!</v>
      </c>
      <c r="U100" s="87" t="e">
        <f t="shared" si="19"/>
        <v>#DIV/0!</v>
      </c>
      <c r="V100" s="22" t="e">
        <f t="shared" si="20"/>
        <v>#DIV/0!</v>
      </c>
    </row>
    <row r="101" spans="1:22" x14ac:dyDescent="0.25">
      <c r="A101" s="84" t="s">
        <v>341</v>
      </c>
      <c r="B101" s="85" t="s">
        <v>42</v>
      </c>
      <c r="C101" s="85" t="s">
        <v>464</v>
      </c>
      <c r="D101" s="85" t="s">
        <v>468</v>
      </c>
      <c r="E101" s="86" t="s">
        <v>469</v>
      </c>
      <c r="F101" s="85" t="s">
        <v>353</v>
      </c>
      <c r="G101" s="85" t="s">
        <v>262</v>
      </c>
      <c r="H101" s="85" t="s">
        <v>14</v>
      </c>
      <c r="I101" s="85" t="s">
        <v>258</v>
      </c>
      <c r="J101" s="86" t="s">
        <v>263</v>
      </c>
      <c r="K101" s="85" t="s">
        <v>365</v>
      </c>
      <c r="L101" s="87">
        <v>17.100000000000001</v>
      </c>
      <c r="M101" s="87">
        <f t="shared" si="15"/>
        <v>7.0110000000000001</v>
      </c>
      <c r="N101" s="88">
        <f>prodnorm10</f>
        <v>0</v>
      </c>
      <c r="O101" s="33">
        <f>dagwerk10</f>
        <v>0</v>
      </c>
      <c r="P101" s="85" t="s">
        <v>109</v>
      </c>
      <c r="Q101" s="21">
        <f>uurtarief10</f>
        <v>0</v>
      </c>
      <c r="R101" s="87" t="e">
        <f t="shared" si="16"/>
        <v>#DIV/0!</v>
      </c>
      <c r="S101" s="87" t="e">
        <f t="shared" si="17"/>
        <v>#DIV/0!</v>
      </c>
      <c r="T101" s="21" t="e">
        <f t="shared" si="18"/>
        <v>#DIV/0!</v>
      </c>
      <c r="U101" s="87" t="e">
        <f t="shared" si="19"/>
        <v>#DIV/0!</v>
      </c>
      <c r="V101" s="22" t="e">
        <f t="shared" si="20"/>
        <v>#DIV/0!</v>
      </c>
    </row>
    <row r="102" spans="1:22" x14ac:dyDescent="0.25">
      <c r="A102" s="84" t="s">
        <v>341</v>
      </c>
      <c r="B102" s="85" t="s">
        <v>42</v>
      </c>
      <c r="C102" s="85" t="s">
        <v>464</v>
      </c>
      <c r="D102" s="85" t="s">
        <v>470</v>
      </c>
      <c r="E102" s="86" t="s">
        <v>471</v>
      </c>
      <c r="F102" s="85" t="s">
        <v>353</v>
      </c>
      <c r="G102" s="85" t="s">
        <v>257</v>
      </c>
      <c r="H102" s="85" t="s">
        <v>12</v>
      </c>
      <c r="I102" s="85" t="s">
        <v>258</v>
      </c>
      <c r="J102" s="86" t="s">
        <v>259</v>
      </c>
      <c r="K102" s="85" t="s">
        <v>365</v>
      </c>
      <c r="L102" s="87">
        <v>24.4</v>
      </c>
      <c r="M102" s="87">
        <f t="shared" si="15"/>
        <v>15.005999999999998</v>
      </c>
      <c r="N102" s="88">
        <f>prodnorm5</f>
        <v>0</v>
      </c>
      <c r="O102" s="33">
        <f>dagwerk5</f>
        <v>0</v>
      </c>
      <c r="P102" s="85" t="s">
        <v>109</v>
      </c>
      <c r="Q102" s="21">
        <f>uurtarief5</f>
        <v>0</v>
      </c>
      <c r="R102" s="87" t="e">
        <f t="shared" si="16"/>
        <v>#DIV/0!</v>
      </c>
      <c r="S102" s="87" t="e">
        <f t="shared" si="17"/>
        <v>#DIV/0!</v>
      </c>
      <c r="T102" s="21" t="e">
        <f t="shared" si="18"/>
        <v>#DIV/0!</v>
      </c>
      <c r="U102" s="87" t="e">
        <f t="shared" si="19"/>
        <v>#DIV/0!</v>
      </c>
      <c r="V102" s="22" t="e">
        <f t="shared" si="20"/>
        <v>#DIV/0!</v>
      </c>
    </row>
    <row r="103" spans="1:22" x14ac:dyDescent="0.25">
      <c r="A103" s="84" t="s">
        <v>341</v>
      </c>
      <c r="B103" s="85" t="s">
        <v>42</v>
      </c>
      <c r="C103" s="85" t="s">
        <v>464</v>
      </c>
      <c r="D103" s="85" t="s">
        <v>470</v>
      </c>
      <c r="E103" s="86" t="s">
        <v>471</v>
      </c>
      <c r="F103" s="85" t="s">
        <v>353</v>
      </c>
      <c r="G103" s="85" t="s">
        <v>262</v>
      </c>
      <c r="H103" s="85" t="s">
        <v>14</v>
      </c>
      <c r="I103" s="85" t="s">
        <v>258</v>
      </c>
      <c r="J103" s="86" t="s">
        <v>263</v>
      </c>
      <c r="K103" s="85" t="s">
        <v>365</v>
      </c>
      <c r="L103" s="87">
        <v>24.4</v>
      </c>
      <c r="M103" s="87">
        <f t="shared" si="15"/>
        <v>10.004</v>
      </c>
      <c r="N103" s="88">
        <f>prodnorm10</f>
        <v>0</v>
      </c>
      <c r="O103" s="33">
        <f>dagwerk10</f>
        <v>0</v>
      </c>
      <c r="P103" s="85" t="s">
        <v>109</v>
      </c>
      <c r="Q103" s="21">
        <f>uurtarief10</f>
        <v>0</v>
      </c>
      <c r="R103" s="87" t="e">
        <f t="shared" si="16"/>
        <v>#DIV/0!</v>
      </c>
      <c r="S103" s="87" t="e">
        <f t="shared" si="17"/>
        <v>#DIV/0!</v>
      </c>
      <c r="T103" s="21" t="e">
        <f t="shared" si="18"/>
        <v>#DIV/0!</v>
      </c>
      <c r="U103" s="87" t="e">
        <f t="shared" si="19"/>
        <v>#DIV/0!</v>
      </c>
      <c r="V103" s="22" t="e">
        <f t="shared" si="20"/>
        <v>#DIV/0!</v>
      </c>
    </row>
    <row r="104" spans="1:22" x14ac:dyDescent="0.25">
      <c r="A104" s="84" t="s">
        <v>341</v>
      </c>
      <c r="B104" s="85" t="s">
        <v>42</v>
      </c>
      <c r="C104" s="85" t="s">
        <v>464</v>
      </c>
      <c r="D104" s="85" t="s">
        <v>472</v>
      </c>
      <c r="E104" s="86" t="s">
        <v>473</v>
      </c>
      <c r="F104" s="85" t="s">
        <v>353</v>
      </c>
      <c r="G104" s="85" t="s">
        <v>257</v>
      </c>
      <c r="H104" s="85" t="s">
        <v>12</v>
      </c>
      <c r="I104" s="85" t="s">
        <v>258</v>
      </c>
      <c r="J104" s="86" t="s">
        <v>259</v>
      </c>
      <c r="K104" s="85" t="s">
        <v>365</v>
      </c>
      <c r="L104" s="87">
        <v>9.26</v>
      </c>
      <c r="M104" s="87">
        <f t="shared" si="15"/>
        <v>5.6948999999999996</v>
      </c>
      <c r="N104" s="88">
        <f>prodnorm5</f>
        <v>0</v>
      </c>
      <c r="O104" s="33">
        <f>dagwerk5</f>
        <v>0</v>
      </c>
      <c r="P104" s="85" t="s">
        <v>109</v>
      </c>
      <c r="Q104" s="21">
        <f>uurtarief5</f>
        <v>0</v>
      </c>
      <c r="R104" s="87" t="e">
        <f t="shared" si="16"/>
        <v>#DIV/0!</v>
      </c>
      <c r="S104" s="87" t="e">
        <f t="shared" si="17"/>
        <v>#DIV/0!</v>
      </c>
      <c r="T104" s="21" t="e">
        <f t="shared" si="18"/>
        <v>#DIV/0!</v>
      </c>
      <c r="U104" s="87" t="e">
        <f t="shared" si="19"/>
        <v>#DIV/0!</v>
      </c>
      <c r="V104" s="22" t="e">
        <f t="shared" si="20"/>
        <v>#DIV/0!</v>
      </c>
    </row>
    <row r="105" spans="1:22" x14ac:dyDescent="0.25">
      <c r="A105" s="84" t="s">
        <v>341</v>
      </c>
      <c r="B105" s="85" t="s">
        <v>42</v>
      </c>
      <c r="C105" s="85" t="s">
        <v>464</v>
      </c>
      <c r="D105" s="85" t="s">
        <v>472</v>
      </c>
      <c r="E105" s="86" t="s">
        <v>473</v>
      </c>
      <c r="F105" s="85" t="s">
        <v>353</v>
      </c>
      <c r="G105" s="85" t="s">
        <v>266</v>
      </c>
      <c r="H105" s="85" t="s">
        <v>14</v>
      </c>
      <c r="I105" s="85" t="s">
        <v>258</v>
      </c>
      <c r="J105" s="86" t="s">
        <v>267</v>
      </c>
      <c r="K105" s="85" t="s">
        <v>365</v>
      </c>
      <c r="L105" s="87">
        <v>9.26</v>
      </c>
      <c r="M105" s="87">
        <f t="shared" si="15"/>
        <v>3.7965999999999998</v>
      </c>
      <c r="N105" s="88">
        <f>prodnorm13</f>
        <v>0</v>
      </c>
      <c r="O105" s="33">
        <f>dagwerk13</f>
        <v>0</v>
      </c>
      <c r="P105" s="85" t="s">
        <v>109</v>
      </c>
      <c r="Q105" s="21">
        <f>uurtarief13</f>
        <v>0</v>
      </c>
      <c r="R105" s="87" t="e">
        <f t="shared" si="16"/>
        <v>#DIV/0!</v>
      </c>
      <c r="S105" s="87" t="e">
        <f t="shared" si="17"/>
        <v>#DIV/0!</v>
      </c>
      <c r="T105" s="21" t="e">
        <f t="shared" si="18"/>
        <v>#DIV/0!</v>
      </c>
      <c r="U105" s="87" t="e">
        <f t="shared" si="19"/>
        <v>#DIV/0!</v>
      </c>
      <c r="V105" s="22" t="e">
        <f t="shared" si="20"/>
        <v>#DIV/0!</v>
      </c>
    </row>
    <row r="106" spans="1:22" x14ac:dyDescent="0.25">
      <c r="A106" s="84" t="s">
        <v>341</v>
      </c>
      <c r="B106" s="85" t="s">
        <v>42</v>
      </c>
      <c r="C106" s="85" t="s">
        <v>464</v>
      </c>
      <c r="D106" s="85" t="s">
        <v>474</v>
      </c>
      <c r="E106" s="86" t="s">
        <v>473</v>
      </c>
      <c r="F106" s="85" t="s">
        <v>353</v>
      </c>
      <c r="G106" s="85" t="s">
        <v>257</v>
      </c>
      <c r="H106" s="85" t="s">
        <v>12</v>
      </c>
      <c r="I106" s="85" t="s">
        <v>258</v>
      </c>
      <c r="J106" s="86" t="s">
        <v>259</v>
      </c>
      <c r="K106" s="85" t="s">
        <v>365</v>
      </c>
      <c r="L106" s="87">
        <v>9.3000000000000007</v>
      </c>
      <c r="M106" s="87">
        <f t="shared" si="15"/>
        <v>5.7195</v>
      </c>
      <c r="N106" s="88">
        <f>prodnorm5</f>
        <v>0</v>
      </c>
      <c r="O106" s="33">
        <f>dagwerk5</f>
        <v>0</v>
      </c>
      <c r="P106" s="85" t="s">
        <v>109</v>
      </c>
      <c r="Q106" s="21">
        <f>uurtarief5</f>
        <v>0</v>
      </c>
      <c r="R106" s="87" t="e">
        <f t="shared" si="16"/>
        <v>#DIV/0!</v>
      </c>
      <c r="S106" s="87" t="e">
        <f t="shared" si="17"/>
        <v>#DIV/0!</v>
      </c>
      <c r="T106" s="21" t="e">
        <f t="shared" si="18"/>
        <v>#DIV/0!</v>
      </c>
      <c r="U106" s="87" t="e">
        <f t="shared" si="19"/>
        <v>#DIV/0!</v>
      </c>
      <c r="V106" s="22" t="e">
        <f t="shared" si="20"/>
        <v>#DIV/0!</v>
      </c>
    </row>
    <row r="107" spans="1:22" x14ac:dyDescent="0.25">
      <c r="A107" s="84" t="s">
        <v>341</v>
      </c>
      <c r="B107" s="85" t="s">
        <v>42</v>
      </c>
      <c r="C107" s="85" t="s">
        <v>464</v>
      </c>
      <c r="D107" s="85" t="s">
        <v>474</v>
      </c>
      <c r="E107" s="86" t="s">
        <v>473</v>
      </c>
      <c r="F107" s="85" t="s">
        <v>353</v>
      </c>
      <c r="G107" s="85" t="s">
        <v>266</v>
      </c>
      <c r="H107" s="85" t="s">
        <v>14</v>
      </c>
      <c r="I107" s="85" t="s">
        <v>258</v>
      </c>
      <c r="J107" s="86" t="s">
        <v>267</v>
      </c>
      <c r="K107" s="85" t="s">
        <v>365</v>
      </c>
      <c r="L107" s="87">
        <v>9.3000000000000007</v>
      </c>
      <c r="M107" s="87">
        <f t="shared" si="15"/>
        <v>3.8130000000000002</v>
      </c>
      <c r="N107" s="88">
        <f>prodnorm13</f>
        <v>0</v>
      </c>
      <c r="O107" s="33">
        <f>dagwerk13</f>
        <v>0</v>
      </c>
      <c r="P107" s="85" t="s">
        <v>109</v>
      </c>
      <c r="Q107" s="21">
        <f>uurtarief13</f>
        <v>0</v>
      </c>
      <c r="R107" s="87" t="e">
        <f t="shared" si="16"/>
        <v>#DIV/0!</v>
      </c>
      <c r="S107" s="87" t="e">
        <f t="shared" si="17"/>
        <v>#DIV/0!</v>
      </c>
      <c r="T107" s="21" t="e">
        <f t="shared" si="18"/>
        <v>#DIV/0!</v>
      </c>
      <c r="U107" s="87" t="e">
        <f t="shared" si="19"/>
        <v>#DIV/0!</v>
      </c>
      <c r="V107" s="22" t="e">
        <f t="shared" si="20"/>
        <v>#DIV/0!</v>
      </c>
    </row>
    <row r="108" spans="1:22" x14ac:dyDescent="0.25">
      <c r="A108" s="84" t="s">
        <v>341</v>
      </c>
      <c r="B108" s="85" t="s">
        <v>42</v>
      </c>
      <c r="C108" s="85" t="s">
        <v>464</v>
      </c>
      <c r="D108" s="85" t="s">
        <v>475</v>
      </c>
      <c r="E108" s="86" t="s">
        <v>473</v>
      </c>
      <c r="F108" s="85" t="s">
        <v>353</v>
      </c>
      <c r="G108" s="85" t="s">
        <v>257</v>
      </c>
      <c r="H108" s="85" t="s">
        <v>12</v>
      </c>
      <c r="I108" s="85" t="s">
        <v>258</v>
      </c>
      <c r="J108" s="86" t="s">
        <v>259</v>
      </c>
      <c r="K108" s="85" t="s">
        <v>365</v>
      </c>
      <c r="L108" s="87">
        <v>9.4600000000000009</v>
      </c>
      <c r="M108" s="87">
        <f t="shared" si="15"/>
        <v>5.8179000000000007</v>
      </c>
      <c r="N108" s="88">
        <f>prodnorm5</f>
        <v>0</v>
      </c>
      <c r="O108" s="33">
        <f>dagwerk5</f>
        <v>0</v>
      </c>
      <c r="P108" s="85" t="s">
        <v>109</v>
      </c>
      <c r="Q108" s="21">
        <f>uurtarief5</f>
        <v>0</v>
      </c>
      <c r="R108" s="87" t="e">
        <f t="shared" si="16"/>
        <v>#DIV/0!</v>
      </c>
      <c r="S108" s="87" t="e">
        <f t="shared" si="17"/>
        <v>#DIV/0!</v>
      </c>
      <c r="T108" s="21" t="e">
        <f t="shared" si="18"/>
        <v>#DIV/0!</v>
      </c>
      <c r="U108" s="87" t="e">
        <f t="shared" si="19"/>
        <v>#DIV/0!</v>
      </c>
      <c r="V108" s="22" t="e">
        <f t="shared" si="20"/>
        <v>#DIV/0!</v>
      </c>
    </row>
    <row r="109" spans="1:22" x14ac:dyDescent="0.25">
      <c r="A109" s="84" t="s">
        <v>341</v>
      </c>
      <c r="B109" s="85" t="s">
        <v>42</v>
      </c>
      <c r="C109" s="85" t="s">
        <v>464</v>
      </c>
      <c r="D109" s="85" t="s">
        <v>475</v>
      </c>
      <c r="E109" s="86" t="s">
        <v>473</v>
      </c>
      <c r="F109" s="85" t="s">
        <v>353</v>
      </c>
      <c r="G109" s="85" t="s">
        <v>266</v>
      </c>
      <c r="H109" s="85" t="s">
        <v>14</v>
      </c>
      <c r="I109" s="85" t="s">
        <v>258</v>
      </c>
      <c r="J109" s="86" t="s">
        <v>267</v>
      </c>
      <c r="K109" s="85" t="s">
        <v>365</v>
      </c>
      <c r="L109" s="87">
        <v>9.4600000000000009</v>
      </c>
      <c r="M109" s="87">
        <f t="shared" si="15"/>
        <v>3.8786</v>
      </c>
      <c r="N109" s="88">
        <f>prodnorm13</f>
        <v>0</v>
      </c>
      <c r="O109" s="33">
        <f>dagwerk13</f>
        <v>0</v>
      </c>
      <c r="P109" s="85" t="s">
        <v>109</v>
      </c>
      <c r="Q109" s="21">
        <f>uurtarief13</f>
        <v>0</v>
      </c>
      <c r="R109" s="87" t="e">
        <f t="shared" si="16"/>
        <v>#DIV/0!</v>
      </c>
      <c r="S109" s="87" t="e">
        <f t="shared" si="17"/>
        <v>#DIV/0!</v>
      </c>
      <c r="T109" s="21" t="e">
        <f t="shared" si="18"/>
        <v>#DIV/0!</v>
      </c>
      <c r="U109" s="87" t="e">
        <f t="shared" si="19"/>
        <v>#DIV/0!</v>
      </c>
      <c r="V109" s="22" t="e">
        <f t="shared" si="20"/>
        <v>#DIV/0!</v>
      </c>
    </row>
    <row r="110" spans="1:22" x14ac:dyDescent="0.25">
      <c r="A110" s="84" t="s">
        <v>341</v>
      </c>
      <c r="B110" s="85" t="s">
        <v>42</v>
      </c>
      <c r="C110" s="85" t="s">
        <v>464</v>
      </c>
      <c r="D110" s="85" t="s">
        <v>476</v>
      </c>
      <c r="E110" s="86" t="s">
        <v>473</v>
      </c>
      <c r="F110" s="85" t="s">
        <v>353</v>
      </c>
      <c r="G110" s="85" t="s">
        <v>257</v>
      </c>
      <c r="H110" s="85" t="s">
        <v>12</v>
      </c>
      <c r="I110" s="85" t="s">
        <v>258</v>
      </c>
      <c r="J110" s="86" t="s">
        <v>259</v>
      </c>
      <c r="K110" s="85" t="s">
        <v>365</v>
      </c>
      <c r="L110" s="87">
        <v>6.3</v>
      </c>
      <c r="M110" s="87">
        <f t="shared" si="15"/>
        <v>3.8744999999999998</v>
      </c>
      <c r="N110" s="88">
        <f>prodnorm5</f>
        <v>0</v>
      </c>
      <c r="O110" s="33">
        <f>dagwerk5</f>
        <v>0</v>
      </c>
      <c r="P110" s="85" t="s">
        <v>109</v>
      </c>
      <c r="Q110" s="21">
        <f>uurtarief5</f>
        <v>0</v>
      </c>
      <c r="R110" s="87" t="e">
        <f t="shared" si="16"/>
        <v>#DIV/0!</v>
      </c>
      <c r="S110" s="87" t="e">
        <f t="shared" si="17"/>
        <v>#DIV/0!</v>
      </c>
      <c r="T110" s="21" t="e">
        <f t="shared" si="18"/>
        <v>#DIV/0!</v>
      </c>
      <c r="U110" s="87" t="e">
        <f t="shared" si="19"/>
        <v>#DIV/0!</v>
      </c>
      <c r="V110" s="22" t="e">
        <f t="shared" si="20"/>
        <v>#DIV/0!</v>
      </c>
    </row>
    <row r="111" spans="1:22" x14ac:dyDescent="0.25">
      <c r="A111" s="84" t="s">
        <v>341</v>
      </c>
      <c r="B111" s="85" t="s">
        <v>42</v>
      </c>
      <c r="C111" s="85" t="s">
        <v>464</v>
      </c>
      <c r="D111" s="85" t="s">
        <v>476</v>
      </c>
      <c r="E111" s="86" t="s">
        <v>473</v>
      </c>
      <c r="F111" s="85" t="s">
        <v>353</v>
      </c>
      <c r="G111" s="85" t="s">
        <v>266</v>
      </c>
      <c r="H111" s="85" t="s">
        <v>14</v>
      </c>
      <c r="I111" s="85" t="s">
        <v>258</v>
      </c>
      <c r="J111" s="86" t="s">
        <v>267</v>
      </c>
      <c r="K111" s="85" t="s">
        <v>365</v>
      </c>
      <c r="L111" s="87">
        <v>6.3</v>
      </c>
      <c r="M111" s="87">
        <f t="shared" si="15"/>
        <v>2.5829999999999997</v>
      </c>
      <c r="N111" s="88">
        <f>prodnorm13</f>
        <v>0</v>
      </c>
      <c r="O111" s="33">
        <f>dagwerk13</f>
        <v>0</v>
      </c>
      <c r="P111" s="85" t="s">
        <v>109</v>
      </c>
      <c r="Q111" s="21">
        <f>uurtarief13</f>
        <v>0</v>
      </c>
      <c r="R111" s="87" t="e">
        <f t="shared" si="16"/>
        <v>#DIV/0!</v>
      </c>
      <c r="S111" s="87" t="e">
        <f t="shared" si="17"/>
        <v>#DIV/0!</v>
      </c>
      <c r="T111" s="21" t="e">
        <f t="shared" si="18"/>
        <v>#DIV/0!</v>
      </c>
      <c r="U111" s="87" t="e">
        <f t="shared" si="19"/>
        <v>#DIV/0!</v>
      </c>
      <c r="V111" s="22" t="e">
        <f t="shared" si="20"/>
        <v>#DIV/0!</v>
      </c>
    </row>
    <row r="112" spans="1:22" x14ac:dyDescent="0.25">
      <c r="A112" s="84" t="s">
        <v>341</v>
      </c>
      <c r="B112" s="85" t="s">
        <v>42</v>
      </c>
      <c r="C112" s="85" t="s">
        <v>464</v>
      </c>
      <c r="D112" s="85" t="s">
        <v>477</v>
      </c>
      <c r="E112" s="86" t="s">
        <v>473</v>
      </c>
      <c r="F112" s="85" t="s">
        <v>353</v>
      </c>
      <c r="G112" s="85" t="s">
        <v>257</v>
      </c>
      <c r="H112" s="85" t="s">
        <v>12</v>
      </c>
      <c r="I112" s="85" t="s">
        <v>258</v>
      </c>
      <c r="J112" s="86" t="s">
        <v>259</v>
      </c>
      <c r="K112" s="85" t="s">
        <v>365</v>
      </c>
      <c r="L112" s="87">
        <v>6.3</v>
      </c>
      <c r="M112" s="87">
        <f t="shared" ref="M112:M123" si="24">L112*VLOOKUP(H112,dagsoorttabel1,2,FALSE)</f>
        <v>3.8744999999999998</v>
      </c>
      <c r="N112" s="88">
        <f>prodnorm5</f>
        <v>0</v>
      </c>
      <c r="O112" s="33">
        <f>dagwerk5</f>
        <v>0</v>
      </c>
      <c r="P112" s="85" t="s">
        <v>109</v>
      </c>
      <c r="Q112" s="21">
        <f>uurtarief5</f>
        <v>0</v>
      </c>
      <c r="R112" s="87" t="e">
        <f t="shared" ref="R112:R123" si="25">IF(ISBLANK(N112),0,M112/ROUND(N112,4))</f>
        <v>#DIV/0!</v>
      </c>
      <c r="S112" s="87" t="e">
        <f t="shared" ref="S112:S123" si="26">IF(ISBLANK(N112),0,R112*ROUND(O112,2))</f>
        <v>#DIV/0!</v>
      </c>
      <c r="T112" s="21" t="e">
        <f t="shared" ref="T112:T123" si="27">ROUND(Q112,2)*R112</f>
        <v>#DIV/0!</v>
      </c>
      <c r="U112" s="87" t="e">
        <f t="shared" ref="U112:U123" si="28">R112*dagenperjaar1</f>
        <v>#DIV/0!</v>
      </c>
      <c r="V112" s="22" t="e">
        <f t="shared" ref="V112:V123" si="29">U112*ROUND(Q112,2)</f>
        <v>#DIV/0!</v>
      </c>
    </row>
    <row r="113" spans="1:22" x14ac:dyDescent="0.25">
      <c r="A113" s="84" t="s">
        <v>341</v>
      </c>
      <c r="B113" s="85" t="s">
        <v>42</v>
      </c>
      <c r="C113" s="85" t="s">
        <v>464</v>
      </c>
      <c r="D113" s="85" t="s">
        <v>477</v>
      </c>
      <c r="E113" s="86" t="s">
        <v>473</v>
      </c>
      <c r="F113" s="85" t="s">
        <v>353</v>
      </c>
      <c r="G113" s="85" t="s">
        <v>266</v>
      </c>
      <c r="H113" s="85" t="s">
        <v>14</v>
      </c>
      <c r="I113" s="85" t="s">
        <v>258</v>
      </c>
      <c r="J113" s="86" t="s">
        <v>267</v>
      </c>
      <c r="K113" s="85" t="s">
        <v>365</v>
      </c>
      <c r="L113" s="87">
        <v>6.3</v>
      </c>
      <c r="M113" s="87">
        <f t="shared" si="24"/>
        <v>2.5829999999999997</v>
      </c>
      <c r="N113" s="88">
        <f>prodnorm13</f>
        <v>0</v>
      </c>
      <c r="O113" s="33">
        <f>dagwerk13</f>
        <v>0</v>
      </c>
      <c r="P113" s="85" t="s">
        <v>109</v>
      </c>
      <c r="Q113" s="21">
        <f>uurtarief13</f>
        <v>0</v>
      </c>
      <c r="R113" s="87" t="e">
        <f t="shared" si="25"/>
        <v>#DIV/0!</v>
      </c>
      <c r="S113" s="87" t="e">
        <f t="shared" si="26"/>
        <v>#DIV/0!</v>
      </c>
      <c r="T113" s="21" t="e">
        <f t="shared" si="27"/>
        <v>#DIV/0!</v>
      </c>
      <c r="U113" s="87" t="e">
        <f t="shared" si="28"/>
        <v>#DIV/0!</v>
      </c>
      <c r="V113" s="22" t="e">
        <f t="shared" si="29"/>
        <v>#DIV/0!</v>
      </c>
    </row>
    <row r="114" spans="1:22" x14ac:dyDescent="0.25">
      <c r="A114" s="84" t="s">
        <v>341</v>
      </c>
      <c r="B114" s="85" t="s">
        <v>42</v>
      </c>
      <c r="C114" s="85" t="s">
        <v>464</v>
      </c>
      <c r="D114" s="85" t="s">
        <v>478</v>
      </c>
      <c r="E114" s="86" t="s">
        <v>479</v>
      </c>
      <c r="F114" s="85" t="s">
        <v>353</v>
      </c>
      <c r="G114" s="85" t="s">
        <v>257</v>
      </c>
      <c r="H114" s="85" t="s">
        <v>12</v>
      </c>
      <c r="I114" s="85" t="s">
        <v>258</v>
      </c>
      <c r="J114" s="86" t="s">
        <v>259</v>
      </c>
      <c r="K114" s="85" t="s">
        <v>365</v>
      </c>
      <c r="L114" s="87">
        <v>9.3500000000000014</v>
      </c>
      <c r="M114" s="87">
        <f t="shared" si="24"/>
        <v>5.7502500000000012</v>
      </c>
      <c r="N114" s="88">
        <f>prodnorm5</f>
        <v>0</v>
      </c>
      <c r="O114" s="33">
        <f>dagwerk5</f>
        <v>0</v>
      </c>
      <c r="P114" s="85" t="s">
        <v>109</v>
      </c>
      <c r="Q114" s="21">
        <f>uurtarief5</f>
        <v>0</v>
      </c>
      <c r="R114" s="87" t="e">
        <f t="shared" si="25"/>
        <v>#DIV/0!</v>
      </c>
      <c r="S114" s="87" t="e">
        <f t="shared" si="26"/>
        <v>#DIV/0!</v>
      </c>
      <c r="T114" s="21" t="e">
        <f t="shared" si="27"/>
        <v>#DIV/0!</v>
      </c>
      <c r="U114" s="87" t="e">
        <f t="shared" si="28"/>
        <v>#DIV/0!</v>
      </c>
      <c r="V114" s="22" t="e">
        <f t="shared" si="29"/>
        <v>#DIV/0!</v>
      </c>
    </row>
    <row r="115" spans="1:22" x14ac:dyDescent="0.25">
      <c r="A115" s="84" t="s">
        <v>341</v>
      </c>
      <c r="B115" s="85" t="s">
        <v>42</v>
      </c>
      <c r="C115" s="85" t="s">
        <v>464</v>
      </c>
      <c r="D115" s="85" t="s">
        <v>478</v>
      </c>
      <c r="E115" s="86" t="s">
        <v>479</v>
      </c>
      <c r="F115" s="85" t="s">
        <v>353</v>
      </c>
      <c r="G115" s="85" t="s">
        <v>262</v>
      </c>
      <c r="H115" s="85" t="s">
        <v>14</v>
      </c>
      <c r="I115" s="85" t="s">
        <v>258</v>
      </c>
      <c r="J115" s="86" t="s">
        <v>263</v>
      </c>
      <c r="K115" s="85" t="s">
        <v>365</v>
      </c>
      <c r="L115" s="87">
        <v>9.3500000000000014</v>
      </c>
      <c r="M115" s="87">
        <f t="shared" si="24"/>
        <v>3.8335000000000004</v>
      </c>
      <c r="N115" s="88">
        <f>prodnorm10</f>
        <v>0</v>
      </c>
      <c r="O115" s="33">
        <f>dagwerk10</f>
        <v>0</v>
      </c>
      <c r="P115" s="85" t="s">
        <v>109</v>
      </c>
      <c r="Q115" s="21">
        <f>uurtarief10</f>
        <v>0</v>
      </c>
      <c r="R115" s="87" t="e">
        <f t="shared" si="25"/>
        <v>#DIV/0!</v>
      </c>
      <c r="S115" s="87" t="e">
        <f t="shared" si="26"/>
        <v>#DIV/0!</v>
      </c>
      <c r="T115" s="21" t="e">
        <f t="shared" si="27"/>
        <v>#DIV/0!</v>
      </c>
      <c r="U115" s="87" t="e">
        <f t="shared" si="28"/>
        <v>#DIV/0!</v>
      </c>
      <c r="V115" s="22" t="e">
        <f t="shared" si="29"/>
        <v>#DIV/0!</v>
      </c>
    </row>
    <row r="116" spans="1:22" x14ac:dyDescent="0.25">
      <c r="A116" s="84" t="s">
        <v>341</v>
      </c>
      <c r="B116" s="85" t="s">
        <v>42</v>
      </c>
      <c r="C116" s="85" t="s">
        <v>464</v>
      </c>
      <c r="D116" s="85" t="s">
        <v>480</v>
      </c>
      <c r="E116" s="86" t="s">
        <v>479</v>
      </c>
      <c r="F116" s="85" t="s">
        <v>353</v>
      </c>
      <c r="G116" s="85" t="s">
        <v>257</v>
      </c>
      <c r="H116" s="85" t="s">
        <v>12</v>
      </c>
      <c r="I116" s="85" t="s">
        <v>258</v>
      </c>
      <c r="J116" s="86" t="s">
        <v>259</v>
      </c>
      <c r="K116" s="85" t="s">
        <v>365</v>
      </c>
      <c r="L116" s="87">
        <v>9.1</v>
      </c>
      <c r="M116" s="87">
        <f t="shared" si="24"/>
        <v>5.5964999999999998</v>
      </c>
      <c r="N116" s="88">
        <f>prodnorm5</f>
        <v>0</v>
      </c>
      <c r="O116" s="33">
        <f>dagwerk5</f>
        <v>0</v>
      </c>
      <c r="P116" s="85" t="s">
        <v>109</v>
      </c>
      <c r="Q116" s="21">
        <f>uurtarief5</f>
        <v>0</v>
      </c>
      <c r="R116" s="87" t="e">
        <f t="shared" si="25"/>
        <v>#DIV/0!</v>
      </c>
      <c r="S116" s="87" t="e">
        <f t="shared" si="26"/>
        <v>#DIV/0!</v>
      </c>
      <c r="T116" s="21" t="e">
        <f t="shared" si="27"/>
        <v>#DIV/0!</v>
      </c>
      <c r="U116" s="87" t="e">
        <f t="shared" si="28"/>
        <v>#DIV/0!</v>
      </c>
      <c r="V116" s="22" t="e">
        <f t="shared" si="29"/>
        <v>#DIV/0!</v>
      </c>
    </row>
    <row r="117" spans="1:22" x14ac:dyDescent="0.25">
      <c r="A117" s="84" t="s">
        <v>341</v>
      </c>
      <c r="B117" s="85" t="s">
        <v>42</v>
      </c>
      <c r="C117" s="85" t="s">
        <v>464</v>
      </c>
      <c r="D117" s="85" t="s">
        <v>480</v>
      </c>
      <c r="E117" s="86" t="s">
        <v>479</v>
      </c>
      <c r="F117" s="85" t="s">
        <v>353</v>
      </c>
      <c r="G117" s="85" t="s">
        <v>262</v>
      </c>
      <c r="H117" s="85" t="s">
        <v>14</v>
      </c>
      <c r="I117" s="85" t="s">
        <v>258</v>
      </c>
      <c r="J117" s="86" t="s">
        <v>263</v>
      </c>
      <c r="K117" s="85" t="s">
        <v>365</v>
      </c>
      <c r="L117" s="87">
        <v>9.1</v>
      </c>
      <c r="M117" s="87">
        <f t="shared" si="24"/>
        <v>3.7309999999999994</v>
      </c>
      <c r="N117" s="88">
        <f>prodnorm10</f>
        <v>0</v>
      </c>
      <c r="O117" s="33">
        <f>dagwerk10</f>
        <v>0</v>
      </c>
      <c r="P117" s="85" t="s">
        <v>109</v>
      </c>
      <c r="Q117" s="21">
        <f>uurtarief10</f>
        <v>0</v>
      </c>
      <c r="R117" s="87" t="e">
        <f t="shared" si="25"/>
        <v>#DIV/0!</v>
      </c>
      <c r="S117" s="87" t="e">
        <f t="shared" si="26"/>
        <v>#DIV/0!</v>
      </c>
      <c r="T117" s="21" t="e">
        <f t="shared" si="27"/>
        <v>#DIV/0!</v>
      </c>
      <c r="U117" s="87" t="e">
        <f t="shared" si="28"/>
        <v>#DIV/0!</v>
      </c>
      <c r="V117" s="22" t="e">
        <f t="shared" si="29"/>
        <v>#DIV/0!</v>
      </c>
    </row>
    <row r="118" spans="1:22" x14ac:dyDescent="0.25">
      <c r="A118" s="84" t="s">
        <v>341</v>
      </c>
      <c r="B118" s="85" t="s">
        <v>42</v>
      </c>
      <c r="C118" s="85" t="s">
        <v>464</v>
      </c>
      <c r="D118" s="85" t="s">
        <v>481</v>
      </c>
      <c r="E118" s="86" t="s">
        <v>479</v>
      </c>
      <c r="F118" s="85" t="s">
        <v>353</v>
      </c>
      <c r="G118" s="85" t="s">
        <v>257</v>
      </c>
      <c r="H118" s="85" t="s">
        <v>12</v>
      </c>
      <c r="I118" s="85" t="s">
        <v>258</v>
      </c>
      <c r="J118" s="86" t="s">
        <v>259</v>
      </c>
      <c r="K118" s="85" t="s">
        <v>365</v>
      </c>
      <c r="L118" s="87">
        <v>8.8800000000000008</v>
      </c>
      <c r="M118" s="87">
        <f t="shared" si="24"/>
        <v>5.4612000000000007</v>
      </c>
      <c r="N118" s="88">
        <f>prodnorm5</f>
        <v>0</v>
      </c>
      <c r="O118" s="33">
        <f>dagwerk5</f>
        <v>0</v>
      </c>
      <c r="P118" s="85" t="s">
        <v>109</v>
      </c>
      <c r="Q118" s="21">
        <f>uurtarief5</f>
        <v>0</v>
      </c>
      <c r="R118" s="87" t="e">
        <f t="shared" si="25"/>
        <v>#DIV/0!</v>
      </c>
      <c r="S118" s="87" t="e">
        <f t="shared" si="26"/>
        <v>#DIV/0!</v>
      </c>
      <c r="T118" s="21" t="e">
        <f t="shared" si="27"/>
        <v>#DIV/0!</v>
      </c>
      <c r="U118" s="87" t="e">
        <f t="shared" si="28"/>
        <v>#DIV/0!</v>
      </c>
      <c r="V118" s="22" t="e">
        <f t="shared" si="29"/>
        <v>#DIV/0!</v>
      </c>
    </row>
    <row r="119" spans="1:22" x14ac:dyDescent="0.25">
      <c r="A119" s="84" t="s">
        <v>341</v>
      </c>
      <c r="B119" s="85" t="s">
        <v>42</v>
      </c>
      <c r="C119" s="85" t="s">
        <v>464</v>
      </c>
      <c r="D119" s="85" t="s">
        <v>481</v>
      </c>
      <c r="E119" s="86" t="s">
        <v>479</v>
      </c>
      <c r="F119" s="85" t="s">
        <v>353</v>
      </c>
      <c r="G119" s="85" t="s">
        <v>262</v>
      </c>
      <c r="H119" s="85" t="s">
        <v>14</v>
      </c>
      <c r="I119" s="85" t="s">
        <v>258</v>
      </c>
      <c r="J119" s="86" t="s">
        <v>263</v>
      </c>
      <c r="K119" s="85" t="s">
        <v>365</v>
      </c>
      <c r="L119" s="87">
        <v>8.8800000000000008</v>
      </c>
      <c r="M119" s="87">
        <f t="shared" si="24"/>
        <v>3.6408</v>
      </c>
      <c r="N119" s="88">
        <f>prodnorm10</f>
        <v>0</v>
      </c>
      <c r="O119" s="33">
        <f>dagwerk10</f>
        <v>0</v>
      </c>
      <c r="P119" s="85" t="s">
        <v>109</v>
      </c>
      <c r="Q119" s="21">
        <f>uurtarief10</f>
        <v>0</v>
      </c>
      <c r="R119" s="87" t="e">
        <f t="shared" si="25"/>
        <v>#DIV/0!</v>
      </c>
      <c r="S119" s="87" t="e">
        <f t="shared" si="26"/>
        <v>#DIV/0!</v>
      </c>
      <c r="T119" s="21" t="e">
        <f t="shared" si="27"/>
        <v>#DIV/0!</v>
      </c>
      <c r="U119" s="87" t="e">
        <f t="shared" si="28"/>
        <v>#DIV/0!</v>
      </c>
      <c r="V119" s="22" t="e">
        <f t="shared" si="29"/>
        <v>#DIV/0!</v>
      </c>
    </row>
    <row r="120" spans="1:22" x14ac:dyDescent="0.25">
      <c r="A120" s="84" t="s">
        <v>341</v>
      </c>
      <c r="B120" s="85" t="s">
        <v>42</v>
      </c>
      <c r="C120" s="85" t="s">
        <v>464</v>
      </c>
      <c r="D120" s="85" t="s">
        <v>482</v>
      </c>
      <c r="E120" s="86" t="s">
        <v>483</v>
      </c>
      <c r="F120" s="85" t="s">
        <v>349</v>
      </c>
      <c r="G120" s="85" t="s">
        <v>257</v>
      </c>
      <c r="H120" s="85" t="s">
        <v>12</v>
      </c>
      <c r="I120" s="85" t="s">
        <v>258</v>
      </c>
      <c r="J120" s="86" t="s">
        <v>259</v>
      </c>
      <c r="K120" s="85" t="s">
        <v>365</v>
      </c>
      <c r="L120" s="87">
        <v>37.9</v>
      </c>
      <c r="M120" s="87">
        <f t="shared" si="24"/>
        <v>23.308499999999999</v>
      </c>
      <c r="N120" s="88">
        <f>prodnorm5</f>
        <v>0</v>
      </c>
      <c r="O120" s="33">
        <f>dagwerk5</f>
        <v>0</v>
      </c>
      <c r="P120" s="85" t="s">
        <v>109</v>
      </c>
      <c r="Q120" s="21">
        <f>uurtarief5</f>
        <v>0</v>
      </c>
      <c r="R120" s="87" t="e">
        <f t="shared" si="25"/>
        <v>#DIV/0!</v>
      </c>
      <c r="S120" s="87" t="e">
        <f t="shared" si="26"/>
        <v>#DIV/0!</v>
      </c>
      <c r="T120" s="21" t="e">
        <f t="shared" si="27"/>
        <v>#DIV/0!</v>
      </c>
      <c r="U120" s="87" t="e">
        <f t="shared" si="28"/>
        <v>#DIV/0!</v>
      </c>
      <c r="V120" s="22" t="e">
        <f t="shared" si="29"/>
        <v>#DIV/0!</v>
      </c>
    </row>
    <row r="121" spans="1:22" x14ac:dyDescent="0.25">
      <c r="A121" s="84" t="s">
        <v>341</v>
      </c>
      <c r="B121" s="85" t="s">
        <v>42</v>
      </c>
      <c r="C121" s="85" t="s">
        <v>464</v>
      </c>
      <c r="D121" s="85" t="s">
        <v>482</v>
      </c>
      <c r="E121" s="86" t="s">
        <v>483</v>
      </c>
      <c r="F121" s="85" t="s">
        <v>349</v>
      </c>
      <c r="G121" s="85" t="s">
        <v>262</v>
      </c>
      <c r="H121" s="85" t="s">
        <v>14</v>
      </c>
      <c r="I121" s="85" t="s">
        <v>258</v>
      </c>
      <c r="J121" s="86" t="s">
        <v>263</v>
      </c>
      <c r="K121" s="85" t="s">
        <v>365</v>
      </c>
      <c r="L121" s="87">
        <v>37.9</v>
      </c>
      <c r="M121" s="87">
        <f t="shared" si="24"/>
        <v>15.538999999999998</v>
      </c>
      <c r="N121" s="88">
        <f>prodnorm10</f>
        <v>0</v>
      </c>
      <c r="O121" s="33">
        <f>dagwerk10</f>
        <v>0</v>
      </c>
      <c r="P121" s="85" t="s">
        <v>109</v>
      </c>
      <c r="Q121" s="21">
        <f>uurtarief10</f>
        <v>0</v>
      </c>
      <c r="R121" s="87" t="e">
        <f t="shared" si="25"/>
        <v>#DIV/0!</v>
      </c>
      <c r="S121" s="87" t="e">
        <f t="shared" si="26"/>
        <v>#DIV/0!</v>
      </c>
      <c r="T121" s="21" t="e">
        <f t="shared" si="27"/>
        <v>#DIV/0!</v>
      </c>
      <c r="U121" s="87" t="e">
        <f t="shared" si="28"/>
        <v>#DIV/0!</v>
      </c>
      <c r="V121" s="22" t="e">
        <f t="shared" si="29"/>
        <v>#DIV/0!</v>
      </c>
    </row>
    <row r="122" spans="1:22" x14ac:dyDescent="0.25">
      <c r="A122" s="84" t="s">
        <v>341</v>
      </c>
      <c r="B122" s="85" t="s">
        <v>42</v>
      </c>
      <c r="C122" s="85" t="s">
        <v>464</v>
      </c>
      <c r="D122" s="85" t="s">
        <v>484</v>
      </c>
      <c r="E122" s="86" t="s">
        <v>485</v>
      </c>
      <c r="F122" s="85" t="s">
        <v>353</v>
      </c>
      <c r="G122" s="85" t="s">
        <v>257</v>
      </c>
      <c r="H122" s="85" t="s">
        <v>12</v>
      </c>
      <c r="I122" s="85" t="s">
        <v>258</v>
      </c>
      <c r="J122" s="86" t="s">
        <v>259</v>
      </c>
      <c r="K122" s="85" t="s">
        <v>365</v>
      </c>
      <c r="L122" s="87">
        <v>21.7</v>
      </c>
      <c r="M122" s="87">
        <f t="shared" si="24"/>
        <v>13.345499999999999</v>
      </c>
      <c r="N122" s="88">
        <f>prodnorm5</f>
        <v>0</v>
      </c>
      <c r="O122" s="33">
        <f>dagwerk5</f>
        <v>0</v>
      </c>
      <c r="P122" s="85" t="s">
        <v>109</v>
      </c>
      <c r="Q122" s="21">
        <f>uurtarief5</f>
        <v>0</v>
      </c>
      <c r="R122" s="87" t="e">
        <f t="shared" si="25"/>
        <v>#DIV/0!</v>
      </c>
      <c r="S122" s="87" t="e">
        <f t="shared" si="26"/>
        <v>#DIV/0!</v>
      </c>
      <c r="T122" s="21" t="e">
        <f t="shared" si="27"/>
        <v>#DIV/0!</v>
      </c>
      <c r="U122" s="87" t="e">
        <f t="shared" si="28"/>
        <v>#DIV/0!</v>
      </c>
      <c r="V122" s="22" t="e">
        <f t="shared" si="29"/>
        <v>#DIV/0!</v>
      </c>
    </row>
    <row r="123" spans="1:22" x14ac:dyDescent="0.25">
      <c r="A123" s="84" t="s">
        <v>341</v>
      </c>
      <c r="B123" s="85" t="s">
        <v>42</v>
      </c>
      <c r="C123" s="85" t="s">
        <v>464</v>
      </c>
      <c r="D123" s="85" t="s">
        <v>484</v>
      </c>
      <c r="E123" s="86" t="s">
        <v>485</v>
      </c>
      <c r="F123" s="85" t="s">
        <v>353</v>
      </c>
      <c r="G123" s="85" t="s">
        <v>266</v>
      </c>
      <c r="H123" s="85" t="s">
        <v>14</v>
      </c>
      <c r="I123" s="85" t="s">
        <v>258</v>
      </c>
      <c r="J123" s="86" t="s">
        <v>267</v>
      </c>
      <c r="K123" s="85" t="s">
        <v>365</v>
      </c>
      <c r="L123" s="87">
        <v>21.7</v>
      </c>
      <c r="M123" s="87">
        <f t="shared" si="24"/>
        <v>8.8969999999999985</v>
      </c>
      <c r="N123" s="88">
        <f>prodnorm13</f>
        <v>0</v>
      </c>
      <c r="O123" s="33">
        <f>dagwerk13</f>
        <v>0</v>
      </c>
      <c r="P123" s="85" t="s">
        <v>109</v>
      </c>
      <c r="Q123" s="21">
        <f>uurtarief13</f>
        <v>0</v>
      </c>
      <c r="R123" s="87" t="e">
        <f t="shared" si="25"/>
        <v>#DIV/0!</v>
      </c>
      <c r="S123" s="87" t="e">
        <f t="shared" si="26"/>
        <v>#DIV/0!</v>
      </c>
      <c r="T123" s="21" t="e">
        <f t="shared" si="27"/>
        <v>#DIV/0!</v>
      </c>
      <c r="U123" s="87" t="e">
        <f t="shared" si="28"/>
        <v>#DIV/0!</v>
      </c>
      <c r="V123" s="22" t="e">
        <f t="shared" si="29"/>
        <v>#DIV/0!</v>
      </c>
    </row>
    <row r="124" spans="1:22" x14ac:dyDescent="0.25">
      <c r="A124" s="84" t="s">
        <v>341</v>
      </c>
      <c r="B124" s="85" t="s">
        <v>42</v>
      </c>
      <c r="C124" s="85" t="s">
        <v>464</v>
      </c>
      <c r="D124" s="85" t="s">
        <v>486</v>
      </c>
      <c r="E124" s="86" t="s">
        <v>485</v>
      </c>
      <c r="F124" s="85" t="s">
        <v>353</v>
      </c>
      <c r="G124" s="85" t="s">
        <v>350</v>
      </c>
      <c r="H124" s="85"/>
      <c r="I124" s="85"/>
      <c r="J124" s="85"/>
      <c r="K124" s="85" t="s">
        <v>42</v>
      </c>
      <c r="L124" s="87">
        <v>21.5</v>
      </c>
      <c r="M124" s="87"/>
      <c r="N124" s="88"/>
      <c r="O124" s="33"/>
      <c r="P124" s="85"/>
      <c r="Q124" s="21"/>
      <c r="R124" s="87"/>
      <c r="S124" s="87"/>
      <c r="T124" s="21"/>
      <c r="U124" s="89"/>
      <c r="V124" s="22"/>
    </row>
    <row r="125" spans="1:22" x14ac:dyDescent="0.25">
      <c r="A125" s="84" t="s">
        <v>341</v>
      </c>
      <c r="B125" s="85" t="s">
        <v>42</v>
      </c>
      <c r="C125" s="85" t="s">
        <v>464</v>
      </c>
      <c r="D125" s="85" t="s">
        <v>487</v>
      </c>
      <c r="E125" s="86" t="s">
        <v>488</v>
      </c>
      <c r="F125" s="85" t="s">
        <v>353</v>
      </c>
      <c r="G125" s="85" t="s">
        <v>276</v>
      </c>
      <c r="H125" s="85" t="s">
        <v>9</v>
      </c>
      <c r="I125" s="85" t="s">
        <v>258</v>
      </c>
      <c r="J125" s="86" t="s">
        <v>277</v>
      </c>
      <c r="K125" s="85" t="s">
        <v>346</v>
      </c>
      <c r="L125" s="87">
        <v>104.1</v>
      </c>
      <c r="M125" s="87">
        <f t="shared" ref="M125:M152" si="30">L125*VLOOKUP(H125,dagsoorttabel1,2,FALSE)</f>
        <v>106.70249999999999</v>
      </c>
      <c r="N125" s="88">
        <f>prodnorm21</f>
        <v>0</v>
      </c>
      <c r="O125" s="33">
        <f>dagwerk21</f>
        <v>0</v>
      </c>
      <c r="P125" s="85" t="s">
        <v>109</v>
      </c>
      <c r="Q125" s="21">
        <f>uurtarief21</f>
        <v>0</v>
      </c>
      <c r="R125" s="87" t="e">
        <f t="shared" ref="R125:R152" si="31">IF(ISBLANK(N125),0,M125/ROUND(N125,4))</f>
        <v>#DIV/0!</v>
      </c>
      <c r="S125" s="87" t="e">
        <f t="shared" ref="S125:S152" si="32">IF(ISBLANK(N125),0,R125*ROUND(O125,2))</f>
        <v>#DIV/0!</v>
      </c>
      <c r="T125" s="21" t="e">
        <f t="shared" ref="T125:T152" si="33">ROUND(Q125,2)*R125</f>
        <v>#DIV/0!</v>
      </c>
      <c r="U125" s="87" t="e">
        <f t="shared" ref="U125:U152" si="34">R125*dagenperjaar1</f>
        <v>#DIV/0!</v>
      </c>
      <c r="V125" s="22" t="e">
        <f t="shared" ref="V125:V152" si="35">U125*ROUND(Q125,2)</f>
        <v>#DIV/0!</v>
      </c>
    </row>
    <row r="126" spans="1:22" x14ac:dyDescent="0.25">
      <c r="A126" s="84" t="s">
        <v>341</v>
      </c>
      <c r="B126" s="85" t="s">
        <v>42</v>
      </c>
      <c r="C126" s="85" t="s">
        <v>464</v>
      </c>
      <c r="D126" s="85" t="s">
        <v>489</v>
      </c>
      <c r="E126" s="86" t="s">
        <v>488</v>
      </c>
      <c r="F126" s="85" t="s">
        <v>349</v>
      </c>
      <c r="G126" s="85" t="s">
        <v>274</v>
      </c>
      <c r="H126" s="85" t="s">
        <v>9</v>
      </c>
      <c r="I126" s="85" t="s">
        <v>258</v>
      </c>
      <c r="J126" s="86" t="s">
        <v>275</v>
      </c>
      <c r="K126" s="85" t="s">
        <v>346</v>
      </c>
      <c r="L126" s="87">
        <v>12.1</v>
      </c>
      <c r="M126" s="87">
        <f t="shared" si="30"/>
        <v>12.402499999999998</v>
      </c>
      <c r="N126" s="88">
        <f>prodnorm20</f>
        <v>0</v>
      </c>
      <c r="O126" s="33">
        <f>dagwerk20</f>
        <v>0</v>
      </c>
      <c r="P126" s="85" t="s">
        <v>109</v>
      </c>
      <c r="Q126" s="21">
        <f>uurtarief20</f>
        <v>0</v>
      </c>
      <c r="R126" s="87" t="e">
        <f t="shared" si="31"/>
        <v>#DIV/0!</v>
      </c>
      <c r="S126" s="87" t="e">
        <f t="shared" si="32"/>
        <v>#DIV/0!</v>
      </c>
      <c r="T126" s="21" t="e">
        <f t="shared" si="33"/>
        <v>#DIV/0!</v>
      </c>
      <c r="U126" s="87" t="e">
        <f t="shared" si="34"/>
        <v>#DIV/0!</v>
      </c>
      <c r="V126" s="22" t="e">
        <f t="shared" si="35"/>
        <v>#DIV/0!</v>
      </c>
    </row>
    <row r="127" spans="1:22" x14ac:dyDescent="0.25">
      <c r="A127" s="84" t="s">
        <v>341</v>
      </c>
      <c r="B127" s="85" t="s">
        <v>42</v>
      </c>
      <c r="C127" s="85" t="s">
        <v>464</v>
      </c>
      <c r="D127" s="85" t="s">
        <v>490</v>
      </c>
      <c r="E127" s="86" t="s">
        <v>488</v>
      </c>
      <c r="F127" s="85" t="s">
        <v>349</v>
      </c>
      <c r="G127" s="85" t="s">
        <v>274</v>
      </c>
      <c r="H127" s="85" t="s">
        <v>9</v>
      </c>
      <c r="I127" s="85" t="s">
        <v>258</v>
      </c>
      <c r="J127" s="86" t="s">
        <v>275</v>
      </c>
      <c r="K127" s="85" t="s">
        <v>346</v>
      </c>
      <c r="L127" s="87">
        <v>15.3</v>
      </c>
      <c r="M127" s="87">
        <f t="shared" si="30"/>
        <v>15.682499999999999</v>
      </c>
      <c r="N127" s="88">
        <f>prodnorm20</f>
        <v>0</v>
      </c>
      <c r="O127" s="33">
        <f>dagwerk20</f>
        <v>0</v>
      </c>
      <c r="P127" s="85" t="s">
        <v>109</v>
      </c>
      <c r="Q127" s="21">
        <f>uurtarief20</f>
        <v>0</v>
      </c>
      <c r="R127" s="87" t="e">
        <f t="shared" si="31"/>
        <v>#DIV/0!</v>
      </c>
      <c r="S127" s="87" t="e">
        <f t="shared" si="32"/>
        <v>#DIV/0!</v>
      </c>
      <c r="T127" s="21" t="e">
        <f t="shared" si="33"/>
        <v>#DIV/0!</v>
      </c>
      <c r="U127" s="87" t="e">
        <f t="shared" si="34"/>
        <v>#DIV/0!</v>
      </c>
      <c r="V127" s="22" t="e">
        <f t="shared" si="35"/>
        <v>#DIV/0!</v>
      </c>
    </row>
    <row r="128" spans="1:22" x14ac:dyDescent="0.25">
      <c r="A128" s="84" t="s">
        <v>341</v>
      </c>
      <c r="B128" s="85" t="s">
        <v>42</v>
      </c>
      <c r="C128" s="85" t="s">
        <v>464</v>
      </c>
      <c r="D128" s="85" t="s">
        <v>491</v>
      </c>
      <c r="E128" s="86" t="s">
        <v>473</v>
      </c>
      <c r="F128" s="85" t="s">
        <v>353</v>
      </c>
      <c r="G128" s="85" t="s">
        <v>257</v>
      </c>
      <c r="H128" s="85" t="s">
        <v>12</v>
      </c>
      <c r="I128" s="85" t="s">
        <v>258</v>
      </c>
      <c r="J128" s="86" t="s">
        <v>259</v>
      </c>
      <c r="K128" s="85" t="s">
        <v>365</v>
      </c>
      <c r="L128" s="87">
        <v>9.34</v>
      </c>
      <c r="M128" s="87">
        <f t="shared" si="30"/>
        <v>5.7440999999999995</v>
      </c>
      <c r="N128" s="88">
        <f>prodnorm5</f>
        <v>0</v>
      </c>
      <c r="O128" s="33">
        <f>dagwerk5</f>
        <v>0</v>
      </c>
      <c r="P128" s="85" t="s">
        <v>109</v>
      </c>
      <c r="Q128" s="21">
        <f>uurtarief5</f>
        <v>0</v>
      </c>
      <c r="R128" s="87" t="e">
        <f t="shared" si="31"/>
        <v>#DIV/0!</v>
      </c>
      <c r="S128" s="87" t="e">
        <f t="shared" si="32"/>
        <v>#DIV/0!</v>
      </c>
      <c r="T128" s="21" t="e">
        <f t="shared" si="33"/>
        <v>#DIV/0!</v>
      </c>
      <c r="U128" s="87" t="e">
        <f t="shared" si="34"/>
        <v>#DIV/0!</v>
      </c>
      <c r="V128" s="22" t="e">
        <f t="shared" si="35"/>
        <v>#DIV/0!</v>
      </c>
    </row>
    <row r="129" spans="1:22" x14ac:dyDescent="0.25">
      <c r="A129" s="84" t="s">
        <v>341</v>
      </c>
      <c r="B129" s="85" t="s">
        <v>42</v>
      </c>
      <c r="C129" s="85" t="s">
        <v>464</v>
      </c>
      <c r="D129" s="85" t="s">
        <v>491</v>
      </c>
      <c r="E129" s="86" t="s">
        <v>473</v>
      </c>
      <c r="F129" s="85" t="s">
        <v>353</v>
      </c>
      <c r="G129" s="85" t="s">
        <v>266</v>
      </c>
      <c r="H129" s="85" t="s">
        <v>14</v>
      </c>
      <c r="I129" s="85" t="s">
        <v>258</v>
      </c>
      <c r="J129" s="86" t="s">
        <v>267</v>
      </c>
      <c r="K129" s="85" t="s">
        <v>365</v>
      </c>
      <c r="L129" s="87">
        <v>9.34</v>
      </c>
      <c r="M129" s="87">
        <f t="shared" si="30"/>
        <v>3.8293999999999997</v>
      </c>
      <c r="N129" s="88">
        <f>prodnorm13</f>
        <v>0</v>
      </c>
      <c r="O129" s="33">
        <f>dagwerk13</f>
        <v>0</v>
      </c>
      <c r="P129" s="85" t="s">
        <v>109</v>
      </c>
      <c r="Q129" s="21">
        <f>uurtarief13</f>
        <v>0</v>
      </c>
      <c r="R129" s="87" t="e">
        <f t="shared" si="31"/>
        <v>#DIV/0!</v>
      </c>
      <c r="S129" s="87" t="e">
        <f t="shared" si="32"/>
        <v>#DIV/0!</v>
      </c>
      <c r="T129" s="21" t="e">
        <f t="shared" si="33"/>
        <v>#DIV/0!</v>
      </c>
      <c r="U129" s="87" t="e">
        <f t="shared" si="34"/>
        <v>#DIV/0!</v>
      </c>
      <c r="V129" s="22" t="e">
        <f t="shared" si="35"/>
        <v>#DIV/0!</v>
      </c>
    </row>
    <row r="130" spans="1:22" x14ac:dyDescent="0.25">
      <c r="A130" s="84" t="s">
        <v>341</v>
      </c>
      <c r="B130" s="85" t="s">
        <v>42</v>
      </c>
      <c r="C130" s="85" t="s">
        <v>464</v>
      </c>
      <c r="D130" s="85" t="s">
        <v>492</v>
      </c>
      <c r="E130" s="86" t="s">
        <v>493</v>
      </c>
      <c r="F130" s="85" t="s">
        <v>494</v>
      </c>
      <c r="G130" s="85" t="s">
        <v>312</v>
      </c>
      <c r="H130" s="85" t="s">
        <v>9</v>
      </c>
      <c r="I130" s="85" t="s">
        <v>258</v>
      </c>
      <c r="J130" s="86" t="s">
        <v>313</v>
      </c>
      <c r="K130" s="85" t="s">
        <v>346</v>
      </c>
      <c r="L130" s="87">
        <v>259.10000000000002</v>
      </c>
      <c r="M130" s="87">
        <f t="shared" si="30"/>
        <v>265.57749999999999</v>
      </c>
      <c r="N130" s="88">
        <f>prodnorm46</f>
        <v>0</v>
      </c>
      <c r="O130" s="33">
        <f>dagwerk46</f>
        <v>0</v>
      </c>
      <c r="P130" s="85" t="s">
        <v>109</v>
      </c>
      <c r="Q130" s="21">
        <f>uurtarief46</f>
        <v>0</v>
      </c>
      <c r="R130" s="87" t="e">
        <f t="shared" si="31"/>
        <v>#DIV/0!</v>
      </c>
      <c r="S130" s="87" t="e">
        <f t="shared" si="32"/>
        <v>#DIV/0!</v>
      </c>
      <c r="T130" s="21" t="e">
        <f t="shared" si="33"/>
        <v>#DIV/0!</v>
      </c>
      <c r="U130" s="87" t="e">
        <f t="shared" si="34"/>
        <v>#DIV/0!</v>
      </c>
      <c r="V130" s="22" t="e">
        <f t="shared" si="35"/>
        <v>#DIV/0!</v>
      </c>
    </row>
    <row r="131" spans="1:22" x14ac:dyDescent="0.25">
      <c r="A131" s="84" t="s">
        <v>341</v>
      </c>
      <c r="B131" s="85" t="s">
        <v>42</v>
      </c>
      <c r="C131" s="85" t="s">
        <v>464</v>
      </c>
      <c r="D131" s="85" t="s">
        <v>495</v>
      </c>
      <c r="E131" s="86" t="s">
        <v>496</v>
      </c>
      <c r="F131" s="85" t="s">
        <v>494</v>
      </c>
      <c r="G131" s="85" t="s">
        <v>320</v>
      </c>
      <c r="H131" s="85" t="s">
        <v>9</v>
      </c>
      <c r="I131" s="85" t="s">
        <v>258</v>
      </c>
      <c r="J131" s="86" t="s">
        <v>321</v>
      </c>
      <c r="K131" s="85" t="s">
        <v>42</v>
      </c>
      <c r="L131" s="87">
        <v>9.1999999999999993</v>
      </c>
      <c r="M131" s="87">
        <f t="shared" si="30"/>
        <v>9.4299999999999979</v>
      </c>
      <c r="N131" s="88">
        <f>prodnorm51</f>
        <v>0</v>
      </c>
      <c r="O131" s="33">
        <f>dagwerk51</f>
        <v>0</v>
      </c>
      <c r="P131" s="85" t="s">
        <v>109</v>
      </c>
      <c r="Q131" s="21">
        <f>uurtarief51</f>
        <v>0</v>
      </c>
      <c r="R131" s="87" t="e">
        <f t="shared" si="31"/>
        <v>#DIV/0!</v>
      </c>
      <c r="S131" s="87" t="e">
        <f t="shared" si="32"/>
        <v>#DIV/0!</v>
      </c>
      <c r="T131" s="21" t="e">
        <f t="shared" si="33"/>
        <v>#DIV/0!</v>
      </c>
      <c r="U131" s="87" t="e">
        <f t="shared" si="34"/>
        <v>#DIV/0!</v>
      </c>
      <c r="V131" s="22" t="e">
        <f t="shared" si="35"/>
        <v>#DIV/0!</v>
      </c>
    </row>
    <row r="132" spans="1:22" x14ac:dyDescent="0.25">
      <c r="A132" s="84" t="s">
        <v>341</v>
      </c>
      <c r="B132" s="85" t="s">
        <v>42</v>
      </c>
      <c r="C132" s="85" t="s">
        <v>464</v>
      </c>
      <c r="D132" s="85" t="s">
        <v>497</v>
      </c>
      <c r="E132" s="86" t="s">
        <v>423</v>
      </c>
      <c r="F132" s="85" t="s">
        <v>353</v>
      </c>
      <c r="G132" s="85" t="s">
        <v>284</v>
      </c>
      <c r="H132" s="85" t="s">
        <v>9</v>
      </c>
      <c r="I132" s="85" t="s">
        <v>258</v>
      </c>
      <c r="J132" s="86" t="s">
        <v>285</v>
      </c>
      <c r="K132" s="85" t="s">
        <v>386</v>
      </c>
      <c r="L132" s="87">
        <v>53.1</v>
      </c>
      <c r="M132" s="87">
        <f t="shared" si="30"/>
        <v>54.427499999999995</v>
      </c>
      <c r="N132" s="88">
        <f t="shared" ref="N132:N138" si="36">prodnorm25</f>
        <v>0</v>
      </c>
      <c r="O132" s="33">
        <f t="shared" ref="O132:O138" si="37">dagwerk25</f>
        <v>0</v>
      </c>
      <c r="P132" s="85" t="s">
        <v>109</v>
      </c>
      <c r="Q132" s="21">
        <f t="shared" ref="Q132:Q138" si="38">uurtarief25</f>
        <v>0</v>
      </c>
      <c r="R132" s="87" t="e">
        <f t="shared" si="31"/>
        <v>#DIV/0!</v>
      </c>
      <c r="S132" s="87" t="e">
        <f t="shared" si="32"/>
        <v>#DIV/0!</v>
      </c>
      <c r="T132" s="21" t="e">
        <f t="shared" si="33"/>
        <v>#DIV/0!</v>
      </c>
      <c r="U132" s="87" t="e">
        <f t="shared" si="34"/>
        <v>#DIV/0!</v>
      </c>
      <c r="V132" s="22" t="e">
        <f t="shared" si="35"/>
        <v>#DIV/0!</v>
      </c>
    </row>
    <row r="133" spans="1:22" x14ac:dyDescent="0.25">
      <c r="A133" s="84" t="s">
        <v>341</v>
      </c>
      <c r="B133" s="85" t="s">
        <v>42</v>
      </c>
      <c r="C133" s="85" t="s">
        <v>464</v>
      </c>
      <c r="D133" s="85" t="s">
        <v>498</v>
      </c>
      <c r="E133" s="86" t="s">
        <v>423</v>
      </c>
      <c r="F133" s="85" t="s">
        <v>353</v>
      </c>
      <c r="G133" s="85" t="s">
        <v>284</v>
      </c>
      <c r="H133" s="85" t="s">
        <v>9</v>
      </c>
      <c r="I133" s="85" t="s">
        <v>258</v>
      </c>
      <c r="J133" s="86" t="s">
        <v>285</v>
      </c>
      <c r="K133" s="85" t="s">
        <v>386</v>
      </c>
      <c r="L133" s="87">
        <v>53.1</v>
      </c>
      <c r="M133" s="87">
        <f t="shared" si="30"/>
        <v>54.427499999999995</v>
      </c>
      <c r="N133" s="88">
        <f t="shared" si="36"/>
        <v>0</v>
      </c>
      <c r="O133" s="33">
        <f t="shared" si="37"/>
        <v>0</v>
      </c>
      <c r="P133" s="85" t="s">
        <v>109</v>
      </c>
      <c r="Q133" s="21">
        <f t="shared" si="38"/>
        <v>0</v>
      </c>
      <c r="R133" s="87" t="e">
        <f t="shared" si="31"/>
        <v>#DIV/0!</v>
      </c>
      <c r="S133" s="87" t="e">
        <f t="shared" si="32"/>
        <v>#DIV/0!</v>
      </c>
      <c r="T133" s="21" t="e">
        <f t="shared" si="33"/>
        <v>#DIV/0!</v>
      </c>
      <c r="U133" s="87" t="e">
        <f t="shared" si="34"/>
        <v>#DIV/0!</v>
      </c>
      <c r="V133" s="22" t="e">
        <f t="shared" si="35"/>
        <v>#DIV/0!</v>
      </c>
    </row>
    <row r="134" spans="1:22" x14ac:dyDescent="0.25">
      <c r="A134" s="84" t="s">
        <v>341</v>
      </c>
      <c r="B134" s="85" t="s">
        <v>42</v>
      </c>
      <c r="C134" s="85" t="s">
        <v>464</v>
      </c>
      <c r="D134" s="85" t="s">
        <v>499</v>
      </c>
      <c r="E134" s="86" t="s">
        <v>423</v>
      </c>
      <c r="F134" s="85" t="s">
        <v>353</v>
      </c>
      <c r="G134" s="85" t="s">
        <v>284</v>
      </c>
      <c r="H134" s="85" t="s">
        <v>9</v>
      </c>
      <c r="I134" s="85" t="s">
        <v>258</v>
      </c>
      <c r="J134" s="86" t="s">
        <v>285</v>
      </c>
      <c r="K134" s="85" t="s">
        <v>386</v>
      </c>
      <c r="L134" s="87">
        <v>54</v>
      </c>
      <c r="M134" s="87">
        <f t="shared" si="30"/>
        <v>55.349999999999994</v>
      </c>
      <c r="N134" s="88">
        <f t="shared" si="36"/>
        <v>0</v>
      </c>
      <c r="O134" s="33">
        <f t="shared" si="37"/>
        <v>0</v>
      </c>
      <c r="P134" s="85" t="s">
        <v>109</v>
      </c>
      <c r="Q134" s="21">
        <f t="shared" si="38"/>
        <v>0</v>
      </c>
      <c r="R134" s="87" t="e">
        <f t="shared" si="31"/>
        <v>#DIV/0!</v>
      </c>
      <c r="S134" s="87" t="e">
        <f t="shared" si="32"/>
        <v>#DIV/0!</v>
      </c>
      <c r="T134" s="21" t="e">
        <f t="shared" si="33"/>
        <v>#DIV/0!</v>
      </c>
      <c r="U134" s="87" t="e">
        <f t="shared" si="34"/>
        <v>#DIV/0!</v>
      </c>
      <c r="V134" s="22" t="e">
        <f t="shared" si="35"/>
        <v>#DIV/0!</v>
      </c>
    </row>
    <row r="135" spans="1:22" x14ac:dyDescent="0.25">
      <c r="A135" s="84" t="s">
        <v>341</v>
      </c>
      <c r="B135" s="85" t="s">
        <v>42</v>
      </c>
      <c r="C135" s="85" t="s">
        <v>464</v>
      </c>
      <c r="D135" s="85" t="s">
        <v>500</v>
      </c>
      <c r="E135" s="86" t="s">
        <v>423</v>
      </c>
      <c r="F135" s="85" t="s">
        <v>353</v>
      </c>
      <c r="G135" s="85" t="s">
        <v>284</v>
      </c>
      <c r="H135" s="85" t="s">
        <v>9</v>
      </c>
      <c r="I135" s="85" t="s">
        <v>258</v>
      </c>
      <c r="J135" s="86" t="s">
        <v>285</v>
      </c>
      <c r="K135" s="85" t="s">
        <v>386</v>
      </c>
      <c r="L135" s="87">
        <v>54</v>
      </c>
      <c r="M135" s="87">
        <f t="shared" si="30"/>
        <v>55.349999999999994</v>
      </c>
      <c r="N135" s="88">
        <f t="shared" si="36"/>
        <v>0</v>
      </c>
      <c r="O135" s="33">
        <f t="shared" si="37"/>
        <v>0</v>
      </c>
      <c r="P135" s="85" t="s">
        <v>109</v>
      </c>
      <c r="Q135" s="21">
        <f t="shared" si="38"/>
        <v>0</v>
      </c>
      <c r="R135" s="87" t="e">
        <f t="shared" si="31"/>
        <v>#DIV/0!</v>
      </c>
      <c r="S135" s="87" t="e">
        <f t="shared" si="32"/>
        <v>#DIV/0!</v>
      </c>
      <c r="T135" s="21" t="e">
        <f t="shared" si="33"/>
        <v>#DIV/0!</v>
      </c>
      <c r="U135" s="87" t="e">
        <f t="shared" si="34"/>
        <v>#DIV/0!</v>
      </c>
      <c r="V135" s="22" t="e">
        <f t="shared" si="35"/>
        <v>#DIV/0!</v>
      </c>
    </row>
    <row r="136" spans="1:22" x14ac:dyDescent="0.25">
      <c r="A136" s="84" t="s">
        <v>341</v>
      </c>
      <c r="B136" s="85" t="s">
        <v>42</v>
      </c>
      <c r="C136" s="85" t="s">
        <v>464</v>
      </c>
      <c r="D136" s="85" t="s">
        <v>501</v>
      </c>
      <c r="E136" s="86" t="s">
        <v>423</v>
      </c>
      <c r="F136" s="85" t="s">
        <v>353</v>
      </c>
      <c r="G136" s="85" t="s">
        <v>284</v>
      </c>
      <c r="H136" s="85" t="s">
        <v>9</v>
      </c>
      <c r="I136" s="85" t="s">
        <v>258</v>
      </c>
      <c r="J136" s="86" t="s">
        <v>285</v>
      </c>
      <c r="K136" s="85" t="s">
        <v>386</v>
      </c>
      <c r="L136" s="87">
        <v>54</v>
      </c>
      <c r="M136" s="87">
        <f t="shared" si="30"/>
        <v>55.349999999999994</v>
      </c>
      <c r="N136" s="88">
        <f t="shared" si="36"/>
        <v>0</v>
      </c>
      <c r="O136" s="33">
        <f t="shared" si="37"/>
        <v>0</v>
      </c>
      <c r="P136" s="85" t="s">
        <v>109</v>
      </c>
      <c r="Q136" s="21">
        <f t="shared" si="38"/>
        <v>0</v>
      </c>
      <c r="R136" s="87" t="e">
        <f t="shared" si="31"/>
        <v>#DIV/0!</v>
      </c>
      <c r="S136" s="87" t="e">
        <f t="shared" si="32"/>
        <v>#DIV/0!</v>
      </c>
      <c r="T136" s="21" t="e">
        <f t="shared" si="33"/>
        <v>#DIV/0!</v>
      </c>
      <c r="U136" s="87" t="e">
        <f t="shared" si="34"/>
        <v>#DIV/0!</v>
      </c>
      <c r="V136" s="22" t="e">
        <f t="shared" si="35"/>
        <v>#DIV/0!</v>
      </c>
    </row>
    <row r="137" spans="1:22" x14ac:dyDescent="0.25">
      <c r="A137" s="84" t="s">
        <v>341</v>
      </c>
      <c r="B137" s="85" t="s">
        <v>42</v>
      </c>
      <c r="C137" s="85" t="s">
        <v>464</v>
      </c>
      <c r="D137" s="85" t="s">
        <v>502</v>
      </c>
      <c r="E137" s="86" t="s">
        <v>423</v>
      </c>
      <c r="F137" s="85" t="s">
        <v>353</v>
      </c>
      <c r="G137" s="85" t="s">
        <v>284</v>
      </c>
      <c r="H137" s="85" t="s">
        <v>9</v>
      </c>
      <c r="I137" s="85" t="s">
        <v>258</v>
      </c>
      <c r="J137" s="86" t="s">
        <v>285</v>
      </c>
      <c r="K137" s="85" t="s">
        <v>386</v>
      </c>
      <c r="L137" s="87">
        <v>54</v>
      </c>
      <c r="M137" s="87">
        <f t="shared" si="30"/>
        <v>55.349999999999994</v>
      </c>
      <c r="N137" s="88">
        <f t="shared" si="36"/>
        <v>0</v>
      </c>
      <c r="O137" s="33">
        <f t="shared" si="37"/>
        <v>0</v>
      </c>
      <c r="P137" s="85" t="s">
        <v>109</v>
      </c>
      <c r="Q137" s="21">
        <f t="shared" si="38"/>
        <v>0</v>
      </c>
      <c r="R137" s="87" t="e">
        <f t="shared" si="31"/>
        <v>#DIV/0!</v>
      </c>
      <c r="S137" s="87" t="e">
        <f t="shared" si="32"/>
        <v>#DIV/0!</v>
      </c>
      <c r="T137" s="21" t="e">
        <f t="shared" si="33"/>
        <v>#DIV/0!</v>
      </c>
      <c r="U137" s="87" t="e">
        <f t="shared" si="34"/>
        <v>#DIV/0!</v>
      </c>
      <c r="V137" s="22" t="e">
        <f t="shared" si="35"/>
        <v>#DIV/0!</v>
      </c>
    </row>
    <row r="138" spans="1:22" x14ac:dyDescent="0.25">
      <c r="A138" s="84" t="s">
        <v>341</v>
      </c>
      <c r="B138" s="85" t="s">
        <v>42</v>
      </c>
      <c r="C138" s="85" t="s">
        <v>464</v>
      </c>
      <c r="D138" s="85" t="s">
        <v>503</v>
      </c>
      <c r="E138" s="86" t="s">
        <v>423</v>
      </c>
      <c r="F138" s="85" t="s">
        <v>353</v>
      </c>
      <c r="G138" s="85" t="s">
        <v>284</v>
      </c>
      <c r="H138" s="85" t="s">
        <v>9</v>
      </c>
      <c r="I138" s="85" t="s">
        <v>258</v>
      </c>
      <c r="J138" s="86" t="s">
        <v>285</v>
      </c>
      <c r="K138" s="85" t="s">
        <v>386</v>
      </c>
      <c r="L138" s="87">
        <v>54</v>
      </c>
      <c r="M138" s="87">
        <f t="shared" si="30"/>
        <v>55.349999999999994</v>
      </c>
      <c r="N138" s="88">
        <f t="shared" si="36"/>
        <v>0</v>
      </c>
      <c r="O138" s="33">
        <f t="shared" si="37"/>
        <v>0</v>
      </c>
      <c r="P138" s="85" t="s">
        <v>109</v>
      </c>
      <c r="Q138" s="21">
        <f t="shared" si="38"/>
        <v>0</v>
      </c>
      <c r="R138" s="87" t="e">
        <f t="shared" si="31"/>
        <v>#DIV/0!</v>
      </c>
      <c r="S138" s="87" t="e">
        <f t="shared" si="32"/>
        <v>#DIV/0!</v>
      </c>
      <c r="T138" s="21" t="e">
        <f t="shared" si="33"/>
        <v>#DIV/0!</v>
      </c>
      <c r="U138" s="87" t="e">
        <f t="shared" si="34"/>
        <v>#DIV/0!</v>
      </c>
      <c r="V138" s="22" t="e">
        <f t="shared" si="35"/>
        <v>#DIV/0!</v>
      </c>
    </row>
    <row r="139" spans="1:22" x14ac:dyDescent="0.25">
      <c r="A139" s="84" t="s">
        <v>341</v>
      </c>
      <c r="B139" s="85" t="s">
        <v>42</v>
      </c>
      <c r="C139" s="85" t="s">
        <v>464</v>
      </c>
      <c r="D139" s="85" t="s">
        <v>504</v>
      </c>
      <c r="E139" s="86" t="s">
        <v>505</v>
      </c>
      <c r="F139" s="85" t="s">
        <v>349</v>
      </c>
      <c r="G139" s="85" t="s">
        <v>300</v>
      </c>
      <c r="H139" s="85" t="s">
        <v>9</v>
      </c>
      <c r="I139" s="85" t="s">
        <v>258</v>
      </c>
      <c r="J139" s="86" t="s">
        <v>301</v>
      </c>
      <c r="K139" s="85" t="s">
        <v>386</v>
      </c>
      <c r="L139" s="87">
        <v>107.9</v>
      </c>
      <c r="M139" s="87">
        <f t="shared" si="30"/>
        <v>110.5975</v>
      </c>
      <c r="N139" s="88">
        <f>prodnorm36</f>
        <v>0</v>
      </c>
      <c r="O139" s="33">
        <f>dagwerk36</f>
        <v>0</v>
      </c>
      <c r="P139" s="85" t="s">
        <v>109</v>
      </c>
      <c r="Q139" s="21">
        <f>uurtarief36</f>
        <v>0</v>
      </c>
      <c r="R139" s="87" t="e">
        <f t="shared" si="31"/>
        <v>#DIV/0!</v>
      </c>
      <c r="S139" s="87" t="e">
        <f t="shared" si="32"/>
        <v>#DIV/0!</v>
      </c>
      <c r="T139" s="21" t="e">
        <f t="shared" si="33"/>
        <v>#DIV/0!</v>
      </c>
      <c r="U139" s="87" t="e">
        <f t="shared" si="34"/>
        <v>#DIV/0!</v>
      </c>
      <c r="V139" s="22" t="e">
        <f t="shared" si="35"/>
        <v>#DIV/0!</v>
      </c>
    </row>
    <row r="140" spans="1:22" x14ac:dyDescent="0.25">
      <c r="A140" s="84" t="s">
        <v>341</v>
      </c>
      <c r="B140" s="85" t="s">
        <v>42</v>
      </c>
      <c r="C140" s="85" t="s">
        <v>464</v>
      </c>
      <c r="D140" s="85" t="s">
        <v>506</v>
      </c>
      <c r="E140" s="86" t="s">
        <v>507</v>
      </c>
      <c r="F140" s="85" t="s">
        <v>349</v>
      </c>
      <c r="G140" s="85" t="s">
        <v>282</v>
      </c>
      <c r="H140" s="85" t="s">
        <v>9</v>
      </c>
      <c r="I140" s="85" t="s">
        <v>258</v>
      </c>
      <c r="J140" s="86" t="s">
        <v>283</v>
      </c>
      <c r="K140" s="85" t="s">
        <v>386</v>
      </c>
      <c r="L140" s="87">
        <v>96.1</v>
      </c>
      <c r="M140" s="87">
        <f t="shared" si="30"/>
        <v>98.502499999999984</v>
      </c>
      <c r="N140" s="88">
        <f>prodnorm24</f>
        <v>0</v>
      </c>
      <c r="O140" s="33">
        <f>dagwerk24</f>
        <v>0</v>
      </c>
      <c r="P140" s="85" t="s">
        <v>109</v>
      </c>
      <c r="Q140" s="21">
        <f>uurtarief24</f>
        <v>0</v>
      </c>
      <c r="R140" s="87" t="e">
        <f t="shared" si="31"/>
        <v>#DIV/0!</v>
      </c>
      <c r="S140" s="87" t="e">
        <f t="shared" si="32"/>
        <v>#DIV/0!</v>
      </c>
      <c r="T140" s="21" t="e">
        <f t="shared" si="33"/>
        <v>#DIV/0!</v>
      </c>
      <c r="U140" s="87" t="e">
        <f t="shared" si="34"/>
        <v>#DIV/0!</v>
      </c>
      <c r="V140" s="22" t="e">
        <f t="shared" si="35"/>
        <v>#DIV/0!</v>
      </c>
    </row>
    <row r="141" spans="1:22" x14ac:dyDescent="0.25">
      <c r="A141" s="84" t="s">
        <v>341</v>
      </c>
      <c r="B141" s="85" t="s">
        <v>42</v>
      </c>
      <c r="C141" s="85" t="s">
        <v>464</v>
      </c>
      <c r="D141" s="85" t="s">
        <v>508</v>
      </c>
      <c r="E141" s="86" t="s">
        <v>509</v>
      </c>
      <c r="F141" s="85" t="s">
        <v>353</v>
      </c>
      <c r="G141" s="85" t="s">
        <v>257</v>
      </c>
      <c r="H141" s="85" t="s">
        <v>12</v>
      </c>
      <c r="I141" s="85" t="s">
        <v>258</v>
      </c>
      <c r="J141" s="86" t="s">
        <v>259</v>
      </c>
      <c r="K141" s="85" t="s">
        <v>365</v>
      </c>
      <c r="L141" s="87">
        <v>9.56</v>
      </c>
      <c r="M141" s="87">
        <f t="shared" si="30"/>
        <v>5.8794000000000004</v>
      </c>
      <c r="N141" s="88">
        <f>prodnorm5</f>
        <v>0</v>
      </c>
      <c r="O141" s="33">
        <f>dagwerk5</f>
        <v>0</v>
      </c>
      <c r="P141" s="85" t="s">
        <v>109</v>
      </c>
      <c r="Q141" s="21">
        <f>uurtarief5</f>
        <v>0</v>
      </c>
      <c r="R141" s="87" t="e">
        <f t="shared" si="31"/>
        <v>#DIV/0!</v>
      </c>
      <c r="S141" s="87" t="e">
        <f t="shared" si="32"/>
        <v>#DIV/0!</v>
      </c>
      <c r="T141" s="21" t="e">
        <f t="shared" si="33"/>
        <v>#DIV/0!</v>
      </c>
      <c r="U141" s="87" t="e">
        <f t="shared" si="34"/>
        <v>#DIV/0!</v>
      </c>
      <c r="V141" s="22" t="e">
        <f t="shared" si="35"/>
        <v>#DIV/0!</v>
      </c>
    </row>
    <row r="142" spans="1:22" x14ac:dyDescent="0.25">
      <c r="A142" s="84" t="s">
        <v>341</v>
      </c>
      <c r="B142" s="85" t="s">
        <v>42</v>
      </c>
      <c r="C142" s="85" t="s">
        <v>464</v>
      </c>
      <c r="D142" s="85" t="s">
        <v>508</v>
      </c>
      <c r="E142" s="86" t="s">
        <v>509</v>
      </c>
      <c r="F142" s="85" t="s">
        <v>353</v>
      </c>
      <c r="G142" s="85" t="s">
        <v>266</v>
      </c>
      <c r="H142" s="85" t="s">
        <v>14</v>
      </c>
      <c r="I142" s="85" t="s">
        <v>258</v>
      </c>
      <c r="J142" s="86" t="s">
        <v>267</v>
      </c>
      <c r="K142" s="85" t="s">
        <v>365</v>
      </c>
      <c r="L142" s="87">
        <v>9.56</v>
      </c>
      <c r="M142" s="87">
        <f t="shared" si="30"/>
        <v>3.9196</v>
      </c>
      <c r="N142" s="88">
        <f>prodnorm13</f>
        <v>0</v>
      </c>
      <c r="O142" s="33">
        <f>dagwerk13</f>
        <v>0</v>
      </c>
      <c r="P142" s="85" t="s">
        <v>109</v>
      </c>
      <c r="Q142" s="21">
        <f>uurtarief13</f>
        <v>0</v>
      </c>
      <c r="R142" s="87" t="e">
        <f t="shared" si="31"/>
        <v>#DIV/0!</v>
      </c>
      <c r="S142" s="87" t="e">
        <f t="shared" si="32"/>
        <v>#DIV/0!</v>
      </c>
      <c r="T142" s="21" t="e">
        <f t="shared" si="33"/>
        <v>#DIV/0!</v>
      </c>
      <c r="U142" s="87" t="e">
        <f t="shared" si="34"/>
        <v>#DIV/0!</v>
      </c>
      <c r="V142" s="22" t="e">
        <f t="shared" si="35"/>
        <v>#DIV/0!</v>
      </c>
    </row>
    <row r="143" spans="1:22" x14ac:dyDescent="0.25">
      <c r="A143" s="84" t="s">
        <v>341</v>
      </c>
      <c r="B143" s="85" t="s">
        <v>42</v>
      </c>
      <c r="C143" s="85" t="s">
        <v>464</v>
      </c>
      <c r="D143" s="85" t="s">
        <v>510</v>
      </c>
      <c r="E143" s="86" t="s">
        <v>437</v>
      </c>
      <c r="F143" s="85" t="s">
        <v>353</v>
      </c>
      <c r="G143" s="85" t="s">
        <v>288</v>
      </c>
      <c r="H143" s="85" t="s">
        <v>9</v>
      </c>
      <c r="I143" s="85" t="s">
        <v>258</v>
      </c>
      <c r="J143" s="86" t="s">
        <v>289</v>
      </c>
      <c r="K143" s="85" t="s">
        <v>346</v>
      </c>
      <c r="L143" s="87">
        <v>28.2</v>
      </c>
      <c r="M143" s="87">
        <f t="shared" si="30"/>
        <v>28.904999999999998</v>
      </c>
      <c r="N143" s="88">
        <f>prodnorm27</f>
        <v>0</v>
      </c>
      <c r="O143" s="33">
        <f>dagwerk27</f>
        <v>0</v>
      </c>
      <c r="P143" s="85" t="s">
        <v>109</v>
      </c>
      <c r="Q143" s="21">
        <f>uurtarief27</f>
        <v>0</v>
      </c>
      <c r="R143" s="87" t="e">
        <f t="shared" si="31"/>
        <v>#DIV/0!</v>
      </c>
      <c r="S143" s="87" t="e">
        <f t="shared" si="32"/>
        <v>#DIV/0!</v>
      </c>
      <c r="T143" s="21" t="e">
        <f t="shared" si="33"/>
        <v>#DIV/0!</v>
      </c>
      <c r="U143" s="87" t="e">
        <f t="shared" si="34"/>
        <v>#DIV/0!</v>
      </c>
      <c r="V143" s="22" t="e">
        <f t="shared" si="35"/>
        <v>#DIV/0!</v>
      </c>
    </row>
    <row r="144" spans="1:22" x14ac:dyDescent="0.25">
      <c r="A144" s="84" t="s">
        <v>341</v>
      </c>
      <c r="B144" s="85" t="s">
        <v>42</v>
      </c>
      <c r="C144" s="85" t="s">
        <v>464</v>
      </c>
      <c r="D144" s="85" t="s">
        <v>511</v>
      </c>
      <c r="E144" s="86" t="s">
        <v>367</v>
      </c>
      <c r="F144" s="85" t="s">
        <v>353</v>
      </c>
      <c r="G144" s="85" t="s">
        <v>257</v>
      </c>
      <c r="H144" s="85" t="s">
        <v>12</v>
      </c>
      <c r="I144" s="85" t="s">
        <v>258</v>
      </c>
      <c r="J144" s="86" t="s">
        <v>259</v>
      </c>
      <c r="K144" s="85" t="s">
        <v>365</v>
      </c>
      <c r="L144" s="87">
        <v>10.33</v>
      </c>
      <c r="M144" s="87">
        <f t="shared" si="30"/>
        <v>6.3529499999999999</v>
      </c>
      <c r="N144" s="88">
        <f>prodnorm5</f>
        <v>0</v>
      </c>
      <c r="O144" s="33">
        <f>dagwerk5</f>
        <v>0</v>
      </c>
      <c r="P144" s="85" t="s">
        <v>109</v>
      </c>
      <c r="Q144" s="21">
        <f>uurtarief5</f>
        <v>0</v>
      </c>
      <c r="R144" s="87" t="e">
        <f t="shared" si="31"/>
        <v>#DIV/0!</v>
      </c>
      <c r="S144" s="87" t="e">
        <f t="shared" si="32"/>
        <v>#DIV/0!</v>
      </c>
      <c r="T144" s="21" t="e">
        <f t="shared" si="33"/>
        <v>#DIV/0!</v>
      </c>
      <c r="U144" s="87" t="e">
        <f t="shared" si="34"/>
        <v>#DIV/0!</v>
      </c>
      <c r="V144" s="22" t="e">
        <f t="shared" si="35"/>
        <v>#DIV/0!</v>
      </c>
    </row>
    <row r="145" spans="1:22" x14ac:dyDescent="0.25">
      <c r="A145" s="84" t="s">
        <v>341</v>
      </c>
      <c r="B145" s="85" t="s">
        <v>42</v>
      </c>
      <c r="C145" s="85" t="s">
        <v>464</v>
      </c>
      <c r="D145" s="85" t="s">
        <v>511</v>
      </c>
      <c r="E145" s="86" t="s">
        <v>367</v>
      </c>
      <c r="F145" s="85" t="s">
        <v>353</v>
      </c>
      <c r="G145" s="85" t="s">
        <v>262</v>
      </c>
      <c r="H145" s="85" t="s">
        <v>14</v>
      </c>
      <c r="I145" s="85" t="s">
        <v>258</v>
      </c>
      <c r="J145" s="86" t="s">
        <v>263</v>
      </c>
      <c r="K145" s="85" t="s">
        <v>365</v>
      </c>
      <c r="L145" s="87">
        <v>10.33</v>
      </c>
      <c r="M145" s="87">
        <f t="shared" si="30"/>
        <v>4.2352999999999996</v>
      </c>
      <c r="N145" s="88">
        <f>prodnorm10</f>
        <v>0</v>
      </c>
      <c r="O145" s="33">
        <f>dagwerk10</f>
        <v>0</v>
      </c>
      <c r="P145" s="85" t="s">
        <v>109</v>
      </c>
      <c r="Q145" s="21">
        <f>uurtarief10</f>
        <v>0</v>
      </c>
      <c r="R145" s="87" t="e">
        <f t="shared" si="31"/>
        <v>#DIV/0!</v>
      </c>
      <c r="S145" s="87" t="e">
        <f t="shared" si="32"/>
        <v>#DIV/0!</v>
      </c>
      <c r="T145" s="21" t="e">
        <f t="shared" si="33"/>
        <v>#DIV/0!</v>
      </c>
      <c r="U145" s="87" t="e">
        <f t="shared" si="34"/>
        <v>#DIV/0!</v>
      </c>
      <c r="V145" s="22" t="e">
        <f t="shared" si="35"/>
        <v>#DIV/0!</v>
      </c>
    </row>
    <row r="146" spans="1:22" x14ac:dyDescent="0.25">
      <c r="A146" s="84" t="s">
        <v>341</v>
      </c>
      <c r="B146" s="85" t="s">
        <v>42</v>
      </c>
      <c r="C146" s="85" t="s">
        <v>464</v>
      </c>
      <c r="D146" s="85" t="s">
        <v>512</v>
      </c>
      <c r="E146" s="86" t="s">
        <v>367</v>
      </c>
      <c r="F146" s="85" t="s">
        <v>353</v>
      </c>
      <c r="G146" s="85" t="s">
        <v>257</v>
      </c>
      <c r="H146" s="85" t="s">
        <v>12</v>
      </c>
      <c r="I146" s="85" t="s">
        <v>258</v>
      </c>
      <c r="J146" s="86" t="s">
        <v>259</v>
      </c>
      <c r="K146" s="85" t="s">
        <v>365</v>
      </c>
      <c r="L146" s="87">
        <v>10.77</v>
      </c>
      <c r="M146" s="87">
        <f t="shared" si="30"/>
        <v>6.6235499999999998</v>
      </c>
      <c r="N146" s="88">
        <f>prodnorm5</f>
        <v>0</v>
      </c>
      <c r="O146" s="33">
        <f>dagwerk5</f>
        <v>0</v>
      </c>
      <c r="P146" s="85" t="s">
        <v>109</v>
      </c>
      <c r="Q146" s="21">
        <f>uurtarief5</f>
        <v>0</v>
      </c>
      <c r="R146" s="87" t="e">
        <f t="shared" si="31"/>
        <v>#DIV/0!</v>
      </c>
      <c r="S146" s="87" t="e">
        <f t="shared" si="32"/>
        <v>#DIV/0!</v>
      </c>
      <c r="T146" s="21" t="e">
        <f t="shared" si="33"/>
        <v>#DIV/0!</v>
      </c>
      <c r="U146" s="87" t="e">
        <f t="shared" si="34"/>
        <v>#DIV/0!</v>
      </c>
      <c r="V146" s="22" t="e">
        <f t="shared" si="35"/>
        <v>#DIV/0!</v>
      </c>
    </row>
    <row r="147" spans="1:22" x14ac:dyDescent="0.25">
      <c r="A147" s="84" t="s">
        <v>341</v>
      </c>
      <c r="B147" s="85" t="s">
        <v>42</v>
      </c>
      <c r="C147" s="85" t="s">
        <v>464</v>
      </c>
      <c r="D147" s="85" t="s">
        <v>512</v>
      </c>
      <c r="E147" s="86" t="s">
        <v>367</v>
      </c>
      <c r="F147" s="85" t="s">
        <v>353</v>
      </c>
      <c r="G147" s="85" t="s">
        <v>262</v>
      </c>
      <c r="H147" s="85" t="s">
        <v>14</v>
      </c>
      <c r="I147" s="85" t="s">
        <v>258</v>
      </c>
      <c r="J147" s="86" t="s">
        <v>263</v>
      </c>
      <c r="K147" s="85" t="s">
        <v>365</v>
      </c>
      <c r="L147" s="87">
        <v>10.77</v>
      </c>
      <c r="M147" s="87">
        <f t="shared" si="30"/>
        <v>4.4156999999999993</v>
      </c>
      <c r="N147" s="88">
        <f>prodnorm10</f>
        <v>0</v>
      </c>
      <c r="O147" s="33">
        <f>dagwerk10</f>
        <v>0</v>
      </c>
      <c r="P147" s="85" t="s">
        <v>109</v>
      </c>
      <c r="Q147" s="21">
        <f>uurtarief10</f>
        <v>0</v>
      </c>
      <c r="R147" s="87" t="e">
        <f t="shared" si="31"/>
        <v>#DIV/0!</v>
      </c>
      <c r="S147" s="87" t="e">
        <f t="shared" si="32"/>
        <v>#DIV/0!</v>
      </c>
      <c r="T147" s="21" t="e">
        <f t="shared" si="33"/>
        <v>#DIV/0!</v>
      </c>
      <c r="U147" s="87" t="e">
        <f t="shared" si="34"/>
        <v>#DIV/0!</v>
      </c>
      <c r="V147" s="22" t="e">
        <f t="shared" si="35"/>
        <v>#DIV/0!</v>
      </c>
    </row>
    <row r="148" spans="1:22" x14ac:dyDescent="0.25">
      <c r="A148" s="84" t="s">
        <v>341</v>
      </c>
      <c r="B148" s="85" t="s">
        <v>42</v>
      </c>
      <c r="C148" s="85" t="s">
        <v>464</v>
      </c>
      <c r="D148" s="85" t="s">
        <v>513</v>
      </c>
      <c r="E148" s="86" t="s">
        <v>367</v>
      </c>
      <c r="F148" s="85" t="s">
        <v>353</v>
      </c>
      <c r="G148" s="85" t="s">
        <v>257</v>
      </c>
      <c r="H148" s="85" t="s">
        <v>12</v>
      </c>
      <c r="I148" s="85" t="s">
        <v>258</v>
      </c>
      <c r="J148" s="86" t="s">
        <v>259</v>
      </c>
      <c r="K148" s="85" t="s">
        <v>42</v>
      </c>
      <c r="L148" s="87">
        <v>14.850000000000001</v>
      </c>
      <c r="M148" s="87">
        <f t="shared" si="30"/>
        <v>9.1327500000000015</v>
      </c>
      <c r="N148" s="88">
        <f>prodnorm5</f>
        <v>0</v>
      </c>
      <c r="O148" s="33">
        <f>dagwerk5</f>
        <v>0</v>
      </c>
      <c r="P148" s="85" t="s">
        <v>109</v>
      </c>
      <c r="Q148" s="21">
        <f>uurtarief5</f>
        <v>0</v>
      </c>
      <c r="R148" s="87" t="e">
        <f t="shared" si="31"/>
        <v>#DIV/0!</v>
      </c>
      <c r="S148" s="87" t="e">
        <f t="shared" si="32"/>
        <v>#DIV/0!</v>
      </c>
      <c r="T148" s="21" t="e">
        <f t="shared" si="33"/>
        <v>#DIV/0!</v>
      </c>
      <c r="U148" s="87" t="e">
        <f t="shared" si="34"/>
        <v>#DIV/0!</v>
      </c>
      <c r="V148" s="22" t="e">
        <f t="shared" si="35"/>
        <v>#DIV/0!</v>
      </c>
    </row>
    <row r="149" spans="1:22" x14ac:dyDescent="0.25">
      <c r="A149" s="84" t="s">
        <v>341</v>
      </c>
      <c r="B149" s="85" t="s">
        <v>42</v>
      </c>
      <c r="C149" s="85" t="s">
        <v>464</v>
      </c>
      <c r="D149" s="85" t="s">
        <v>513</v>
      </c>
      <c r="E149" s="86" t="s">
        <v>367</v>
      </c>
      <c r="F149" s="85" t="s">
        <v>353</v>
      </c>
      <c r="G149" s="85" t="s">
        <v>262</v>
      </c>
      <c r="H149" s="85" t="s">
        <v>14</v>
      </c>
      <c r="I149" s="85" t="s">
        <v>258</v>
      </c>
      <c r="J149" s="86" t="s">
        <v>263</v>
      </c>
      <c r="K149" s="85" t="s">
        <v>42</v>
      </c>
      <c r="L149" s="87">
        <v>14.850000000000001</v>
      </c>
      <c r="M149" s="87">
        <f t="shared" si="30"/>
        <v>6.0884999999999998</v>
      </c>
      <c r="N149" s="88">
        <f>prodnorm10</f>
        <v>0</v>
      </c>
      <c r="O149" s="33">
        <f>dagwerk10</f>
        <v>0</v>
      </c>
      <c r="P149" s="85" t="s">
        <v>109</v>
      </c>
      <c r="Q149" s="21">
        <f>uurtarief10</f>
        <v>0</v>
      </c>
      <c r="R149" s="87" t="e">
        <f t="shared" si="31"/>
        <v>#DIV/0!</v>
      </c>
      <c r="S149" s="87" t="e">
        <f t="shared" si="32"/>
        <v>#DIV/0!</v>
      </c>
      <c r="T149" s="21" t="e">
        <f t="shared" si="33"/>
        <v>#DIV/0!</v>
      </c>
      <c r="U149" s="87" t="e">
        <f t="shared" si="34"/>
        <v>#DIV/0!</v>
      </c>
      <c r="V149" s="22" t="e">
        <f t="shared" si="35"/>
        <v>#DIV/0!</v>
      </c>
    </row>
    <row r="150" spans="1:22" x14ac:dyDescent="0.25">
      <c r="A150" s="84" t="s">
        <v>341</v>
      </c>
      <c r="B150" s="85" t="s">
        <v>42</v>
      </c>
      <c r="C150" s="85" t="s">
        <v>464</v>
      </c>
      <c r="D150" s="85" t="s">
        <v>514</v>
      </c>
      <c r="E150" s="86" t="s">
        <v>437</v>
      </c>
      <c r="F150" s="85" t="s">
        <v>353</v>
      </c>
      <c r="G150" s="85" t="s">
        <v>288</v>
      </c>
      <c r="H150" s="85" t="s">
        <v>9</v>
      </c>
      <c r="I150" s="85" t="s">
        <v>258</v>
      </c>
      <c r="J150" s="86" t="s">
        <v>289</v>
      </c>
      <c r="K150" s="85" t="s">
        <v>346</v>
      </c>
      <c r="L150" s="87">
        <v>42.2</v>
      </c>
      <c r="M150" s="87">
        <f t="shared" si="30"/>
        <v>43.255000000000003</v>
      </c>
      <c r="N150" s="88">
        <f>prodnorm27</f>
        <v>0</v>
      </c>
      <c r="O150" s="33">
        <f>dagwerk27</f>
        <v>0</v>
      </c>
      <c r="P150" s="85" t="s">
        <v>109</v>
      </c>
      <c r="Q150" s="21">
        <f>uurtarief27</f>
        <v>0</v>
      </c>
      <c r="R150" s="87" t="e">
        <f t="shared" si="31"/>
        <v>#DIV/0!</v>
      </c>
      <c r="S150" s="87" t="e">
        <f t="shared" si="32"/>
        <v>#DIV/0!</v>
      </c>
      <c r="T150" s="21" t="e">
        <f t="shared" si="33"/>
        <v>#DIV/0!</v>
      </c>
      <c r="U150" s="87" t="e">
        <f t="shared" si="34"/>
        <v>#DIV/0!</v>
      </c>
      <c r="V150" s="22" t="e">
        <f t="shared" si="35"/>
        <v>#DIV/0!</v>
      </c>
    </row>
    <row r="151" spans="1:22" x14ac:dyDescent="0.25">
      <c r="A151" s="84" t="s">
        <v>341</v>
      </c>
      <c r="B151" s="85" t="s">
        <v>42</v>
      </c>
      <c r="C151" s="85" t="s">
        <v>464</v>
      </c>
      <c r="D151" s="85" t="s">
        <v>515</v>
      </c>
      <c r="E151" s="86" t="s">
        <v>437</v>
      </c>
      <c r="F151" s="85" t="s">
        <v>353</v>
      </c>
      <c r="G151" s="85" t="s">
        <v>288</v>
      </c>
      <c r="H151" s="85" t="s">
        <v>9</v>
      </c>
      <c r="I151" s="85" t="s">
        <v>258</v>
      </c>
      <c r="J151" s="86" t="s">
        <v>289</v>
      </c>
      <c r="K151" s="85" t="s">
        <v>346</v>
      </c>
      <c r="L151" s="87">
        <v>13.2</v>
      </c>
      <c r="M151" s="87">
        <f t="shared" si="30"/>
        <v>13.529999999999998</v>
      </c>
      <c r="N151" s="88">
        <f>prodnorm27</f>
        <v>0</v>
      </c>
      <c r="O151" s="33">
        <f>dagwerk27</f>
        <v>0</v>
      </c>
      <c r="P151" s="85" t="s">
        <v>109</v>
      </c>
      <c r="Q151" s="21">
        <f>uurtarief27</f>
        <v>0</v>
      </c>
      <c r="R151" s="87" t="e">
        <f t="shared" si="31"/>
        <v>#DIV/0!</v>
      </c>
      <c r="S151" s="87" t="e">
        <f t="shared" si="32"/>
        <v>#DIV/0!</v>
      </c>
      <c r="T151" s="21" t="e">
        <f t="shared" si="33"/>
        <v>#DIV/0!</v>
      </c>
      <c r="U151" s="87" t="e">
        <f t="shared" si="34"/>
        <v>#DIV/0!</v>
      </c>
      <c r="V151" s="22" t="e">
        <f t="shared" si="35"/>
        <v>#DIV/0!</v>
      </c>
    </row>
    <row r="152" spans="1:22" x14ac:dyDescent="0.25">
      <c r="A152" s="84" t="s">
        <v>341</v>
      </c>
      <c r="B152" s="85" t="s">
        <v>42</v>
      </c>
      <c r="C152" s="85" t="s">
        <v>464</v>
      </c>
      <c r="D152" s="85" t="s">
        <v>516</v>
      </c>
      <c r="E152" s="86" t="s">
        <v>437</v>
      </c>
      <c r="F152" s="85" t="s">
        <v>353</v>
      </c>
      <c r="G152" s="85" t="s">
        <v>288</v>
      </c>
      <c r="H152" s="85" t="s">
        <v>9</v>
      </c>
      <c r="I152" s="85" t="s">
        <v>258</v>
      </c>
      <c r="J152" s="86" t="s">
        <v>289</v>
      </c>
      <c r="K152" s="85" t="s">
        <v>346</v>
      </c>
      <c r="L152" s="87">
        <v>13.4</v>
      </c>
      <c r="M152" s="87">
        <f t="shared" si="30"/>
        <v>13.734999999999999</v>
      </c>
      <c r="N152" s="88">
        <f>prodnorm27</f>
        <v>0</v>
      </c>
      <c r="O152" s="33">
        <f>dagwerk27</f>
        <v>0</v>
      </c>
      <c r="P152" s="85" t="s">
        <v>109</v>
      </c>
      <c r="Q152" s="21">
        <f>uurtarief27</f>
        <v>0</v>
      </c>
      <c r="R152" s="87" t="e">
        <f t="shared" si="31"/>
        <v>#DIV/0!</v>
      </c>
      <c r="S152" s="87" t="e">
        <f t="shared" si="32"/>
        <v>#DIV/0!</v>
      </c>
      <c r="T152" s="21" t="e">
        <f t="shared" si="33"/>
        <v>#DIV/0!</v>
      </c>
      <c r="U152" s="87" t="e">
        <f t="shared" si="34"/>
        <v>#DIV/0!</v>
      </c>
      <c r="V152" s="22" t="e">
        <f t="shared" si="35"/>
        <v>#DIV/0!</v>
      </c>
    </row>
    <row r="153" spans="1:22" x14ac:dyDescent="0.25">
      <c r="A153" s="84" t="s">
        <v>341</v>
      </c>
      <c r="B153" s="85" t="s">
        <v>42</v>
      </c>
      <c r="C153" s="85" t="s">
        <v>464</v>
      </c>
      <c r="D153" s="85" t="s">
        <v>517</v>
      </c>
      <c r="E153" s="86" t="s">
        <v>367</v>
      </c>
      <c r="F153" s="85" t="s">
        <v>353</v>
      </c>
      <c r="G153" s="85" t="s">
        <v>350</v>
      </c>
      <c r="H153" s="85"/>
      <c r="I153" s="85"/>
      <c r="J153" s="85"/>
      <c r="K153" s="85" t="s">
        <v>365</v>
      </c>
      <c r="L153" s="87">
        <v>15.850000000000001</v>
      </c>
      <c r="M153" s="87"/>
      <c r="N153" s="88"/>
      <c r="O153" s="33"/>
      <c r="P153" s="85"/>
      <c r="Q153" s="21"/>
      <c r="R153" s="87"/>
      <c r="S153" s="87"/>
      <c r="T153" s="21"/>
      <c r="U153" s="89"/>
      <c r="V153" s="22"/>
    </row>
    <row r="154" spans="1:22" x14ac:dyDescent="0.25">
      <c r="A154" s="84" t="s">
        <v>341</v>
      </c>
      <c r="B154" s="85" t="s">
        <v>42</v>
      </c>
      <c r="C154" s="85" t="s">
        <v>464</v>
      </c>
      <c r="D154" s="85" t="s">
        <v>518</v>
      </c>
      <c r="E154" s="86" t="s">
        <v>519</v>
      </c>
      <c r="F154" s="85" t="s">
        <v>349</v>
      </c>
      <c r="G154" s="85" t="s">
        <v>312</v>
      </c>
      <c r="H154" s="85" t="s">
        <v>9</v>
      </c>
      <c r="I154" s="85" t="s">
        <v>258</v>
      </c>
      <c r="J154" s="86" t="s">
        <v>313</v>
      </c>
      <c r="K154" s="85" t="s">
        <v>346</v>
      </c>
      <c r="L154" s="87">
        <v>154.1</v>
      </c>
      <c r="M154" s="87">
        <f t="shared" ref="M154:M159" si="39">L154*VLOOKUP(H154,dagsoorttabel1,2,FALSE)</f>
        <v>157.95249999999999</v>
      </c>
      <c r="N154" s="88">
        <f>prodnorm46</f>
        <v>0</v>
      </c>
      <c r="O154" s="33">
        <f>dagwerk46</f>
        <v>0</v>
      </c>
      <c r="P154" s="85" t="s">
        <v>109</v>
      </c>
      <c r="Q154" s="21">
        <f>uurtarief46</f>
        <v>0</v>
      </c>
      <c r="R154" s="87" t="e">
        <f t="shared" ref="R154:R159" si="40">IF(ISBLANK(N154),0,M154/ROUND(N154,4))</f>
        <v>#DIV/0!</v>
      </c>
      <c r="S154" s="87" t="e">
        <f t="shared" ref="S154:S159" si="41">IF(ISBLANK(N154),0,R154*ROUND(O154,2))</f>
        <v>#DIV/0!</v>
      </c>
      <c r="T154" s="21" t="e">
        <f t="shared" ref="T154:T159" si="42">ROUND(Q154,2)*R154</f>
        <v>#DIV/0!</v>
      </c>
      <c r="U154" s="87" t="e">
        <f t="shared" ref="U154:U159" si="43">R154*dagenperjaar1</f>
        <v>#DIV/0!</v>
      </c>
      <c r="V154" s="22" t="e">
        <f t="shared" ref="V154:V159" si="44">U154*ROUND(Q154,2)</f>
        <v>#DIV/0!</v>
      </c>
    </row>
    <row r="155" spans="1:22" x14ac:dyDescent="0.25">
      <c r="A155" s="84" t="s">
        <v>341</v>
      </c>
      <c r="B155" s="85" t="s">
        <v>42</v>
      </c>
      <c r="C155" s="85" t="s">
        <v>464</v>
      </c>
      <c r="D155" s="85" t="s">
        <v>520</v>
      </c>
      <c r="E155" s="86" t="s">
        <v>412</v>
      </c>
      <c r="F155" s="85" t="s">
        <v>413</v>
      </c>
      <c r="G155" s="85" t="s">
        <v>322</v>
      </c>
      <c r="H155" s="85" t="s">
        <v>9</v>
      </c>
      <c r="I155" s="85" t="s">
        <v>258</v>
      </c>
      <c r="J155" s="86" t="s">
        <v>323</v>
      </c>
      <c r="K155" s="85" t="s">
        <v>346</v>
      </c>
      <c r="L155" s="87">
        <v>15.9</v>
      </c>
      <c r="M155" s="87">
        <f t="shared" si="39"/>
        <v>16.297499999999999</v>
      </c>
      <c r="N155" s="88">
        <f>prodnorm54</f>
        <v>0</v>
      </c>
      <c r="O155" s="33">
        <f>dagwerk54</f>
        <v>0</v>
      </c>
      <c r="P155" s="85" t="s">
        <v>109</v>
      </c>
      <c r="Q155" s="21">
        <f>uurtarief54</f>
        <v>0</v>
      </c>
      <c r="R155" s="87" t="e">
        <f t="shared" si="40"/>
        <v>#DIV/0!</v>
      </c>
      <c r="S155" s="87" t="e">
        <f t="shared" si="41"/>
        <v>#DIV/0!</v>
      </c>
      <c r="T155" s="21" t="e">
        <f t="shared" si="42"/>
        <v>#DIV/0!</v>
      </c>
      <c r="U155" s="87" t="e">
        <f t="shared" si="43"/>
        <v>#DIV/0!</v>
      </c>
      <c r="V155" s="22" t="e">
        <f t="shared" si="44"/>
        <v>#DIV/0!</v>
      </c>
    </row>
    <row r="156" spans="1:22" x14ac:dyDescent="0.25">
      <c r="A156" s="84" t="s">
        <v>341</v>
      </c>
      <c r="B156" s="85" t="s">
        <v>42</v>
      </c>
      <c r="C156" s="85" t="s">
        <v>464</v>
      </c>
      <c r="D156" s="85" t="s">
        <v>521</v>
      </c>
      <c r="E156" s="86" t="s">
        <v>412</v>
      </c>
      <c r="F156" s="85" t="s">
        <v>413</v>
      </c>
      <c r="G156" s="85" t="s">
        <v>322</v>
      </c>
      <c r="H156" s="85" t="s">
        <v>9</v>
      </c>
      <c r="I156" s="85" t="s">
        <v>258</v>
      </c>
      <c r="J156" s="86" t="s">
        <v>323</v>
      </c>
      <c r="K156" s="85" t="s">
        <v>346</v>
      </c>
      <c r="L156" s="87">
        <v>15.9</v>
      </c>
      <c r="M156" s="87">
        <f t="shared" si="39"/>
        <v>16.297499999999999</v>
      </c>
      <c r="N156" s="88">
        <f>prodnorm54</f>
        <v>0</v>
      </c>
      <c r="O156" s="33">
        <f>dagwerk54</f>
        <v>0</v>
      </c>
      <c r="P156" s="85" t="s">
        <v>109</v>
      </c>
      <c r="Q156" s="21">
        <f>uurtarief54</f>
        <v>0</v>
      </c>
      <c r="R156" s="87" t="e">
        <f t="shared" si="40"/>
        <v>#DIV/0!</v>
      </c>
      <c r="S156" s="87" t="e">
        <f t="shared" si="41"/>
        <v>#DIV/0!</v>
      </c>
      <c r="T156" s="21" t="e">
        <f t="shared" si="42"/>
        <v>#DIV/0!</v>
      </c>
      <c r="U156" s="87" t="e">
        <f t="shared" si="43"/>
        <v>#DIV/0!</v>
      </c>
      <c r="V156" s="22" t="e">
        <f t="shared" si="44"/>
        <v>#DIV/0!</v>
      </c>
    </row>
    <row r="157" spans="1:22" x14ac:dyDescent="0.25">
      <c r="A157" s="84" t="s">
        <v>341</v>
      </c>
      <c r="B157" s="85" t="s">
        <v>42</v>
      </c>
      <c r="C157" s="85" t="s">
        <v>464</v>
      </c>
      <c r="D157" s="85" t="s">
        <v>522</v>
      </c>
      <c r="E157" s="86" t="s">
        <v>455</v>
      </c>
      <c r="F157" s="85" t="s">
        <v>494</v>
      </c>
      <c r="G157" s="85" t="s">
        <v>310</v>
      </c>
      <c r="H157" s="85" t="s">
        <v>9</v>
      </c>
      <c r="I157" s="85" t="s">
        <v>258</v>
      </c>
      <c r="J157" s="86" t="s">
        <v>311</v>
      </c>
      <c r="K157" s="85" t="s">
        <v>417</v>
      </c>
      <c r="L157" s="87">
        <v>9.1</v>
      </c>
      <c r="M157" s="87">
        <f t="shared" si="39"/>
        <v>9.3274999999999988</v>
      </c>
      <c r="N157" s="88">
        <f>prodnorm45</f>
        <v>0</v>
      </c>
      <c r="O157" s="33">
        <f>dagwerk45</f>
        <v>0</v>
      </c>
      <c r="P157" s="85" t="s">
        <v>109</v>
      </c>
      <c r="Q157" s="21">
        <f>uurtarief45</f>
        <v>0</v>
      </c>
      <c r="R157" s="87" t="e">
        <f t="shared" si="40"/>
        <v>#DIV/0!</v>
      </c>
      <c r="S157" s="87" t="e">
        <f t="shared" si="41"/>
        <v>#DIV/0!</v>
      </c>
      <c r="T157" s="21" t="e">
        <f t="shared" si="42"/>
        <v>#DIV/0!</v>
      </c>
      <c r="U157" s="87" t="e">
        <f t="shared" si="43"/>
        <v>#DIV/0!</v>
      </c>
      <c r="V157" s="22" t="e">
        <f t="shared" si="44"/>
        <v>#DIV/0!</v>
      </c>
    </row>
    <row r="158" spans="1:22" x14ac:dyDescent="0.25">
      <c r="A158" s="84" t="s">
        <v>341</v>
      </c>
      <c r="B158" s="85" t="s">
        <v>42</v>
      </c>
      <c r="C158" s="85" t="s">
        <v>464</v>
      </c>
      <c r="D158" s="85" t="s">
        <v>523</v>
      </c>
      <c r="E158" s="86" t="s">
        <v>455</v>
      </c>
      <c r="F158" s="85" t="s">
        <v>494</v>
      </c>
      <c r="G158" s="85" t="s">
        <v>310</v>
      </c>
      <c r="H158" s="85" t="s">
        <v>9</v>
      </c>
      <c r="I158" s="85" t="s">
        <v>258</v>
      </c>
      <c r="J158" s="86" t="s">
        <v>311</v>
      </c>
      <c r="K158" s="85" t="s">
        <v>417</v>
      </c>
      <c r="L158" s="87">
        <v>8.6999999999999993</v>
      </c>
      <c r="M158" s="87">
        <f t="shared" si="39"/>
        <v>8.9174999999999986</v>
      </c>
      <c r="N158" s="88">
        <f>prodnorm45</f>
        <v>0</v>
      </c>
      <c r="O158" s="33">
        <f>dagwerk45</f>
        <v>0</v>
      </c>
      <c r="P158" s="85" t="s">
        <v>109</v>
      </c>
      <c r="Q158" s="21">
        <f>uurtarief45</f>
        <v>0</v>
      </c>
      <c r="R158" s="87" t="e">
        <f t="shared" si="40"/>
        <v>#DIV/0!</v>
      </c>
      <c r="S158" s="87" t="e">
        <f t="shared" si="41"/>
        <v>#DIV/0!</v>
      </c>
      <c r="T158" s="21" t="e">
        <f t="shared" si="42"/>
        <v>#DIV/0!</v>
      </c>
      <c r="U158" s="87" t="e">
        <f t="shared" si="43"/>
        <v>#DIV/0!</v>
      </c>
      <c r="V158" s="22" t="e">
        <f t="shared" si="44"/>
        <v>#DIV/0!</v>
      </c>
    </row>
    <row r="159" spans="1:22" x14ac:dyDescent="0.25">
      <c r="A159" s="84" t="s">
        <v>341</v>
      </c>
      <c r="B159" s="85" t="s">
        <v>42</v>
      </c>
      <c r="C159" s="85" t="s">
        <v>464</v>
      </c>
      <c r="D159" s="85" t="s">
        <v>524</v>
      </c>
      <c r="E159" s="86" t="s">
        <v>455</v>
      </c>
      <c r="F159" s="85" t="s">
        <v>494</v>
      </c>
      <c r="G159" s="85" t="s">
        <v>310</v>
      </c>
      <c r="H159" s="85" t="s">
        <v>9</v>
      </c>
      <c r="I159" s="85" t="s">
        <v>258</v>
      </c>
      <c r="J159" s="86" t="s">
        <v>311</v>
      </c>
      <c r="K159" s="85" t="s">
        <v>417</v>
      </c>
      <c r="L159" s="87">
        <v>9.1</v>
      </c>
      <c r="M159" s="87">
        <f t="shared" si="39"/>
        <v>9.3274999999999988</v>
      </c>
      <c r="N159" s="88">
        <f>prodnorm45</f>
        <v>0</v>
      </c>
      <c r="O159" s="33">
        <f>dagwerk45</f>
        <v>0</v>
      </c>
      <c r="P159" s="85" t="s">
        <v>109</v>
      </c>
      <c r="Q159" s="21">
        <f>uurtarief45</f>
        <v>0</v>
      </c>
      <c r="R159" s="87" t="e">
        <f t="shared" si="40"/>
        <v>#DIV/0!</v>
      </c>
      <c r="S159" s="87" t="e">
        <f t="shared" si="41"/>
        <v>#DIV/0!</v>
      </c>
      <c r="T159" s="21" t="e">
        <f t="shared" si="42"/>
        <v>#DIV/0!</v>
      </c>
      <c r="U159" s="87" t="e">
        <f t="shared" si="43"/>
        <v>#DIV/0!</v>
      </c>
      <c r="V159" s="22" t="e">
        <f t="shared" si="44"/>
        <v>#DIV/0!</v>
      </c>
    </row>
    <row r="160" spans="1:22" x14ac:dyDescent="0.25">
      <c r="A160" s="84" t="s">
        <v>341</v>
      </c>
      <c r="B160" s="85" t="s">
        <v>42</v>
      </c>
      <c r="C160" s="85" t="s">
        <v>464</v>
      </c>
      <c r="D160" s="85" t="s">
        <v>525</v>
      </c>
      <c r="E160" s="86" t="s">
        <v>526</v>
      </c>
      <c r="F160" s="85" t="s">
        <v>494</v>
      </c>
      <c r="G160" s="85" t="s">
        <v>350</v>
      </c>
      <c r="H160" s="85"/>
      <c r="I160" s="85"/>
      <c r="J160" s="85"/>
      <c r="K160" s="85" t="s">
        <v>42</v>
      </c>
      <c r="L160" s="87">
        <v>3.3</v>
      </c>
      <c r="M160" s="87"/>
      <c r="N160" s="88"/>
      <c r="O160" s="33"/>
      <c r="P160" s="85"/>
      <c r="Q160" s="21"/>
      <c r="R160" s="87"/>
      <c r="S160" s="87"/>
      <c r="T160" s="21"/>
      <c r="U160" s="89"/>
      <c r="V160" s="22"/>
    </row>
    <row r="161" spans="1:22" x14ac:dyDescent="0.25">
      <c r="A161" s="84" t="s">
        <v>341</v>
      </c>
      <c r="B161" s="85" t="s">
        <v>42</v>
      </c>
      <c r="C161" s="85" t="s">
        <v>464</v>
      </c>
      <c r="D161" s="85" t="s">
        <v>527</v>
      </c>
      <c r="E161" s="86" t="s">
        <v>528</v>
      </c>
      <c r="F161" s="85" t="s">
        <v>494</v>
      </c>
      <c r="G161" s="85" t="s">
        <v>306</v>
      </c>
      <c r="H161" s="85" t="s">
        <v>9</v>
      </c>
      <c r="I161" s="85" t="s">
        <v>258</v>
      </c>
      <c r="J161" s="86" t="s">
        <v>307</v>
      </c>
      <c r="K161" s="85" t="s">
        <v>417</v>
      </c>
      <c r="L161" s="87">
        <v>3.3</v>
      </c>
      <c r="M161" s="87">
        <f t="shared" ref="M161:M177" si="45">L161*VLOOKUP(H161,dagsoorttabel1,2,FALSE)</f>
        <v>3.3824999999999994</v>
      </c>
      <c r="N161" s="88">
        <f>prodnorm42</f>
        <v>0</v>
      </c>
      <c r="O161" s="33">
        <f>dagwerk42</f>
        <v>0</v>
      </c>
      <c r="P161" s="85" t="s">
        <v>109</v>
      </c>
      <c r="Q161" s="21">
        <f>uurtarief42</f>
        <v>0</v>
      </c>
      <c r="R161" s="87" t="e">
        <f t="shared" ref="R161:R177" si="46">IF(ISBLANK(N161),0,M161/ROUND(N161,4))</f>
        <v>#DIV/0!</v>
      </c>
      <c r="S161" s="87" t="e">
        <f t="shared" ref="S161:S177" si="47">IF(ISBLANK(N161),0,R161*ROUND(O161,2))</f>
        <v>#DIV/0!</v>
      </c>
      <c r="T161" s="21" t="e">
        <f t="shared" ref="T161:T177" si="48">ROUND(Q161,2)*R161</f>
        <v>#DIV/0!</v>
      </c>
      <c r="U161" s="87" t="e">
        <f t="shared" ref="U161:U177" si="49">R161*dagenperjaar1</f>
        <v>#DIV/0!</v>
      </c>
      <c r="V161" s="22" t="e">
        <f t="shared" ref="V161:V177" si="50">U161*ROUND(Q161,2)</f>
        <v>#DIV/0!</v>
      </c>
    </row>
    <row r="162" spans="1:22" x14ac:dyDescent="0.25">
      <c r="A162" s="84" t="s">
        <v>341</v>
      </c>
      <c r="B162" s="85" t="s">
        <v>42</v>
      </c>
      <c r="C162" s="85" t="s">
        <v>464</v>
      </c>
      <c r="D162" s="85" t="s">
        <v>529</v>
      </c>
      <c r="E162" s="86" t="s">
        <v>530</v>
      </c>
      <c r="F162" s="85" t="s">
        <v>494</v>
      </c>
      <c r="G162" s="85" t="s">
        <v>310</v>
      </c>
      <c r="H162" s="85" t="s">
        <v>9</v>
      </c>
      <c r="I162" s="85" t="s">
        <v>258</v>
      </c>
      <c r="J162" s="86" t="s">
        <v>311</v>
      </c>
      <c r="K162" s="85" t="s">
        <v>417</v>
      </c>
      <c r="L162" s="87">
        <v>3.3</v>
      </c>
      <c r="M162" s="87">
        <f t="shared" si="45"/>
        <v>3.3824999999999994</v>
      </c>
      <c r="N162" s="88">
        <f>prodnorm45</f>
        <v>0</v>
      </c>
      <c r="O162" s="33">
        <f>dagwerk45</f>
        <v>0</v>
      </c>
      <c r="P162" s="85" t="s">
        <v>109</v>
      </c>
      <c r="Q162" s="21">
        <f>uurtarief45</f>
        <v>0</v>
      </c>
      <c r="R162" s="87" t="e">
        <f t="shared" si="46"/>
        <v>#DIV/0!</v>
      </c>
      <c r="S162" s="87" t="e">
        <f t="shared" si="47"/>
        <v>#DIV/0!</v>
      </c>
      <c r="T162" s="21" t="e">
        <f t="shared" si="48"/>
        <v>#DIV/0!</v>
      </c>
      <c r="U162" s="87" t="e">
        <f t="shared" si="49"/>
        <v>#DIV/0!</v>
      </c>
      <c r="V162" s="22" t="e">
        <f t="shared" si="50"/>
        <v>#DIV/0!</v>
      </c>
    </row>
    <row r="163" spans="1:22" x14ac:dyDescent="0.25">
      <c r="A163" s="84" t="s">
        <v>341</v>
      </c>
      <c r="B163" s="85" t="s">
        <v>42</v>
      </c>
      <c r="C163" s="85" t="s">
        <v>464</v>
      </c>
      <c r="D163" s="85" t="s">
        <v>531</v>
      </c>
      <c r="E163" s="86" t="s">
        <v>530</v>
      </c>
      <c r="F163" s="85" t="s">
        <v>494</v>
      </c>
      <c r="G163" s="85" t="s">
        <v>310</v>
      </c>
      <c r="H163" s="85" t="s">
        <v>9</v>
      </c>
      <c r="I163" s="85" t="s">
        <v>258</v>
      </c>
      <c r="J163" s="86" t="s">
        <v>311</v>
      </c>
      <c r="K163" s="85" t="s">
        <v>417</v>
      </c>
      <c r="L163" s="87">
        <v>3.5</v>
      </c>
      <c r="M163" s="87">
        <f t="shared" si="45"/>
        <v>3.5874999999999995</v>
      </c>
      <c r="N163" s="88">
        <f>prodnorm45</f>
        <v>0</v>
      </c>
      <c r="O163" s="33">
        <f>dagwerk45</f>
        <v>0</v>
      </c>
      <c r="P163" s="85" t="s">
        <v>109</v>
      </c>
      <c r="Q163" s="21">
        <f>uurtarief45</f>
        <v>0</v>
      </c>
      <c r="R163" s="87" t="e">
        <f t="shared" si="46"/>
        <v>#DIV/0!</v>
      </c>
      <c r="S163" s="87" t="e">
        <f t="shared" si="47"/>
        <v>#DIV/0!</v>
      </c>
      <c r="T163" s="21" t="e">
        <f t="shared" si="48"/>
        <v>#DIV/0!</v>
      </c>
      <c r="U163" s="87" t="e">
        <f t="shared" si="49"/>
        <v>#DIV/0!</v>
      </c>
      <c r="V163" s="22" t="e">
        <f t="shared" si="50"/>
        <v>#DIV/0!</v>
      </c>
    </row>
    <row r="164" spans="1:22" x14ac:dyDescent="0.25">
      <c r="A164" s="84" t="s">
        <v>341</v>
      </c>
      <c r="B164" s="85" t="s">
        <v>42</v>
      </c>
      <c r="C164" s="85" t="s">
        <v>464</v>
      </c>
      <c r="D164" s="85" t="s">
        <v>532</v>
      </c>
      <c r="E164" s="86" t="s">
        <v>533</v>
      </c>
      <c r="F164" s="85" t="s">
        <v>353</v>
      </c>
      <c r="G164" s="85" t="s">
        <v>284</v>
      </c>
      <c r="H164" s="85" t="s">
        <v>9</v>
      </c>
      <c r="I164" s="85" t="s">
        <v>258</v>
      </c>
      <c r="J164" s="86" t="s">
        <v>285</v>
      </c>
      <c r="K164" s="85" t="s">
        <v>386</v>
      </c>
      <c r="L164" s="87">
        <v>53.1</v>
      </c>
      <c r="M164" s="87">
        <f t="shared" si="45"/>
        <v>54.427499999999995</v>
      </c>
      <c r="N164" s="88">
        <f t="shared" ref="N164:N176" si="51">prodnorm25</f>
        <v>0</v>
      </c>
      <c r="O164" s="33">
        <f t="shared" ref="O164:O176" si="52">dagwerk25</f>
        <v>0</v>
      </c>
      <c r="P164" s="85" t="s">
        <v>109</v>
      </c>
      <c r="Q164" s="21">
        <f t="shared" ref="Q164:Q176" si="53">uurtarief25</f>
        <v>0</v>
      </c>
      <c r="R164" s="87" t="e">
        <f t="shared" si="46"/>
        <v>#DIV/0!</v>
      </c>
      <c r="S164" s="87" t="e">
        <f t="shared" si="47"/>
        <v>#DIV/0!</v>
      </c>
      <c r="T164" s="21" t="e">
        <f t="shared" si="48"/>
        <v>#DIV/0!</v>
      </c>
      <c r="U164" s="87" t="e">
        <f t="shared" si="49"/>
        <v>#DIV/0!</v>
      </c>
      <c r="V164" s="22" t="e">
        <f t="shared" si="50"/>
        <v>#DIV/0!</v>
      </c>
    </row>
    <row r="165" spans="1:22" x14ac:dyDescent="0.25">
      <c r="A165" s="84" t="s">
        <v>341</v>
      </c>
      <c r="B165" s="85" t="s">
        <v>42</v>
      </c>
      <c r="C165" s="85" t="s">
        <v>464</v>
      </c>
      <c r="D165" s="85" t="s">
        <v>534</v>
      </c>
      <c r="E165" s="86" t="s">
        <v>533</v>
      </c>
      <c r="F165" s="85" t="s">
        <v>353</v>
      </c>
      <c r="G165" s="85" t="s">
        <v>284</v>
      </c>
      <c r="H165" s="85" t="s">
        <v>9</v>
      </c>
      <c r="I165" s="85" t="s">
        <v>258</v>
      </c>
      <c r="J165" s="86" t="s">
        <v>285</v>
      </c>
      <c r="K165" s="85" t="s">
        <v>386</v>
      </c>
      <c r="L165" s="87">
        <v>53.1</v>
      </c>
      <c r="M165" s="87">
        <f t="shared" si="45"/>
        <v>54.427499999999995</v>
      </c>
      <c r="N165" s="88">
        <f t="shared" si="51"/>
        <v>0</v>
      </c>
      <c r="O165" s="33">
        <f t="shared" si="52"/>
        <v>0</v>
      </c>
      <c r="P165" s="85" t="s">
        <v>109</v>
      </c>
      <c r="Q165" s="21">
        <f t="shared" si="53"/>
        <v>0</v>
      </c>
      <c r="R165" s="87" t="e">
        <f t="shared" si="46"/>
        <v>#DIV/0!</v>
      </c>
      <c r="S165" s="87" t="e">
        <f t="shared" si="47"/>
        <v>#DIV/0!</v>
      </c>
      <c r="T165" s="21" t="e">
        <f t="shared" si="48"/>
        <v>#DIV/0!</v>
      </c>
      <c r="U165" s="87" t="e">
        <f t="shared" si="49"/>
        <v>#DIV/0!</v>
      </c>
      <c r="V165" s="22" t="e">
        <f t="shared" si="50"/>
        <v>#DIV/0!</v>
      </c>
    </row>
    <row r="166" spans="1:22" x14ac:dyDescent="0.25">
      <c r="A166" s="84" t="s">
        <v>341</v>
      </c>
      <c r="B166" s="85" t="s">
        <v>42</v>
      </c>
      <c r="C166" s="85" t="s">
        <v>464</v>
      </c>
      <c r="D166" s="85" t="s">
        <v>535</v>
      </c>
      <c r="E166" s="86" t="s">
        <v>533</v>
      </c>
      <c r="F166" s="85" t="s">
        <v>353</v>
      </c>
      <c r="G166" s="85" t="s">
        <v>284</v>
      </c>
      <c r="H166" s="85" t="s">
        <v>9</v>
      </c>
      <c r="I166" s="85" t="s">
        <v>258</v>
      </c>
      <c r="J166" s="86" t="s">
        <v>285</v>
      </c>
      <c r="K166" s="85" t="s">
        <v>386</v>
      </c>
      <c r="L166" s="87">
        <v>54</v>
      </c>
      <c r="M166" s="87">
        <f t="shared" si="45"/>
        <v>55.349999999999994</v>
      </c>
      <c r="N166" s="88">
        <f t="shared" si="51"/>
        <v>0</v>
      </c>
      <c r="O166" s="33">
        <f t="shared" si="52"/>
        <v>0</v>
      </c>
      <c r="P166" s="85" t="s">
        <v>109</v>
      </c>
      <c r="Q166" s="21">
        <f t="shared" si="53"/>
        <v>0</v>
      </c>
      <c r="R166" s="87" t="e">
        <f t="shared" si="46"/>
        <v>#DIV/0!</v>
      </c>
      <c r="S166" s="87" t="e">
        <f t="shared" si="47"/>
        <v>#DIV/0!</v>
      </c>
      <c r="T166" s="21" t="e">
        <f t="shared" si="48"/>
        <v>#DIV/0!</v>
      </c>
      <c r="U166" s="87" t="e">
        <f t="shared" si="49"/>
        <v>#DIV/0!</v>
      </c>
      <c r="V166" s="22" t="e">
        <f t="shared" si="50"/>
        <v>#DIV/0!</v>
      </c>
    </row>
    <row r="167" spans="1:22" x14ac:dyDescent="0.25">
      <c r="A167" s="84" t="s">
        <v>341</v>
      </c>
      <c r="B167" s="85" t="s">
        <v>42</v>
      </c>
      <c r="C167" s="85" t="s">
        <v>464</v>
      </c>
      <c r="D167" s="85" t="s">
        <v>536</v>
      </c>
      <c r="E167" s="86" t="s">
        <v>533</v>
      </c>
      <c r="F167" s="85" t="s">
        <v>353</v>
      </c>
      <c r="G167" s="85" t="s">
        <v>284</v>
      </c>
      <c r="H167" s="85" t="s">
        <v>9</v>
      </c>
      <c r="I167" s="85" t="s">
        <v>258</v>
      </c>
      <c r="J167" s="86" t="s">
        <v>285</v>
      </c>
      <c r="K167" s="85" t="s">
        <v>386</v>
      </c>
      <c r="L167" s="87">
        <v>54</v>
      </c>
      <c r="M167" s="87">
        <f t="shared" si="45"/>
        <v>55.349999999999994</v>
      </c>
      <c r="N167" s="88">
        <f t="shared" si="51"/>
        <v>0</v>
      </c>
      <c r="O167" s="33">
        <f t="shared" si="52"/>
        <v>0</v>
      </c>
      <c r="P167" s="85" t="s">
        <v>109</v>
      </c>
      <c r="Q167" s="21">
        <f t="shared" si="53"/>
        <v>0</v>
      </c>
      <c r="R167" s="87" t="e">
        <f t="shared" si="46"/>
        <v>#DIV/0!</v>
      </c>
      <c r="S167" s="87" t="e">
        <f t="shared" si="47"/>
        <v>#DIV/0!</v>
      </c>
      <c r="T167" s="21" t="e">
        <f t="shared" si="48"/>
        <v>#DIV/0!</v>
      </c>
      <c r="U167" s="87" t="e">
        <f t="shared" si="49"/>
        <v>#DIV/0!</v>
      </c>
      <c r="V167" s="22" t="e">
        <f t="shared" si="50"/>
        <v>#DIV/0!</v>
      </c>
    </row>
    <row r="168" spans="1:22" x14ac:dyDescent="0.25">
      <c r="A168" s="84" t="s">
        <v>341</v>
      </c>
      <c r="B168" s="85" t="s">
        <v>42</v>
      </c>
      <c r="C168" s="85" t="s">
        <v>464</v>
      </c>
      <c r="D168" s="85" t="s">
        <v>537</v>
      </c>
      <c r="E168" s="86" t="s">
        <v>533</v>
      </c>
      <c r="F168" s="85" t="s">
        <v>353</v>
      </c>
      <c r="G168" s="85" t="s">
        <v>284</v>
      </c>
      <c r="H168" s="85" t="s">
        <v>9</v>
      </c>
      <c r="I168" s="85" t="s">
        <v>258</v>
      </c>
      <c r="J168" s="86" t="s">
        <v>285</v>
      </c>
      <c r="K168" s="85" t="s">
        <v>386</v>
      </c>
      <c r="L168" s="87">
        <v>54</v>
      </c>
      <c r="M168" s="87">
        <f t="shared" si="45"/>
        <v>55.349999999999994</v>
      </c>
      <c r="N168" s="88">
        <f t="shared" si="51"/>
        <v>0</v>
      </c>
      <c r="O168" s="33">
        <f t="shared" si="52"/>
        <v>0</v>
      </c>
      <c r="P168" s="85" t="s">
        <v>109</v>
      </c>
      <c r="Q168" s="21">
        <f t="shared" si="53"/>
        <v>0</v>
      </c>
      <c r="R168" s="87" t="e">
        <f t="shared" si="46"/>
        <v>#DIV/0!</v>
      </c>
      <c r="S168" s="87" t="e">
        <f t="shared" si="47"/>
        <v>#DIV/0!</v>
      </c>
      <c r="T168" s="21" t="e">
        <f t="shared" si="48"/>
        <v>#DIV/0!</v>
      </c>
      <c r="U168" s="87" t="e">
        <f t="shared" si="49"/>
        <v>#DIV/0!</v>
      </c>
      <c r="V168" s="22" t="e">
        <f t="shared" si="50"/>
        <v>#DIV/0!</v>
      </c>
    </row>
    <row r="169" spans="1:22" x14ac:dyDescent="0.25">
      <c r="A169" s="84" t="s">
        <v>341</v>
      </c>
      <c r="B169" s="85" t="s">
        <v>42</v>
      </c>
      <c r="C169" s="85" t="s">
        <v>464</v>
      </c>
      <c r="D169" s="85" t="s">
        <v>538</v>
      </c>
      <c r="E169" s="86" t="s">
        <v>533</v>
      </c>
      <c r="F169" s="85" t="s">
        <v>353</v>
      </c>
      <c r="G169" s="85" t="s">
        <v>284</v>
      </c>
      <c r="H169" s="85" t="s">
        <v>9</v>
      </c>
      <c r="I169" s="85" t="s">
        <v>258</v>
      </c>
      <c r="J169" s="86" t="s">
        <v>285</v>
      </c>
      <c r="K169" s="85" t="s">
        <v>386</v>
      </c>
      <c r="L169" s="87">
        <v>54</v>
      </c>
      <c r="M169" s="87">
        <f t="shared" si="45"/>
        <v>55.349999999999994</v>
      </c>
      <c r="N169" s="88">
        <f t="shared" si="51"/>
        <v>0</v>
      </c>
      <c r="O169" s="33">
        <f t="shared" si="52"/>
        <v>0</v>
      </c>
      <c r="P169" s="85" t="s">
        <v>109</v>
      </c>
      <c r="Q169" s="21">
        <f t="shared" si="53"/>
        <v>0</v>
      </c>
      <c r="R169" s="87" t="e">
        <f t="shared" si="46"/>
        <v>#DIV/0!</v>
      </c>
      <c r="S169" s="87" t="e">
        <f t="shared" si="47"/>
        <v>#DIV/0!</v>
      </c>
      <c r="T169" s="21" t="e">
        <f t="shared" si="48"/>
        <v>#DIV/0!</v>
      </c>
      <c r="U169" s="87" t="e">
        <f t="shared" si="49"/>
        <v>#DIV/0!</v>
      </c>
      <c r="V169" s="22" t="e">
        <f t="shared" si="50"/>
        <v>#DIV/0!</v>
      </c>
    </row>
    <row r="170" spans="1:22" x14ac:dyDescent="0.25">
      <c r="A170" s="84" t="s">
        <v>341</v>
      </c>
      <c r="B170" s="85" t="s">
        <v>42</v>
      </c>
      <c r="C170" s="85" t="s">
        <v>464</v>
      </c>
      <c r="D170" s="85" t="s">
        <v>539</v>
      </c>
      <c r="E170" s="86" t="s">
        <v>540</v>
      </c>
      <c r="F170" s="85" t="s">
        <v>353</v>
      </c>
      <c r="G170" s="85" t="s">
        <v>284</v>
      </c>
      <c r="H170" s="85" t="s">
        <v>9</v>
      </c>
      <c r="I170" s="85" t="s">
        <v>258</v>
      </c>
      <c r="J170" s="86" t="s">
        <v>285</v>
      </c>
      <c r="K170" s="85" t="s">
        <v>386</v>
      </c>
      <c r="L170" s="87">
        <v>54</v>
      </c>
      <c r="M170" s="87">
        <f t="shared" si="45"/>
        <v>55.349999999999994</v>
      </c>
      <c r="N170" s="88">
        <f t="shared" si="51"/>
        <v>0</v>
      </c>
      <c r="O170" s="33">
        <f t="shared" si="52"/>
        <v>0</v>
      </c>
      <c r="P170" s="85" t="s">
        <v>109</v>
      </c>
      <c r="Q170" s="21">
        <f t="shared" si="53"/>
        <v>0</v>
      </c>
      <c r="R170" s="87" t="e">
        <f t="shared" si="46"/>
        <v>#DIV/0!</v>
      </c>
      <c r="S170" s="87" t="e">
        <f t="shared" si="47"/>
        <v>#DIV/0!</v>
      </c>
      <c r="T170" s="21" t="e">
        <f t="shared" si="48"/>
        <v>#DIV/0!</v>
      </c>
      <c r="U170" s="87" t="e">
        <f t="shared" si="49"/>
        <v>#DIV/0!</v>
      </c>
      <c r="V170" s="22" t="e">
        <f t="shared" si="50"/>
        <v>#DIV/0!</v>
      </c>
    </row>
    <row r="171" spans="1:22" x14ac:dyDescent="0.25">
      <c r="A171" s="84" t="s">
        <v>341</v>
      </c>
      <c r="B171" s="85" t="s">
        <v>42</v>
      </c>
      <c r="C171" s="85" t="s">
        <v>464</v>
      </c>
      <c r="D171" s="85" t="s">
        <v>541</v>
      </c>
      <c r="E171" s="86" t="s">
        <v>540</v>
      </c>
      <c r="F171" s="85" t="s">
        <v>353</v>
      </c>
      <c r="G171" s="85" t="s">
        <v>284</v>
      </c>
      <c r="H171" s="85" t="s">
        <v>9</v>
      </c>
      <c r="I171" s="85" t="s">
        <v>258</v>
      </c>
      <c r="J171" s="86" t="s">
        <v>285</v>
      </c>
      <c r="K171" s="85" t="s">
        <v>386</v>
      </c>
      <c r="L171" s="87">
        <v>54</v>
      </c>
      <c r="M171" s="87">
        <f t="shared" si="45"/>
        <v>55.349999999999994</v>
      </c>
      <c r="N171" s="88">
        <f t="shared" si="51"/>
        <v>0</v>
      </c>
      <c r="O171" s="33">
        <f t="shared" si="52"/>
        <v>0</v>
      </c>
      <c r="P171" s="85" t="s">
        <v>109</v>
      </c>
      <c r="Q171" s="21">
        <f t="shared" si="53"/>
        <v>0</v>
      </c>
      <c r="R171" s="87" t="e">
        <f t="shared" si="46"/>
        <v>#DIV/0!</v>
      </c>
      <c r="S171" s="87" t="e">
        <f t="shared" si="47"/>
        <v>#DIV/0!</v>
      </c>
      <c r="T171" s="21" t="e">
        <f t="shared" si="48"/>
        <v>#DIV/0!</v>
      </c>
      <c r="U171" s="87" t="e">
        <f t="shared" si="49"/>
        <v>#DIV/0!</v>
      </c>
      <c r="V171" s="22" t="e">
        <f t="shared" si="50"/>
        <v>#DIV/0!</v>
      </c>
    </row>
    <row r="172" spans="1:22" x14ac:dyDescent="0.25">
      <c r="A172" s="84" t="s">
        <v>341</v>
      </c>
      <c r="B172" s="85" t="s">
        <v>42</v>
      </c>
      <c r="C172" s="85" t="s">
        <v>464</v>
      </c>
      <c r="D172" s="85" t="s">
        <v>542</v>
      </c>
      <c r="E172" s="86" t="s">
        <v>540</v>
      </c>
      <c r="F172" s="85" t="s">
        <v>353</v>
      </c>
      <c r="G172" s="85" t="s">
        <v>284</v>
      </c>
      <c r="H172" s="85" t="s">
        <v>9</v>
      </c>
      <c r="I172" s="85" t="s">
        <v>258</v>
      </c>
      <c r="J172" s="86" t="s">
        <v>285</v>
      </c>
      <c r="K172" s="85" t="s">
        <v>386</v>
      </c>
      <c r="L172" s="87">
        <v>54</v>
      </c>
      <c r="M172" s="87">
        <f t="shared" si="45"/>
        <v>55.349999999999994</v>
      </c>
      <c r="N172" s="88">
        <f t="shared" si="51"/>
        <v>0</v>
      </c>
      <c r="O172" s="33">
        <f t="shared" si="52"/>
        <v>0</v>
      </c>
      <c r="P172" s="85" t="s">
        <v>109</v>
      </c>
      <c r="Q172" s="21">
        <f t="shared" si="53"/>
        <v>0</v>
      </c>
      <c r="R172" s="87" t="e">
        <f t="shared" si="46"/>
        <v>#DIV/0!</v>
      </c>
      <c r="S172" s="87" t="e">
        <f t="shared" si="47"/>
        <v>#DIV/0!</v>
      </c>
      <c r="T172" s="21" t="e">
        <f t="shared" si="48"/>
        <v>#DIV/0!</v>
      </c>
      <c r="U172" s="87" t="e">
        <f t="shared" si="49"/>
        <v>#DIV/0!</v>
      </c>
      <c r="V172" s="22" t="e">
        <f t="shared" si="50"/>
        <v>#DIV/0!</v>
      </c>
    </row>
    <row r="173" spans="1:22" x14ac:dyDescent="0.25">
      <c r="A173" s="84" t="s">
        <v>341</v>
      </c>
      <c r="B173" s="85" t="s">
        <v>42</v>
      </c>
      <c r="C173" s="85" t="s">
        <v>464</v>
      </c>
      <c r="D173" s="85" t="s">
        <v>543</v>
      </c>
      <c r="E173" s="86" t="s">
        <v>540</v>
      </c>
      <c r="F173" s="85" t="s">
        <v>353</v>
      </c>
      <c r="G173" s="85" t="s">
        <v>284</v>
      </c>
      <c r="H173" s="85" t="s">
        <v>9</v>
      </c>
      <c r="I173" s="85" t="s">
        <v>258</v>
      </c>
      <c r="J173" s="86" t="s">
        <v>285</v>
      </c>
      <c r="K173" s="85" t="s">
        <v>386</v>
      </c>
      <c r="L173" s="87">
        <v>54</v>
      </c>
      <c r="M173" s="87">
        <f t="shared" si="45"/>
        <v>55.349999999999994</v>
      </c>
      <c r="N173" s="88">
        <f t="shared" si="51"/>
        <v>0</v>
      </c>
      <c r="O173" s="33">
        <f t="shared" si="52"/>
        <v>0</v>
      </c>
      <c r="P173" s="85" t="s">
        <v>109</v>
      </c>
      <c r="Q173" s="21">
        <f t="shared" si="53"/>
        <v>0</v>
      </c>
      <c r="R173" s="87" t="e">
        <f t="shared" si="46"/>
        <v>#DIV/0!</v>
      </c>
      <c r="S173" s="87" t="e">
        <f t="shared" si="47"/>
        <v>#DIV/0!</v>
      </c>
      <c r="T173" s="21" t="e">
        <f t="shared" si="48"/>
        <v>#DIV/0!</v>
      </c>
      <c r="U173" s="87" t="e">
        <f t="shared" si="49"/>
        <v>#DIV/0!</v>
      </c>
      <c r="V173" s="22" t="e">
        <f t="shared" si="50"/>
        <v>#DIV/0!</v>
      </c>
    </row>
    <row r="174" spans="1:22" x14ac:dyDescent="0.25">
      <c r="A174" s="84" t="s">
        <v>341</v>
      </c>
      <c r="B174" s="85" t="s">
        <v>42</v>
      </c>
      <c r="C174" s="85" t="s">
        <v>464</v>
      </c>
      <c r="D174" s="85" t="s">
        <v>544</v>
      </c>
      <c r="E174" s="86" t="s">
        <v>540</v>
      </c>
      <c r="F174" s="85" t="s">
        <v>353</v>
      </c>
      <c r="G174" s="85" t="s">
        <v>284</v>
      </c>
      <c r="H174" s="85" t="s">
        <v>9</v>
      </c>
      <c r="I174" s="85" t="s">
        <v>258</v>
      </c>
      <c r="J174" s="86" t="s">
        <v>285</v>
      </c>
      <c r="K174" s="85" t="s">
        <v>386</v>
      </c>
      <c r="L174" s="87">
        <v>53.1</v>
      </c>
      <c r="M174" s="87">
        <f t="shared" si="45"/>
        <v>54.427499999999995</v>
      </c>
      <c r="N174" s="88">
        <f t="shared" si="51"/>
        <v>0</v>
      </c>
      <c r="O174" s="33">
        <f t="shared" si="52"/>
        <v>0</v>
      </c>
      <c r="P174" s="85" t="s">
        <v>109</v>
      </c>
      <c r="Q174" s="21">
        <f t="shared" si="53"/>
        <v>0</v>
      </c>
      <c r="R174" s="87" t="e">
        <f t="shared" si="46"/>
        <v>#DIV/0!</v>
      </c>
      <c r="S174" s="87" t="e">
        <f t="shared" si="47"/>
        <v>#DIV/0!</v>
      </c>
      <c r="T174" s="21" t="e">
        <f t="shared" si="48"/>
        <v>#DIV/0!</v>
      </c>
      <c r="U174" s="87" t="e">
        <f t="shared" si="49"/>
        <v>#DIV/0!</v>
      </c>
      <c r="V174" s="22" t="e">
        <f t="shared" si="50"/>
        <v>#DIV/0!</v>
      </c>
    </row>
    <row r="175" spans="1:22" x14ac:dyDescent="0.25">
      <c r="A175" s="84" t="s">
        <v>341</v>
      </c>
      <c r="B175" s="85" t="s">
        <v>42</v>
      </c>
      <c r="C175" s="85" t="s">
        <v>464</v>
      </c>
      <c r="D175" s="85" t="s">
        <v>545</v>
      </c>
      <c r="E175" s="86" t="s">
        <v>540</v>
      </c>
      <c r="F175" s="85" t="s">
        <v>353</v>
      </c>
      <c r="G175" s="85" t="s">
        <v>284</v>
      </c>
      <c r="H175" s="85" t="s">
        <v>9</v>
      </c>
      <c r="I175" s="85" t="s">
        <v>258</v>
      </c>
      <c r="J175" s="86" t="s">
        <v>285</v>
      </c>
      <c r="K175" s="85" t="s">
        <v>386</v>
      </c>
      <c r="L175" s="87">
        <v>53.1</v>
      </c>
      <c r="M175" s="87">
        <f t="shared" si="45"/>
        <v>54.427499999999995</v>
      </c>
      <c r="N175" s="88">
        <f t="shared" si="51"/>
        <v>0</v>
      </c>
      <c r="O175" s="33">
        <f t="shared" si="52"/>
        <v>0</v>
      </c>
      <c r="P175" s="85" t="s">
        <v>109</v>
      </c>
      <c r="Q175" s="21">
        <f t="shared" si="53"/>
        <v>0</v>
      </c>
      <c r="R175" s="87" t="e">
        <f t="shared" si="46"/>
        <v>#DIV/0!</v>
      </c>
      <c r="S175" s="87" t="e">
        <f t="shared" si="47"/>
        <v>#DIV/0!</v>
      </c>
      <c r="T175" s="21" t="e">
        <f t="shared" si="48"/>
        <v>#DIV/0!</v>
      </c>
      <c r="U175" s="87" t="e">
        <f t="shared" si="49"/>
        <v>#DIV/0!</v>
      </c>
      <c r="V175" s="22" t="e">
        <f t="shared" si="50"/>
        <v>#DIV/0!</v>
      </c>
    </row>
    <row r="176" spans="1:22" x14ac:dyDescent="0.25">
      <c r="A176" s="84" t="s">
        <v>341</v>
      </c>
      <c r="B176" s="85" t="s">
        <v>42</v>
      </c>
      <c r="C176" s="85" t="s">
        <v>464</v>
      </c>
      <c r="D176" s="85" t="s">
        <v>546</v>
      </c>
      <c r="E176" s="86" t="s">
        <v>540</v>
      </c>
      <c r="F176" s="85" t="s">
        <v>353</v>
      </c>
      <c r="G176" s="85" t="s">
        <v>284</v>
      </c>
      <c r="H176" s="85" t="s">
        <v>9</v>
      </c>
      <c r="I176" s="85" t="s">
        <v>258</v>
      </c>
      <c r="J176" s="86" t="s">
        <v>285</v>
      </c>
      <c r="K176" s="85" t="s">
        <v>386</v>
      </c>
      <c r="L176" s="87">
        <v>54</v>
      </c>
      <c r="M176" s="87">
        <f t="shared" si="45"/>
        <v>55.349999999999994</v>
      </c>
      <c r="N176" s="88">
        <f t="shared" si="51"/>
        <v>0</v>
      </c>
      <c r="O176" s="33">
        <f t="shared" si="52"/>
        <v>0</v>
      </c>
      <c r="P176" s="85" t="s">
        <v>109</v>
      </c>
      <c r="Q176" s="21">
        <f t="shared" si="53"/>
        <v>0</v>
      </c>
      <c r="R176" s="87" t="e">
        <f t="shared" si="46"/>
        <v>#DIV/0!</v>
      </c>
      <c r="S176" s="87" t="e">
        <f t="shared" si="47"/>
        <v>#DIV/0!</v>
      </c>
      <c r="T176" s="21" t="e">
        <f t="shared" si="48"/>
        <v>#DIV/0!</v>
      </c>
      <c r="U176" s="87" t="e">
        <f t="shared" si="49"/>
        <v>#DIV/0!</v>
      </c>
      <c r="V176" s="22" t="e">
        <f t="shared" si="50"/>
        <v>#DIV/0!</v>
      </c>
    </row>
    <row r="177" spans="1:22" x14ac:dyDescent="0.25">
      <c r="A177" s="84" t="s">
        <v>341</v>
      </c>
      <c r="B177" s="85" t="s">
        <v>42</v>
      </c>
      <c r="C177" s="85" t="s">
        <v>464</v>
      </c>
      <c r="D177" s="85" t="s">
        <v>547</v>
      </c>
      <c r="E177" s="86" t="s">
        <v>437</v>
      </c>
      <c r="F177" s="85" t="s">
        <v>353</v>
      </c>
      <c r="G177" s="85" t="s">
        <v>288</v>
      </c>
      <c r="H177" s="85" t="s">
        <v>9</v>
      </c>
      <c r="I177" s="85" t="s">
        <v>258</v>
      </c>
      <c r="J177" s="86" t="s">
        <v>289</v>
      </c>
      <c r="K177" s="85" t="s">
        <v>346</v>
      </c>
      <c r="L177" s="87">
        <v>75.599999999999994</v>
      </c>
      <c r="M177" s="87">
        <f t="shared" si="45"/>
        <v>77.489999999999981</v>
      </c>
      <c r="N177" s="88">
        <f>prodnorm27</f>
        <v>0</v>
      </c>
      <c r="O177" s="33">
        <f>dagwerk27</f>
        <v>0</v>
      </c>
      <c r="P177" s="85" t="s">
        <v>109</v>
      </c>
      <c r="Q177" s="21">
        <f>uurtarief27</f>
        <v>0</v>
      </c>
      <c r="R177" s="87" t="e">
        <f t="shared" si="46"/>
        <v>#DIV/0!</v>
      </c>
      <c r="S177" s="87" t="e">
        <f t="shared" si="47"/>
        <v>#DIV/0!</v>
      </c>
      <c r="T177" s="21" t="e">
        <f t="shared" si="48"/>
        <v>#DIV/0!</v>
      </c>
      <c r="U177" s="87" t="e">
        <f t="shared" si="49"/>
        <v>#DIV/0!</v>
      </c>
      <c r="V177" s="22" t="e">
        <f t="shared" si="50"/>
        <v>#DIV/0!</v>
      </c>
    </row>
    <row r="178" spans="1:22" x14ac:dyDescent="0.25">
      <c r="A178" s="84" t="s">
        <v>341</v>
      </c>
      <c r="B178" s="85" t="s">
        <v>42</v>
      </c>
      <c r="C178" s="85" t="s">
        <v>464</v>
      </c>
      <c r="D178" s="85" t="s">
        <v>548</v>
      </c>
      <c r="E178" s="86" t="s">
        <v>393</v>
      </c>
      <c r="F178" s="85" t="s">
        <v>353</v>
      </c>
      <c r="G178" s="85" t="s">
        <v>350</v>
      </c>
      <c r="H178" s="85"/>
      <c r="I178" s="85"/>
      <c r="J178" s="85"/>
      <c r="K178" s="85" t="s">
        <v>42</v>
      </c>
      <c r="L178" s="87">
        <v>18.5</v>
      </c>
      <c r="M178" s="87"/>
      <c r="N178" s="88"/>
      <c r="O178" s="33"/>
      <c r="P178" s="85"/>
      <c r="Q178" s="21"/>
      <c r="R178" s="87"/>
      <c r="S178" s="87"/>
      <c r="T178" s="21"/>
      <c r="U178" s="89"/>
      <c r="V178" s="22"/>
    </row>
    <row r="179" spans="1:22" x14ac:dyDescent="0.25">
      <c r="A179" s="84" t="s">
        <v>341</v>
      </c>
      <c r="B179" s="85" t="s">
        <v>42</v>
      </c>
      <c r="C179" s="85" t="s">
        <v>464</v>
      </c>
      <c r="D179" s="85" t="s">
        <v>549</v>
      </c>
      <c r="E179" s="86" t="s">
        <v>393</v>
      </c>
      <c r="F179" s="85" t="s">
        <v>353</v>
      </c>
      <c r="G179" s="85" t="s">
        <v>350</v>
      </c>
      <c r="H179" s="85"/>
      <c r="I179" s="85"/>
      <c r="J179" s="85"/>
      <c r="K179" s="85" t="s">
        <v>42</v>
      </c>
      <c r="L179" s="87">
        <v>17.919999999999998</v>
      </c>
      <c r="M179" s="87"/>
      <c r="N179" s="88"/>
      <c r="O179" s="33"/>
      <c r="P179" s="85"/>
      <c r="Q179" s="21"/>
      <c r="R179" s="87"/>
      <c r="S179" s="87"/>
      <c r="T179" s="21"/>
      <c r="U179" s="89"/>
      <c r="V179" s="22"/>
    </row>
    <row r="180" spans="1:22" x14ac:dyDescent="0.25">
      <c r="A180" s="84" t="s">
        <v>341</v>
      </c>
      <c r="B180" s="85" t="s">
        <v>42</v>
      </c>
      <c r="C180" s="85" t="s">
        <v>464</v>
      </c>
      <c r="D180" s="85" t="s">
        <v>550</v>
      </c>
      <c r="E180" s="86" t="s">
        <v>393</v>
      </c>
      <c r="F180" s="85" t="s">
        <v>353</v>
      </c>
      <c r="G180" s="85" t="s">
        <v>350</v>
      </c>
      <c r="H180" s="85"/>
      <c r="I180" s="85"/>
      <c r="J180" s="85"/>
      <c r="K180" s="85" t="s">
        <v>42</v>
      </c>
      <c r="L180" s="87">
        <v>14.9</v>
      </c>
      <c r="M180" s="87"/>
      <c r="N180" s="88"/>
      <c r="O180" s="33"/>
      <c r="P180" s="85"/>
      <c r="Q180" s="21"/>
      <c r="R180" s="87"/>
      <c r="S180" s="87"/>
      <c r="T180" s="21"/>
      <c r="U180" s="89"/>
      <c r="V180" s="22"/>
    </row>
    <row r="181" spans="1:22" x14ac:dyDescent="0.25">
      <c r="A181" s="84" t="s">
        <v>341</v>
      </c>
      <c r="B181" s="85" t="s">
        <v>42</v>
      </c>
      <c r="C181" s="85" t="s">
        <v>464</v>
      </c>
      <c r="D181" s="85" t="s">
        <v>551</v>
      </c>
      <c r="E181" s="86" t="s">
        <v>393</v>
      </c>
      <c r="F181" s="85" t="s">
        <v>353</v>
      </c>
      <c r="G181" s="85" t="s">
        <v>350</v>
      </c>
      <c r="H181" s="85"/>
      <c r="I181" s="85"/>
      <c r="J181" s="85"/>
      <c r="K181" s="85" t="s">
        <v>42</v>
      </c>
      <c r="L181" s="87">
        <v>8.8000000000000007</v>
      </c>
      <c r="M181" s="87"/>
      <c r="N181" s="88"/>
      <c r="O181" s="33"/>
      <c r="P181" s="85"/>
      <c r="Q181" s="21"/>
      <c r="R181" s="87"/>
      <c r="S181" s="87"/>
      <c r="T181" s="21"/>
      <c r="U181" s="89"/>
      <c r="V181" s="22"/>
    </row>
    <row r="182" spans="1:22" x14ac:dyDescent="0.25">
      <c r="A182" s="84" t="s">
        <v>341</v>
      </c>
      <c r="B182" s="85" t="s">
        <v>42</v>
      </c>
      <c r="C182" s="85" t="s">
        <v>464</v>
      </c>
      <c r="D182" s="85" t="s">
        <v>552</v>
      </c>
      <c r="E182" s="86" t="s">
        <v>393</v>
      </c>
      <c r="F182" s="85" t="s">
        <v>353</v>
      </c>
      <c r="G182" s="85" t="s">
        <v>350</v>
      </c>
      <c r="H182" s="85"/>
      <c r="I182" s="85"/>
      <c r="J182" s="85"/>
      <c r="K182" s="85" t="s">
        <v>42</v>
      </c>
      <c r="L182" s="87">
        <v>8.56</v>
      </c>
      <c r="M182" s="87"/>
      <c r="N182" s="88"/>
      <c r="O182" s="33"/>
      <c r="P182" s="85"/>
      <c r="Q182" s="21"/>
      <c r="R182" s="87"/>
      <c r="S182" s="87"/>
      <c r="T182" s="21"/>
      <c r="U182" s="89"/>
      <c r="V182" s="22"/>
    </row>
    <row r="183" spans="1:22" x14ac:dyDescent="0.25">
      <c r="A183" s="84" t="s">
        <v>341</v>
      </c>
      <c r="B183" s="85" t="s">
        <v>42</v>
      </c>
      <c r="C183" s="85" t="s">
        <v>464</v>
      </c>
      <c r="D183" s="85" t="s">
        <v>553</v>
      </c>
      <c r="E183" s="86" t="s">
        <v>393</v>
      </c>
      <c r="F183" s="85" t="s">
        <v>353</v>
      </c>
      <c r="G183" s="85" t="s">
        <v>257</v>
      </c>
      <c r="H183" s="85" t="s">
        <v>12</v>
      </c>
      <c r="I183" s="85" t="s">
        <v>258</v>
      </c>
      <c r="J183" s="86" t="s">
        <v>259</v>
      </c>
      <c r="K183" s="85" t="s">
        <v>365</v>
      </c>
      <c r="L183" s="87">
        <v>8.5</v>
      </c>
      <c r="M183" s="87">
        <f t="shared" ref="M183:M203" si="54">L183*VLOOKUP(H183,dagsoorttabel1,2,FALSE)</f>
        <v>5.2275</v>
      </c>
      <c r="N183" s="88">
        <f>prodnorm5</f>
        <v>0</v>
      </c>
      <c r="O183" s="33">
        <f>dagwerk5</f>
        <v>0</v>
      </c>
      <c r="P183" s="85" t="s">
        <v>109</v>
      </c>
      <c r="Q183" s="21">
        <f>uurtarief5</f>
        <v>0</v>
      </c>
      <c r="R183" s="87" t="e">
        <f t="shared" ref="R183:R203" si="55">IF(ISBLANK(N183),0,M183/ROUND(N183,4))</f>
        <v>#DIV/0!</v>
      </c>
      <c r="S183" s="87" t="e">
        <f t="shared" ref="S183:S203" si="56">IF(ISBLANK(N183),0,R183*ROUND(O183,2))</f>
        <v>#DIV/0!</v>
      </c>
      <c r="T183" s="21" t="e">
        <f t="shared" ref="T183:T203" si="57">ROUND(Q183,2)*R183</f>
        <v>#DIV/0!</v>
      </c>
      <c r="U183" s="87" t="e">
        <f t="shared" ref="U183:U203" si="58">R183*dagenperjaar1</f>
        <v>#DIV/0!</v>
      </c>
      <c r="V183" s="22" t="e">
        <f t="shared" ref="V183:V203" si="59">U183*ROUND(Q183,2)</f>
        <v>#DIV/0!</v>
      </c>
    </row>
    <row r="184" spans="1:22" x14ac:dyDescent="0.25">
      <c r="A184" s="84" t="s">
        <v>341</v>
      </c>
      <c r="B184" s="85" t="s">
        <v>42</v>
      </c>
      <c r="C184" s="85" t="s">
        <v>464</v>
      </c>
      <c r="D184" s="85" t="s">
        <v>553</v>
      </c>
      <c r="E184" s="86" t="s">
        <v>393</v>
      </c>
      <c r="F184" s="85" t="s">
        <v>353</v>
      </c>
      <c r="G184" s="85" t="s">
        <v>262</v>
      </c>
      <c r="H184" s="85" t="s">
        <v>14</v>
      </c>
      <c r="I184" s="85" t="s">
        <v>258</v>
      </c>
      <c r="J184" s="86" t="s">
        <v>263</v>
      </c>
      <c r="K184" s="85" t="s">
        <v>365</v>
      </c>
      <c r="L184" s="87">
        <v>8.5</v>
      </c>
      <c r="M184" s="87">
        <f t="shared" si="54"/>
        <v>3.4849999999999999</v>
      </c>
      <c r="N184" s="88">
        <f>prodnorm10</f>
        <v>0</v>
      </c>
      <c r="O184" s="33">
        <f>dagwerk10</f>
        <v>0</v>
      </c>
      <c r="P184" s="85" t="s">
        <v>109</v>
      </c>
      <c r="Q184" s="21">
        <f>uurtarief10</f>
        <v>0</v>
      </c>
      <c r="R184" s="87" t="e">
        <f t="shared" si="55"/>
        <v>#DIV/0!</v>
      </c>
      <c r="S184" s="87" t="e">
        <f t="shared" si="56"/>
        <v>#DIV/0!</v>
      </c>
      <c r="T184" s="21" t="e">
        <f t="shared" si="57"/>
        <v>#DIV/0!</v>
      </c>
      <c r="U184" s="87" t="e">
        <f t="shared" si="58"/>
        <v>#DIV/0!</v>
      </c>
      <c r="V184" s="22" t="e">
        <f t="shared" si="59"/>
        <v>#DIV/0!</v>
      </c>
    </row>
    <row r="185" spans="1:22" x14ac:dyDescent="0.25">
      <c r="A185" s="84" t="s">
        <v>341</v>
      </c>
      <c r="B185" s="85" t="s">
        <v>42</v>
      </c>
      <c r="C185" s="85" t="s">
        <v>464</v>
      </c>
      <c r="D185" s="85" t="s">
        <v>554</v>
      </c>
      <c r="E185" s="86" t="s">
        <v>393</v>
      </c>
      <c r="F185" s="85" t="s">
        <v>353</v>
      </c>
      <c r="G185" s="85" t="s">
        <v>257</v>
      </c>
      <c r="H185" s="85" t="s">
        <v>12</v>
      </c>
      <c r="I185" s="85" t="s">
        <v>258</v>
      </c>
      <c r="J185" s="86" t="s">
        <v>259</v>
      </c>
      <c r="K185" s="85" t="s">
        <v>365</v>
      </c>
      <c r="L185" s="87">
        <v>17.399999999999999</v>
      </c>
      <c r="M185" s="87">
        <f t="shared" si="54"/>
        <v>10.700999999999999</v>
      </c>
      <c r="N185" s="88">
        <f>prodnorm5</f>
        <v>0</v>
      </c>
      <c r="O185" s="33">
        <f>dagwerk5</f>
        <v>0</v>
      </c>
      <c r="P185" s="85" t="s">
        <v>109</v>
      </c>
      <c r="Q185" s="21">
        <f>uurtarief5</f>
        <v>0</v>
      </c>
      <c r="R185" s="87" t="e">
        <f t="shared" si="55"/>
        <v>#DIV/0!</v>
      </c>
      <c r="S185" s="87" t="e">
        <f t="shared" si="56"/>
        <v>#DIV/0!</v>
      </c>
      <c r="T185" s="21" t="e">
        <f t="shared" si="57"/>
        <v>#DIV/0!</v>
      </c>
      <c r="U185" s="87" t="e">
        <f t="shared" si="58"/>
        <v>#DIV/0!</v>
      </c>
      <c r="V185" s="22" t="e">
        <f t="shared" si="59"/>
        <v>#DIV/0!</v>
      </c>
    </row>
    <row r="186" spans="1:22" x14ac:dyDescent="0.25">
      <c r="A186" s="84" t="s">
        <v>341</v>
      </c>
      <c r="B186" s="85" t="s">
        <v>42</v>
      </c>
      <c r="C186" s="85" t="s">
        <v>464</v>
      </c>
      <c r="D186" s="85" t="s">
        <v>554</v>
      </c>
      <c r="E186" s="86" t="s">
        <v>393</v>
      </c>
      <c r="F186" s="85" t="s">
        <v>353</v>
      </c>
      <c r="G186" s="85" t="s">
        <v>262</v>
      </c>
      <c r="H186" s="85" t="s">
        <v>14</v>
      </c>
      <c r="I186" s="85" t="s">
        <v>258</v>
      </c>
      <c r="J186" s="86" t="s">
        <v>263</v>
      </c>
      <c r="K186" s="85" t="s">
        <v>365</v>
      </c>
      <c r="L186" s="87">
        <v>17.399999999999999</v>
      </c>
      <c r="M186" s="87">
        <f t="shared" si="54"/>
        <v>7.1339999999999986</v>
      </c>
      <c r="N186" s="88">
        <f>prodnorm10</f>
        <v>0</v>
      </c>
      <c r="O186" s="33">
        <f>dagwerk10</f>
        <v>0</v>
      </c>
      <c r="P186" s="85" t="s">
        <v>109</v>
      </c>
      <c r="Q186" s="21">
        <f>uurtarief10</f>
        <v>0</v>
      </c>
      <c r="R186" s="87" t="e">
        <f t="shared" si="55"/>
        <v>#DIV/0!</v>
      </c>
      <c r="S186" s="87" t="e">
        <f t="shared" si="56"/>
        <v>#DIV/0!</v>
      </c>
      <c r="T186" s="21" t="e">
        <f t="shared" si="57"/>
        <v>#DIV/0!</v>
      </c>
      <c r="U186" s="87" t="e">
        <f t="shared" si="58"/>
        <v>#DIV/0!</v>
      </c>
      <c r="V186" s="22" t="e">
        <f t="shared" si="59"/>
        <v>#DIV/0!</v>
      </c>
    </row>
    <row r="187" spans="1:22" x14ac:dyDescent="0.25">
      <c r="A187" s="84" t="s">
        <v>341</v>
      </c>
      <c r="B187" s="85" t="s">
        <v>42</v>
      </c>
      <c r="C187" s="85" t="s">
        <v>464</v>
      </c>
      <c r="D187" s="85" t="s">
        <v>555</v>
      </c>
      <c r="E187" s="86" t="s">
        <v>437</v>
      </c>
      <c r="F187" s="85" t="s">
        <v>353</v>
      </c>
      <c r="G187" s="85" t="s">
        <v>288</v>
      </c>
      <c r="H187" s="85" t="s">
        <v>9</v>
      </c>
      <c r="I187" s="85" t="s">
        <v>258</v>
      </c>
      <c r="J187" s="86" t="s">
        <v>289</v>
      </c>
      <c r="K187" s="85" t="s">
        <v>346</v>
      </c>
      <c r="L187" s="87">
        <v>83.3</v>
      </c>
      <c r="M187" s="87">
        <f t="shared" si="54"/>
        <v>85.382499999999993</v>
      </c>
      <c r="N187" s="88">
        <f>prodnorm27</f>
        <v>0</v>
      </c>
      <c r="O187" s="33">
        <f>dagwerk27</f>
        <v>0</v>
      </c>
      <c r="P187" s="85" t="s">
        <v>109</v>
      </c>
      <c r="Q187" s="21">
        <f>uurtarief27</f>
        <v>0</v>
      </c>
      <c r="R187" s="87" t="e">
        <f t="shared" si="55"/>
        <v>#DIV/0!</v>
      </c>
      <c r="S187" s="87" t="e">
        <f t="shared" si="56"/>
        <v>#DIV/0!</v>
      </c>
      <c r="T187" s="21" t="e">
        <f t="shared" si="57"/>
        <v>#DIV/0!</v>
      </c>
      <c r="U187" s="87" t="e">
        <f t="shared" si="58"/>
        <v>#DIV/0!</v>
      </c>
      <c r="V187" s="22" t="e">
        <f t="shared" si="59"/>
        <v>#DIV/0!</v>
      </c>
    </row>
    <row r="188" spans="1:22" x14ac:dyDescent="0.25">
      <c r="A188" s="84" t="s">
        <v>341</v>
      </c>
      <c r="B188" s="85" t="s">
        <v>42</v>
      </c>
      <c r="C188" s="85" t="s">
        <v>464</v>
      </c>
      <c r="D188" s="85" t="s">
        <v>556</v>
      </c>
      <c r="E188" s="86" t="s">
        <v>373</v>
      </c>
      <c r="F188" s="85" t="s">
        <v>349</v>
      </c>
      <c r="G188" s="85" t="s">
        <v>312</v>
      </c>
      <c r="H188" s="85" t="s">
        <v>9</v>
      </c>
      <c r="I188" s="85" t="s">
        <v>258</v>
      </c>
      <c r="J188" s="86" t="s">
        <v>313</v>
      </c>
      <c r="K188" s="85" t="s">
        <v>346</v>
      </c>
      <c r="L188" s="87">
        <v>185.1</v>
      </c>
      <c r="M188" s="87">
        <f t="shared" si="54"/>
        <v>189.72749999999996</v>
      </c>
      <c r="N188" s="88">
        <f>prodnorm46</f>
        <v>0</v>
      </c>
      <c r="O188" s="33">
        <f>dagwerk46</f>
        <v>0</v>
      </c>
      <c r="P188" s="85" t="s">
        <v>109</v>
      </c>
      <c r="Q188" s="21">
        <f>uurtarief46</f>
        <v>0</v>
      </c>
      <c r="R188" s="87" t="e">
        <f t="shared" si="55"/>
        <v>#DIV/0!</v>
      </c>
      <c r="S188" s="87" t="e">
        <f t="shared" si="56"/>
        <v>#DIV/0!</v>
      </c>
      <c r="T188" s="21" t="e">
        <f t="shared" si="57"/>
        <v>#DIV/0!</v>
      </c>
      <c r="U188" s="87" t="e">
        <f t="shared" si="58"/>
        <v>#DIV/0!</v>
      </c>
      <c r="V188" s="22" t="e">
        <f t="shared" si="59"/>
        <v>#DIV/0!</v>
      </c>
    </row>
    <row r="189" spans="1:22" x14ac:dyDescent="0.25">
      <c r="A189" s="84" t="s">
        <v>341</v>
      </c>
      <c r="B189" s="85" t="s">
        <v>42</v>
      </c>
      <c r="C189" s="85" t="s">
        <v>464</v>
      </c>
      <c r="D189" s="85" t="s">
        <v>557</v>
      </c>
      <c r="E189" s="86" t="s">
        <v>452</v>
      </c>
      <c r="F189" s="85" t="s">
        <v>349</v>
      </c>
      <c r="G189" s="85" t="s">
        <v>322</v>
      </c>
      <c r="H189" s="85" t="s">
        <v>9</v>
      </c>
      <c r="I189" s="85" t="s">
        <v>258</v>
      </c>
      <c r="J189" s="86" t="s">
        <v>323</v>
      </c>
      <c r="K189" s="85" t="s">
        <v>346</v>
      </c>
      <c r="L189" s="87">
        <v>15.9</v>
      </c>
      <c r="M189" s="87">
        <f t="shared" si="54"/>
        <v>16.297499999999999</v>
      </c>
      <c r="N189" s="88">
        <f>prodnorm54</f>
        <v>0</v>
      </c>
      <c r="O189" s="33">
        <f>dagwerk54</f>
        <v>0</v>
      </c>
      <c r="P189" s="85" t="s">
        <v>109</v>
      </c>
      <c r="Q189" s="21">
        <f>uurtarief54</f>
        <v>0</v>
      </c>
      <c r="R189" s="87" t="e">
        <f t="shared" si="55"/>
        <v>#DIV/0!</v>
      </c>
      <c r="S189" s="87" t="e">
        <f t="shared" si="56"/>
        <v>#DIV/0!</v>
      </c>
      <c r="T189" s="21" t="e">
        <f t="shared" si="57"/>
        <v>#DIV/0!</v>
      </c>
      <c r="U189" s="87" t="e">
        <f t="shared" si="58"/>
        <v>#DIV/0!</v>
      </c>
      <c r="V189" s="22" t="e">
        <f t="shared" si="59"/>
        <v>#DIV/0!</v>
      </c>
    </row>
    <row r="190" spans="1:22" x14ac:dyDescent="0.25">
      <c r="A190" s="84" t="s">
        <v>341</v>
      </c>
      <c r="B190" s="85" t="s">
        <v>42</v>
      </c>
      <c r="C190" s="85" t="s">
        <v>464</v>
      </c>
      <c r="D190" s="85" t="s">
        <v>558</v>
      </c>
      <c r="E190" s="86" t="s">
        <v>452</v>
      </c>
      <c r="F190" s="85" t="s">
        <v>349</v>
      </c>
      <c r="G190" s="85" t="s">
        <v>322</v>
      </c>
      <c r="H190" s="85" t="s">
        <v>9</v>
      </c>
      <c r="I190" s="85" t="s">
        <v>258</v>
      </c>
      <c r="J190" s="86" t="s">
        <v>323</v>
      </c>
      <c r="K190" s="85" t="s">
        <v>346</v>
      </c>
      <c r="L190" s="87">
        <v>15.9</v>
      </c>
      <c r="M190" s="87">
        <f t="shared" si="54"/>
        <v>16.297499999999999</v>
      </c>
      <c r="N190" s="88">
        <f>prodnorm54</f>
        <v>0</v>
      </c>
      <c r="O190" s="33">
        <f>dagwerk54</f>
        <v>0</v>
      </c>
      <c r="P190" s="85" t="s">
        <v>109</v>
      </c>
      <c r="Q190" s="21">
        <f>uurtarief54</f>
        <v>0</v>
      </c>
      <c r="R190" s="87" t="e">
        <f t="shared" si="55"/>
        <v>#DIV/0!</v>
      </c>
      <c r="S190" s="87" t="e">
        <f t="shared" si="56"/>
        <v>#DIV/0!</v>
      </c>
      <c r="T190" s="21" t="e">
        <f t="shared" si="57"/>
        <v>#DIV/0!</v>
      </c>
      <c r="U190" s="87" t="e">
        <f t="shared" si="58"/>
        <v>#DIV/0!</v>
      </c>
      <c r="V190" s="22" t="e">
        <f t="shared" si="59"/>
        <v>#DIV/0!</v>
      </c>
    </row>
    <row r="191" spans="1:22" x14ac:dyDescent="0.25">
      <c r="A191" s="84" t="s">
        <v>341</v>
      </c>
      <c r="B191" s="85" t="s">
        <v>42</v>
      </c>
      <c r="C191" s="85" t="s">
        <v>464</v>
      </c>
      <c r="D191" s="85" t="s">
        <v>559</v>
      </c>
      <c r="E191" s="86" t="s">
        <v>416</v>
      </c>
      <c r="F191" s="85" t="s">
        <v>345</v>
      </c>
      <c r="G191" s="85" t="s">
        <v>310</v>
      </c>
      <c r="H191" s="85" t="s">
        <v>9</v>
      </c>
      <c r="I191" s="85" t="s">
        <v>258</v>
      </c>
      <c r="J191" s="86" t="s">
        <v>311</v>
      </c>
      <c r="K191" s="85" t="s">
        <v>417</v>
      </c>
      <c r="L191" s="87">
        <v>9.1</v>
      </c>
      <c r="M191" s="87">
        <f t="shared" si="54"/>
        <v>9.3274999999999988</v>
      </c>
      <c r="N191" s="88">
        <f t="shared" ref="N191:N196" si="60">prodnorm45</f>
        <v>0</v>
      </c>
      <c r="O191" s="33">
        <f t="shared" ref="O191:O196" si="61">dagwerk45</f>
        <v>0</v>
      </c>
      <c r="P191" s="85" t="s">
        <v>109</v>
      </c>
      <c r="Q191" s="21">
        <f t="shared" ref="Q191:Q196" si="62">uurtarief45</f>
        <v>0</v>
      </c>
      <c r="R191" s="87" t="e">
        <f t="shared" si="55"/>
        <v>#DIV/0!</v>
      </c>
      <c r="S191" s="87" t="e">
        <f t="shared" si="56"/>
        <v>#DIV/0!</v>
      </c>
      <c r="T191" s="21" t="e">
        <f t="shared" si="57"/>
        <v>#DIV/0!</v>
      </c>
      <c r="U191" s="87" t="e">
        <f t="shared" si="58"/>
        <v>#DIV/0!</v>
      </c>
      <c r="V191" s="22" t="e">
        <f t="shared" si="59"/>
        <v>#DIV/0!</v>
      </c>
    </row>
    <row r="192" spans="1:22" x14ac:dyDescent="0.25">
      <c r="A192" s="84" t="s">
        <v>341</v>
      </c>
      <c r="B192" s="85" t="s">
        <v>42</v>
      </c>
      <c r="C192" s="85" t="s">
        <v>464</v>
      </c>
      <c r="D192" s="85" t="s">
        <v>560</v>
      </c>
      <c r="E192" s="86" t="s">
        <v>416</v>
      </c>
      <c r="F192" s="85" t="s">
        <v>345</v>
      </c>
      <c r="G192" s="85" t="s">
        <v>310</v>
      </c>
      <c r="H192" s="85" t="s">
        <v>9</v>
      </c>
      <c r="I192" s="85" t="s">
        <v>258</v>
      </c>
      <c r="J192" s="86" t="s">
        <v>311</v>
      </c>
      <c r="K192" s="85" t="s">
        <v>417</v>
      </c>
      <c r="L192" s="87">
        <v>8.6</v>
      </c>
      <c r="M192" s="87">
        <f t="shared" si="54"/>
        <v>8.8149999999999995</v>
      </c>
      <c r="N192" s="88">
        <f t="shared" si="60"/>
        <v>0</v>
      </c>
      <c r="O192" s="33">
        <f t="shared" si="61"/>
        <v>0</v>
      </c>
      <c r="P192" s="85" t="s">
        <v>109</v>
      </c>
      <c r="Q192" s="21">
        <f t="shared" si="62"/>
        <v>0</v>
      </c>
      <c r="R192" s="87" t="e">
        <f t="shared" si="55"/>
        <v>#DIV/0!</v>
      </c>
      <c r="S192" s="87" t="e">
        <f t="shared" si="56"/>
        <v>#DIV/0!</v>
      </c>
      <c r="T192" s="21" t="e">
        <f t="shared" si="57"/>
        <v>#DIV/0!</v>
      </c>
      <c r="U192" s="87" t="e">
        <f t="shared" si="58"/>
        <v>#DIV/0!</v>
      </c>
      <c r="V192" s="22" t="e">
        <f t="shared" si="59"/>
        <v>#DIV/0!</v>
      </c>
    </row>
    <row r="193" spans="1:22" x14ac:dyDescent="0.25">
      <c r="A193" s="84" t="s">
        <v>341</v>
      </c>
      <c r="B193" s="85" t="s">
        <v>42</v>
      </c>
      <c r="C193" s="85" t="s">
        <v>464</v>
      </c>
      <c r="D193" s="85" t="s">
        <v>561</v>
      </c>
      <c r="E193" s="86" t="s">
        <v>416</v>
      </c>
      <c r="F193" s="85" t="s">
        <v>345</v>
      </c>
      <c r="G193" s="85" t="s">
        <v>310</v>
      </c>
      <c r="H193" s="85" t="s">
        <v>9</v>
      </c>
      <c r="I193" s="85" t="s">
        <v>258</v>
      </c>
      <c r="J193" s="86" t="s">
        <v>311</v>
      </c>
      <c r="K193" s="85" t="s">
        <v>417</v>
      </c>
      <c r="L193" s="87">
        <v>9.1</v>
      </c>
      <c r="M193" s="87">
        <f t="shared" si="54"/>
        <v>9.3274999999999988</v>
      </c>
      <c r="N193" s="88">
        <f t="shared" si="60"/>
        <v>0</v>
      </c>
      <c r="O193" s="33">
        <f t="shared" si="61"/>
        <v>0</v>
      </c>
      <c r="P193" s="85" t="s">
        <v>109</v>
      </c>
      <c r="Q193" s="21">
        <f t="shared" si="62"/>
        <v>0</v>
      </c>
      <c r="R193" s="87" t="e">
        <f t="shared" si="55"/>
        <v>#DIV/0!</v>
      </c>
      <c r="S193" s="87" t="e">
        <f t="shared" si="56"/>
        <v>#DIV/0!</v>
      </c>
      <c r="T193" s="21" t="e">
        <f t="shared" si="57"/>
        <v>#DIV/0!</v>
      </c>
      <c r="U193" s="87" t="e">
        <f t="shared" si="58"/>
        <v>#DIV/0!</v>
      </c>
      <c r="V193" s="22" t="e">
        <f t="shared" si="59"/>
        <v>#DIV/0!</v>
      </c>
    </row>
    <row r="194" spans="1:22" x14ac:dyDescent="0.25">
      <c r="A194" s="84" t="s">
        <v>341</v>
      </c>
      <c r="B194" s="85" t="s">
        <v>42</v>
      </c>
      <c r="C194" s="85" t="s">
        <v>464</v>
      </c>
      <c r="D194" s="85" t="s">
        <v>562</v>
      </c>
      <c r="E194" s="86" t="s">
        <v>416</v>
      </c>
      <c r="F194" s="85" t="s">
        <v>345</v>
      </c>
      <c r="G194" s="85" t="s">
        <v>310</v>
      </c>
      <c r="H194" s="85" t="s">
        <v>9</v>
      </c>
      <c r="I194" s="85" t="s">
        <v>258</v>
      </c>
      <c r="J194" s="86" t="s">
        <v>311</v>
      </c>
      <c r="K194" s="85" t="s">
        <v>417</v>
      </c>
      <c r="L194" s="87">
        <v>8.6</v>
      </c>
      <c r="M194" s="87">
        <f t="shared" si="54"/>
        <v>8.8149999999999995</v>
      </c>
      <c r="N194" s="88">
        <f t="shared" si="60"/>
        <v>0</v>
      </c>
      <c r="O194" s="33">
        <f t="shared" si="61"/>
        <v>0</v>
      </c>
      <c r="P194" s="85" t="s">
        <v>109</v>
      </c>
      <c r="Q194" s="21">
        <f t="shared" si="62"/>
        <v>0</v>
      </c>
      <c r="R194" s="87" t="e">
        <f t="shared" si="55"/>
        <v>#DIV/0!</v>
      </c>
      <c r="S194" s="87" t="e">
        <f t="shared" si="56"/>
        <v>#DIV/0!</v>
      </c>
      <c r="T194" s="21" t="e">
        <f t="shared" si="57"/>
        <v>#DIV/0!</v>
      </c>
      <c r="U194" s="87" t="e">
        <f t="shared" si="58"/>
        <v>#DIV/0!</v>
      </c>
      <c r="V194" s="22" t="e">
        <f t="shared" si="59"/>
        <v>#DIV/0!</v>
      </c>
    </row>
    <row r="195" spans="1:22" x14ac:dyDescent="0.25">
      <c r="A195" s="84" t="s">
        <v>341</v>
      </c>
      <c r="B195" s="85" t="s">
        <v>42</v>
      </c>
      <c r="C195" s="85" t="s">
        <v>464</v>
      </c>
      <c r="D195" s="85" t="s">
        <v>563</v>
      </c>
      <c r="E195" s="86" t="s">
        <v>416</v>
      </c>
      <c r="F195" s="85" t="s">
        <v>345</v>
      </c>
      <c r="G195" s="85" t="s">
        <v>310</v>
      </c>
      <c r="H195" s="85" t="s">
        <v>9</v>
      </c>
      <c r="I195" s="85" t="s">
        <v>258</v>
      </c>
      <c r="J195" s="86" t="s">
        <v>311</v>
      </c>
      <c r="K195" s="85" t="s">
        <v>417</v>
      </c>
      <c r="L195" s="87">
        <v>3.8</v>
      </c>
      <c r="M195" s="87">
        <f t="shared" si="54"/>
        <v>3.8949999999999996</v>
      </c>
      <c r="N195" s="88">
        <f t="shared" si="60"/>
        <v>0</v>
      </c>
      <c r="O195" s="33">
        <f t="shared" si="61"/>
        <v>0</v>
      </c>
      <c r="P195" s="85" t="s">
        <v>109</v>
      </c>
      <c r="Q195" s="21">
        <f t="shared" si="62"/>
        <v>0</v>
      </c>
      <c r="R195" s="87" t="e">
        <f t="shared" si="55"/>
        <v>#DIV/0!</v>
      </c>
      <c r="S195" s="87" t="e">
        <f t="shared" si="56"/>
        <v>#DIV/0!</v>
      </c>
      <c r="T195" s="21" t="e">
        <f t="shared" si="57"/>
        <v>#DIV/0!</v>
      </c>
      <c r="U195" s="87" t="e">
        <f t="shared" si="58"/>
        <v>#DIV/0!</v>
      </c>
      <c r="V195" s="22" t="e">
        <f t="shared" si="59"/>
        <v>#DIV/0!</v>
      </c>
    </row>
    <row r="196" spans="1:22" x14ac:dyDescent="0.25">
      <c r="A196" s="84" t="s">
        <v>341</v>
      </c>
      <c r="B196" s="85" t="s">
        <v>42</v>
      </c>
      <c r="C196" s="85" t="s">
        <v>464</v>
      </c>
      <c r="D196" s="85" t="s">
        <v>564</v>
      </c>
      <c r="E196" s="86" t="s">
        <v>416</v>
      </c>
      <c r="F196" s="85" t="s">
        <v>345</v>
      </c>
      <c r="G196" s="85" t="s">
        <v>310</v>
      </c>
      <c r="H196" s="85" t="s">
        <v>9</v>
      </c>
      <c r="I196" s="85" t="s">
        <v>258</v>
      </c>
      <c r="J196" s="86" t="s">
        <v>311</v>
      </c>
      <c r="K196" s="85" t="s">
        <v>417</v>
      </c>
      <c r="L196" s="87">
        <v>4</v>
      </c>
      <c r="M196" s="87">
        <f t="shared" si="54"/>
        <v>4.0999999999999996</v>
      </c>
      <c r="N196" s="88">
        <f t="shared" si="60"/>
        <v>0</v>
      </c>
      <c r="O196" s="33">
        <f t="shared" si="61"/>
        <v>0</v>
      </c>
      <c r="P196" s="85" t="s">
        <v>109</v>
      </c>
      <c r="Q196" s="21">
        <f t="shared" si="62"/>
        <v>0</v>
      </c>
      <c r="R196" s="87" t="e">
        <f t="shared" si="55"/>
        <v>#DIV/0!</v>
      </c>
      <c r="S196" s="87" t="e">
        <f t="shared" si="56"/>
        <v>#DIV/0!</v>
      </c>
      <c r="T196" s="21" t="e">
        <f t="shared" si="57"/>
        <v>#DIV/0!</v>
      </c>
      <c r="U196" s="87" t="e">
        <f t="shared" si="58"/>
        <v>#DIV/0!</v>
      </c>
      <c r="V196" s="22" t="e">
        <f t="shared" si="59"/>
        <v>#DIV/0!</v>
      </c>
    </row>
    <row r="197" spans="1:22" x14ac:dyDescent="0.25">
      <c r="A197" s="84" t="s">
        <v>341</v>
      </c>
      <c r="B197" s="85" t="s">
        <v>42</v>
      </c>
      <c r="C197" s="85" t="s">
        <v>565</v>
      </c>
      <c r="D197" s="85" t="s">
        <v>566</v>
      </c>
      <c r="E197" s="86" t="s">
        <v>567</v>
      </c>
      <c r="F197" s="85" t="s">
        <v>568</v>
      </c>
      <c r="G197" s="85" t="s">
        <v>304</v>
      </c>
      <c r="H197" s="85" t="s">
        <v>9</v>
      </c>
      <c r="I197" s="85" t="s">
        <v>258</v>
      </c>
      <c r="J197" s="86" t="s">
        <v>305</v>
      </c>
      <c r="K197" s="85" t="s">
        <v>386</v>
      </c>
      <c r="L197" s="87">
        <v>100.4</v>
      </c>
      <c r="M197" s="87">
        <f t="shared" si="54"/>
        <v>102.91</v>
      </c>
      <c r="N197" s="88">
        <f>prodnorm39</f>
        <v>0</v>
      </c>
      <c r="O197" s="33">
        <f>dagwerk39</f>
        <v>0</v>
      </c>
      <c r="P197" s="85" t="s">
        <v>109</v>
      </c>
      <c r="Q197" s="21">
        <f>uurtarief39</f>
        <v>0</v>
      </c>
      <c r="R197" s="87" t="e">
        <f t="shared" si="55"/>
        <v>#DIV/0!</v>
      </c>
      <c r="S197" s="87" t="e">
        <f t="shared" si="56"/>
        <v>#DIV/0!</v>
      </c>
      <c r="T197" s="21" t="e">
        <f t="shared" si="57"/>
        <v>#DIV/0!</v>
      </c>
      <c r="U197" s="87" t="e">
        <f t="shared" si="58"/>
        <v>#DIV/0!</v>
      </c>
      <c r="V197" s="22" t="e">
        <f t="shared" si="59"/>
        <v>#DIV/0!</v>
      </c>
    </row>
    <row r="198" spans="1:22" x14ac:dyDescent="0.25">
      <c r="A198" s="84" t="s">
        <v>341</v>
      </c>
      <c r="B198" s="85" t="s">
        <v>42</v>
      </c>
      <c r="C198" s="85" t="s">
        <v>565</v>
      </c>
      <c r="D198" s="85" t="s">
        <v>569</v>
      </c>
      <c r="E198" s="86" t="s">
        <v>570</v>
      </c>
      <c r="F198" s="85" t="s">
        <v>568</v>
      </c>
      <c r="G198" s="85" t="s">
        <v>292</v>
      </c>
      <c r="H198" s="85" t="s">
        <v>20</v>
      </c>
      <c r="I198" s="85" t="s">
        <v>258</v>
      </c>
      <c r="J198" s="86" t="s">
        <v>293</v>
      </c>
      <c r="K198" s="85" t="s">
        <v>386</v>
      </c>
      <c r="L198" s="87">
        <v>28.5</v>
      </c>
      <c r="M198" s="87">
        <f t="shared" si="54"/>
        <v>1.71</v>
      </c>
      <c r="N198" s="88">
        <f>prodnorm30</f>
        <v>0</v>
      </c>
      <c r="O198" s="33">
        <f>dagwerk30</f>
        <v>0</v>
      </c>
      <c r="P198" s="85" t="s">
        <v>109</v>
      </c>
      <c r="Q198" s="21">
        <f>uurtarief30</f>
        <v>0</v>
      </c>
      <c r="R198" s="87" t="e">
        <f t="shared" si="55"/>
        <v>#DIV/0!</v>
      </c>
      <c r="S198" s="87" t="e">
        <f t="shared" si="56"/>
        <v>#DIV/0!</v>
      </c>
      <c r="T198" s="21" t="e">
        <f t="shared" si="57"/>
        <v>#DIV/0!</v>
      </c>
      <c r="U198" s="87" t="e">
        <f t="shared" si="58"/>
        <v>#DIV/0!</v>
      </c>
      <c r="V198" s="22" t="e">
        <f t="shared" si="59"/>
        <v>#DIV/0!</v>
      </c>
    </row>
    <row r="199" spans="1:22" x14ac:dyDescent="0.25">
      <c r="A199" s="84" t="s">
        <v>341</v>
      </c>
      <c r="B199" s="85" t="s">
        <v>42</v>
      </c>
      <c r="C199" s="85" t="s">
        <v>565</v>
      </c>
      <c r="D199" s="85" t="s">
        <v>571</v>
      </c>
      <c r="E199" s="86" t="s">
        <v>423</v>
      </c>
      <c r="F199" s="85" t="s">
        <v>353</v>
      </c>
      <c r="G199" s="85" t="s">
        <v>284</v>
      </c>
      <c r="H199" s="85" t="s">
        <v>9</v>
      </c>
      <c r="I199" s="85" t="s">
        <v>258</v>
      </c>
      <c r="J199" s="86" t="s">
        <v>285</v>
      </c>
      <c r="K199" s="85" t="s">
        <v>386</v>
      </c>
      <c r="L199" s="87">
        <v>64.900000000000006</v>
      </c>
      <c r="M199" s="87">
        <f t="shared" si="54"/>
        <v>66.522499999999994</v>
      </c>
      <c r="N199" s="88">
        <f>prodnorm25</f>
        <v>0</v>
      </c>
      <c r="O199" s="33">
        <f>dagwerk25</f>
        <v>0</v>
      </c>
      <c r="P199" s="85" t="s">
        <v>109</v>
      </c>
      <c r="Q199" s="21">
        <f>uurtarief25</f>
        <v>0</v>
      </c>
      <c r="R199" s="87" t="e">
        <f t="shared" si="55"/>
        <v>#DIV/0!</v>
      </c>
      <c r="S199" s="87" t="e">
        <f t="shared" si="56"/>
        <v>#DIV/0!</v>
      </c>
      <c r="T199" s="21" t="e">
        <f t="shared" si="57"/>
        <v>#DIV/0!</v>
      </c>
      <c r="U199" s="87" t="e">
        <f t="shared" si="58"/>
        <v>#DIV/0!</v>
      </c>
      <c r="V199" s="22" t="e">
        <f t="shared" si="59"/>
        <v>#DIV/0!</v>
      </c>
    </row>
    <row r="200" spans="1:22" x14ac:dyDescent="0.25">
      <c r="A200" s="84" t="s">
        <v>341</v>
      </c>
      <c r="B200" s="85" t="s">
        <v>42</v>
      </c>
      <c r="C200" s="85" t="s">
        <v>565</v>
      </c>
      <c r="D200" s="85" t="s">
        <v>572</v>
      </c>
      <c r="E200" s="86" t="s">
        <v>423</v>
      </c>
      <c r="F200" s="85" t="s">
        <v>353</v>
      </c>
      <c r="G200" s="85" t="s">
        <v>284</v>
      </c>
      <c r="H200" s="85" t="s">
        <v>9</v>
      </c>
      <c r="I200" s="85" t="s">
        <v>258</v>
      </c>
      <c r="J200" s="86" t="s">
        <v>285</v>
      </c>
      <c r="K200" s="85" t="s">
        <v>386</v>
      </c>
      <c r="L200" s="87">
        <v>59.8</v>
      </c>
      <c r="M200" s="87">
        <f t="shared" si="54"/>
        <v>61.294999999999995</v>
      </c>
      <c r="N200" s="88">
        <f>prodnorm25</f>
        <v>0</v>
      </c>
      <c r="O200" s="33">
        <f>dagwerk25</f>
        <v>0</v>
      </c>
      <c r="P200" s="85" t="s">
        <v>109</v>
      </c>
      <c r="Q200" s="21">
        <f>uurtarief25</f>
        <v>0</v>
      </c>
      <c r="R200" s="87" t="e">
        <f t="shared" si="55"/>
        <v>#DIV/0!</v>
      </c>
      <c r="S200" s="87" t="e">
        <f t="shared" si="56"/>
        <v>#DIV/0!</v>
      </c>
      <c r="T200" s="21" t="e">
        <f t="shared" si="57"/>
        <v>#DIV/0!</v>
      </c>
      <c r="U200" s="87" t="e">
        <f t="shared" si="58"/>
        <v>#DIV/0!</v>
      </c>
      <c r="V200" s="22" t="e">
        <f t="shared" si="59"/>
        <v>#DIV/0!</v>
      </c>
    </row>
    <row r="201" spans="1:22" x14ac:dyDescent="0.25">
      <c r="A201" s="84" t="s">
        <v>341</v>
      </c>
      <c r="B201" s="85" t="s">
        <v>42</v>
      </c>
      <c r="C201" s="85" t="s">
        <v>565</v>
      </c>
      <c r="D201" s="85" t="s">
        <v>573</v>
      </c>
      <c r="E201" s="86" t="s">
        <v>423</v>
      </c>
      <c r="F201" s="85" t="s">
        <v>353</v>
      </c>
      <c r="G201" s="85" t="s">
        <v>284</v>
      </c>
      <c r="H201" s="85" t="s">
        <v>9</v>
      </c>
      <c r="I201" s="85" t="s">
        <v>258</v>
      </c>
      <c r="J201" s="86" t="s">
        <v>285</v>
      </c>
      <c r="K201" s="85" t="s">
        <v>42</v>
      </c>
      <c r="L201" s="87">
        <v>65</v>
      </c>
      <c r="M201" s="87">
        <f t="shared" si="54"/>
        <v>66.625</v>
      </c>
      <c r="N201" s="88">
        <f>prodnorm25</f>
        <v>0</v>
      </c>
      <c r="O201" s="33">
        <f>dagwerk25</f>
        <v>0</v>
      </c>
      <c r="P201" s="85" t="s">
        <v>109</v>
      </c>
      <c r="Q201" s="21">
        <f>uurtarief25</f>
        <v>0</v>
      </c>
      <c r="R201" s="87" t="e">
        <f t="shared" si="55"/>
        <v>#DIV/0!</v>
      </c>
      <c r="S201" s="87" t="e">
        <f t="shared" si="56"/>
        <v>#DIV/0!</v>
      </c>
      <c r="T201" s="21" t="e">
        <f t="shared" si="57"/>
        <v>#DIV/0!</v>
      </c>
      <c r="U201" s="87" t="e">
        <f t="shared" si="58"/>
        <v>#DIV/0!</v>
      </c>
      <c r="V201" s="22" t="e">
        <f t="shared" si="59"/>
        <v>#DIV/0!</v>
      </c>
    </row>
    <row r="202" spans="1:22" x14ac:dyDescent="0.25">
      <c r="A202" s="84" t="s">
        <v>341</v>
      </c>
      <c r="B202" s="85" t="s">
        <v>42</v>
      </c>
      <c r="C202" s="85" t="s">
        <v>565</v>
      </c>
      <c r="D202" s="85" t="s">
        <v>574</v>
      </c>
      <c r="E202" s="86" t="s">
        <v>423</v>
      </c>
      <c r="F202" s="85" t="s">
        <v>353</v>
      </c>
      <c r="G202" s="85" t="s">
        <v>284</v>
      </c>
      <c r="H202" s="85" t="s">
        <v>9</v>
      </c>
      <c r="I202" s="85" t="s">
        <v>258</v>
      </c>
      <c r="J202" s="86" t="s">
        <v>285</v>
      </c>
      <c r="K202" s="85" t="s">
        <v>386</v>
      </c>
      <c r="L202" s="87">
        <v>65</v>
      </c>
      <c r="M202" s="87">
        <f t="shared" si="54"/>
        <v>66.625</v>
      </c>
      <c r="N202" s="88">
        <f>prodnorm25</f>
        <v>0</v>
      </c>
      <c r="O202" s="33">
        <f>dagwerk25</f>
        <v>0</v>
      </c>
      <c r="P202" s="85" t="s">
        <v>109</v>
      </c>
      <c r="Q202" s="21">
        <f>uurtarief25</f>
        <v>0</v>
      </c>
      <c r="R202" s="87" t="e">
        <f t="shared" si="55"/>
        <v>#DIV/0!</v>
      </c>
      <c r="S202" s="87" t="e">
        <f t="shared" si="56"/>
        <v>#DIV/0!</v>
      </c>
      <c r="T202" s="21" t="e">
        <f t="shared" si="57"/>
        <v>#DIV/0!</v>
      </c>
      <c r="U202" s="87" t="e">
        <f t="shared" si="58"/>
        <v>#DIV/0!</v>
      </c>
      <c r="V202" s="22" t="e">
        <f t="shared" si="59"/>
        <v>#DIV/0!</v>
      </c>
    </row>
    <row r="203" spans="1:22" x14ac:dyDescent="0.25">
      <c r="A203" s="84" t="s">
        <v>341</v>
      </c>
      <c r="B203" s="85" t="s">
        <v>42</v>
      </c>
      <c r="C203" s="85" t="s">
        <v>565</v>
      </c>
      <c r="D203" s="85" t="s">
        <v>575</v>
      </c>
      <c r="E203" s="86" t="s">
        <v>423</v>
      </c>
      <c r="F203" s="85" t="s">
        <v>353</v>
      </c>
      <c r="G203" s="85" t="s">
        <v>284</v>
      </c>
      <c r="H203" s="85" t="s">
        <v>9</v>
      </c>
      <c r="I203" s="85" t="s">
        <v>258</v>
      </c>
      <c r="J203" s="86" t="s">
        <v>285</v>
      </c>
      <c r="K203" s="85" t="s">
        <v>386</v>
      </c>
      <c r="L203" s="87">
        <v>65</v>
      </c>
      <c r="M203" s="87">
        <f t="shared" si="54"/>
        <v>66.625</v>
      </c>
      <c r="N203" s="88">
        <f>prodnorm25</f>
        <v>0</v>
      </c>
      <c r="O203" s="33">
        <f>dagwerk25</f>
        <v>0</v>
      </c>
      <c r="P203" s="85" t="s">
        <v>109</v>
      </c>
      <c r="Q203" s="21">
        <f>uurtarief25</f>
        <v>0</v>
      </c>
      <c r="R203" s="87" t="e">
        <f t="shared" si="55"/>
        <v>#DIV/0!</v>
      </c>
      <c r="S203" s="87" t="e">
        <f t="shared" si="56"/>
        <v>#DIV/0!</v>
      </c>
      <c r="T203" s="21" t="e">
        <f t="shared" si="57"/>
        <v>#DIV/0!</v>
      </c>
      <c r="U203" s="87" t="e">
        <f t="shared" si="58"/>
        <v>#DIV/0!</v>
      </c>
      <c r="V203" s="22" t="e">
        <f t="shared" si="59"/>
        <v>#DIV/0!</v>
      </c>
    </row>
    <row r="204" spans="1:22" x14ac:dyDescent="0.25">
      <c r="A204" s="84" t="s">
        <v>341</v>
      </c>
      <c r="B204" s="85" t="s">
        <v>42</v>
      </c>
      <c r="C204" s="85" t="s">
        <v>565</v>
      </c>
      <c r="D204" s="85" t="s">
        <v>576</v>
      </c>
      <c r="E204" s="86" t="s">
        <v>577</v>
      </c>
      <c r="F204" s="85" t="s">
        <v>494</v>
      </c>
      <c r="G204" s="85" t="s">
        <v>350</v>
      </c>
      <c r="H204" s="85"/>
      <c r="I204" s="85"/>
      <c r="J204" s="85"/>
      <c r="K204" s="85" t="s">
        <v>42</v>
      </c>
      <c r="L204" s="87">
        <v>10.5</v>
      </c>
      <c r="M204" s="87"/>
      <c r="N204" s="88"/>
      <c r="O204" s="33"/>
      <c r="P204" s="85"/>
      <c r="Q204" s="21"/>
      <c r="R204" s="87"/>
      <c r="S204" s="87"/>
      <c r="T204" s="21"/>
      <c r="U204" s="89"/>
      <c r="V204" s="22"/>
    </row>
    <row r="205" spans="1:22" x14ac:dyDescent="0.25">
      <c r="A205" s="84" t="s">
        <v>341</v>
      </c>
      <c r="B205" s="85" t="s">
        <v>42</v>
      </c>
      <c r="C205" s="85" t="s">
        <v>565</v>
      </c>
      <c r="D205" s="85" t="s">
        <v>578</v>
      </c>
      <c r="E205" s="86" t="s">
        <v>493</v>
      </c>
      <c r="F205" s="85" t="s">
        <v>494</v>
      </c>
      <c r="G205" s="85" t="s">
        <v>312</v>
      </c>
      <c r="H205" s="85" t="s">
        <v>9</v>
      </c>
      <c r="I205" s="85" t="s">
        <v>258</v>
      </c>
      <c r="J205" s="86" t="s">
        <v>313</v>
      </c>
      <c r="K205" s="85" t="s">
        <v>346</v>
      </c>
      <c r="L205" s="87">
        <v>169.5</v>
      </c>
      <c r="M205" s="87">
        <f>L205*VLOOKUP(H205,dagsoorttabel1,2,FALSE)</f>
        <v>173.73749999999998</v>
      </c>
      <c r="N205" s="88">
        <f>prodnorm46</f>
        <v>0</v>
      </c>
      <c r="O205" s="33">
        <f>dagwerk46</f>
        <v>0</v>
      </c>
      <c r="P205" s="85" t="s">
        <v>109</v>
      </c>
      <c r="Q205" s="21">
        <f>uurtarief46</f>
        <v>0</v>
      </c>
      <c r="R205" s="87" t="e">
        <f>IF(ISBLANK(N205),0,M205/ROUND(N205,4))</f>
        <v>#DIV/0!</v>
      </c>
      <c r="S205" s="87" t="e">
        <f>IF(ISBLANK(N205),0,R205*ROUND(O205,2))</f>
        <v>#DIV/0!</v>
      </c>
      <c r="T205" s="21" t="e">
        <f>ROUND(Q205,2)*R205</f>
        <v>#DIV/0!</v>
      </c>
      <c r="U205" s="87" t="e">
        <f>R205*dagenperjaar1</f>
        <v>#DIV/0!</v>
      </c>
      <c r="V205" s="22" t="e">
        <f>U205*ROUND(Q205,2)</f>
        <v>#DIV/0!</v>
      </c>
    </row>
    <row r="206" spans="1:22" x14ac:dyDescent="0.25">
      <c r="A206" s="84" t="s">
        <v>341</v>
      </c>
      <c r="B206" s="85" t="s">
        <v>42</v>
      </c>
      <c r="C206" s="85" t="s">
        <v>565</v>
      </c>
      <c r="D206" s="85" t="s">
        <v>579</v>
      </c>
      <c r="E206" s="86" t="s">
        <v>580</v>
      </c>
      <c r="F206" s="85" t="s">
        <v>494</v>
      </c>
      <c r="G206" s="85" t="s">
        <v>312</v>
      </c>
      <c r="H206" s="85" t="s">
        <v>9</v>
      </c>
      <c r="I206" s="85" t="s">
        <v>258</v>
      </c>
      <c r="J206" s="86" t="s">
        <v>313</v>
      </c>
      <c r="K206" s="85" t="s">
        <v>346</v>
      </c>
      <c r="L206" s="87">
        <v>9.1999999999999993</v>
      </c>
      <c r="M206" s="87">
        <f>L206*VLOOKUP(H206,dagsoorttabel1,2,FALSE)</f>
        <v>9.4299999999999979</v>
      </c>
      <c r="N206" s="88">
        <f>prodnorm46</f>
        <v>0</v>
      </c>
      <c r="O206" s="33">
        <f>dagwerk46</f>
        <v>0</v>
      </c>
      <c r="P206" s="85" t="s">
        <v>109</v>
      </c>
      <c r="Q206" s="21">
        <f>uurtarief46</f>
        <v>0</v>
      </c>
      <c r="R206" s="87" t="e">
        <f>IF(ISBLANK(N206),0,M206/ROUND(N206,4))</f>
        <v>#DIV/0!</v>
      </c>
      <c r="S206" s="87" t="e">
        <f>IF(ISBLANK(N206),0,R206*ROUND(O206,2))</f>
        <v>#DIV/0!</v>
      </c>
      <c r="T206" s="21" t="e">
        <f>ROUND(Q206,2)*R206</f>
        <v>#DIV/0!</v>
      </c>
      <c r="U206" s="87" t="e">
        <f>R206*dagenperjaar1</f>
        <v>#DIV/0!</v>
      </c>
      <c r="V206" s="22" t="e">
        <f>U206*ROUND(Q206,2)</f>
        <v>#DIV/0!</v>
      </c>
    </row>
    <row r="207" spans="1:22" x14ac:dyDescent="0.25">
      <c r="A207" s="84" t="s">
        <v>341</v>
      </c>
      <c r="B207" s="85" t="s">
        <v>42</v>
      </c>
      <c r="C207" s="85" t="s">
        <v>565</v>
      </c>
      <c r="D207" s="85" t="s">
        <v>581</v>
      </c>
      <c r="E207" s="86" t="s">
        <v>582</v>
      </c>
      <c r="F207" s="85" t="s">
        <v>568</v>
      </c>
      <c r="G207" s="85" t="s">
        <v>350</v>
      </c>
      <c r="H207" s="85"/>
      <c r="I207" s="85"/>
      <c r="J207" s="85"/>
      <c r="K207" s="85" t="s">
        <v>346</v>
      </c>
      <c r="L207" s="87">
        <v>28.5</v>
      </c>
      <c r="M207" s="87"/>
      <c r="N207" s="88"/>
      <c r="O207" s="33"/>
      <c r="P207" s="85"/>
      <c r="Q207" s="21"/>
      <c r="R207" s="87"/>
      <c r="S207" s="87"/>
      <c r="T207" s="21"/>
      <c r="U207" s="89"/>
      <c r="V207" s="22"/>
    </row>
    <row r="208" spans="1:22" x14ac:dyDescent="0.25">
      <c r="A208" s="84" t="s">
        <v>341</v>
      </c>
      <c r="B208" s="85" t="s">
        <v>42</v>
      </c>
      <c r="C208" s="85" t="s">
        <v>565</v>
      </c>
      <c r="D208" s="85" t="s">
        <v>583</v>
      </c>
      <c r="E208" s="86" t="s">
        <v>584</v>
      </c>
      <c r="F208" s="85" t="s">
        <v>568</v>
      </c>
      <c r="G208" s="85" t="s">
        <v>304</v>
      </c>
      <c r="H208" s="85" t="s">
        <v>16</v>
      </c>
      <c r="I208" s="85" t="s">
        <v>258</v>
      </c>
      <c r="J208" s="86" t="s">
        <v>305</v>
      </c>
      <c r="K208" s="85" t="s">
        <v>346</v>
      </c>
      <c r="L208" s="87">
        <v>9.4</v>
      </c>
      <c r="M208" s="87">
        <f t="shared" ref="M208:M213" si="63">L208*VLOOKUP(H208,dagsoorttabel1,2,FALSE)</f>
        <v>1.927</v>
      </c>
      <c r="N208" s="88">
        <f>prodnorm40</f>
        <v>0</v>
      </c>
      <c r="O208" s="33">
        <f>dagwerk40</f>
        <v>0</v>
      </c>
      <c r="P208" s="85" t="s">
        <v>109</v>
      </c>
      <c r="Q208" s="21">
        <f>uurtarief40</f>
        <v>0</v>
      </c>
      <c r="R208" s="87" t="e">
        <f t="shared" ref="R208:R213" si="64">IF(ISBLANK(N208),0,M208/ROUND(N208,4))</f>
        <v>#DIV/0!</v>
      </c>
      <c r="S208" s="87" t="e">
        <f t="shared" ref="S208:S213" si="65">IF(ISBLANK(N208),0,R208*ROUND(O208,2))</f>
        <v>#DIV/0!</v>
      </c>
      <c r="T208" s="21" t="e">
        <f t="shared" ref="T208:T213" si="66">ROUND(Q208,2)*R208</f>
        <v>#DIV/0!</v>
      </c>
      <c r="U208" s="87" t="e">
        <f t="shared" ref="U208:U213" si="67">R208*dagenperjaar1</f>
        <v>#DIV/0!</v>
      </c>
      <c r="V208" s="22" t="e">
        <f t="shared" ref="V208:V213" si="68">U208*ROUND(Q208,2)</f>
        <v>#DIV/0!</v>
      </c>
    </row>
    <row r="209" spans="1:22" x14ac:dyDescent="0.25">
      <c r="A209" s="84" t="s">
        <v>341</v>
      </c>
      <c r="B209" s="85" t="s">
        <v>42</v>
      </c>
      <c r="C209" s="85" t="s">
        <v>565</v>
      </c>
      <c r="D209" s="85" t="s">
        <v>585</v>
      </c>
      <c r="E209" s="86" t="s">
        <v>586</v>
      </c>
      <c r="F209" s="85" t="s">
        <v>353</v>
      </c>
      <c r="G209" s="85" t="s">
        <v>284</v>
      </c>
      <c r="H209" s="85" t="s">
        <v>9</v>
      </c>
      <c r="I209" s="85" t="s">
        <v>258</v>
      </c>
      <c r="J209" s="86" t="s">
        <v>285</v>
      </c>
      <c r="K209" s="85" t="s">
        <v>386</v>
      </c>
      <c r="L209" s="87">
        <v>53.52</v>
      </c>
      <c r="M209" s="87">
        <f t="shared" si="63"/>
        <v>54.857999999999997</v>
      </c>
      <c r="N209" s="88">
        <f>prodnorm25</f>
        <v>0</v>
      </c>
      <c r="O209" s="33">
        <f>dagwerk25</f>
        <v>0</v>
      </c>
      <c r="P209" s="85" t="s">
        <v>109</v>
      </c>
      <c r="Q209" s="21">
        <f>uurtarief25</f>
        <v>0</v>
      </c>
      <c r="R209" s="87" t="e">
        <f t="shared" si="64"/>
        <v>#DIV/0!</v>
      </c>
      <c r="S209" s="87" t="e">
        <f t="shared" si="65"/>
        <v>#DIV/0!</v>
      </c>
      <c r="T209" s="21" t="e">
        <f t="shared" si="66"/>
        <v>#DIV/0!</v>
      </c>
      <c r="U209" s="87" t="e">
        <f t="shared" si="67"/>
        <v>#DIV/0!</v>
      </c>
      <c r="V209" s="22" t="e">
        <f t="shared" si="68"/>
        <v>#DIV/0!</v>
      </c>
    </row>
    <row r="210" spans="1:22" x14ac:dyDescent="0.25">
      <c r="A210" s="84" t="s">
        <v>341</v>
      </c>
      <c r="B210" s="85" t="s">
        <v>42</v>
      </c>
      <c r="C210" s="85" t="s">
        <v>565</v>
      </c>
      <c r="D210" s="85" t="s">
        <v>587</v>
      </c>
      <c r="E210" s="86" t="s">
        <v>586</v>
      </c>
      <c r="F210" s="85" t="s">
        <v>353</v>
      </c>
      <c r="G210" s="85" t="s">
        <v>284</v>
      </c>
      <c r="H210" s="85" t="s">
        <v>9</v>
      </c>
      <c r="I210" s="85" t="s">
        <v>258</v>
      </c>
      <c r="J210" s="86" t="s">
        <v>285</v>
      </c>
      <c r="K210" s="85" t="s">
        <v>386</v>
      </c>
      <c r="L210" s="87">
        <v>53.52</v>
      </c>
      <c r="M210" s="87">
        <f t="shared" si="63"/>
        <v>54.857999999999997</v>
      </c>
      <c r="N210" s="88">
        <f>prodnorm25</f>
        <v>0</v>
      </c>
      <c r="O210" s="33">
        <f>dagwerk25</f>
        <v>0</v>
      </c>
      <c r="P210" s="85" t="s">
        <v>109</v>
      </c>
      <c r="Q210" s="21">
        <f>uurtarief25</f>
        <v>0</v>
      </c>
      <c r="R210" s="87" t="e">
        <f t="shared" si="64"/>
        <v>#DIV/0!</v>
      </c>
      <c r="S210" s="87" t="e">
        <f t="shared" si="65"/>
        <v>#DIV/0!</v>
      </c>
      <c r="T210" s="21" t="e">
        <f t="shared" si="66"/>
        <v>#DIV/0!</v>
      </c>
      <c r="U210" s="87" t="e">
        <f t="shared" si="67"/>
        <v>#DIV/0!</v>
      </c>
      <c r="V210" s="22" t="e">
        <f t="shared" si="68"/>
        <v>#DIV/0!</v>
      </c>
    </row>
    <row r="211" spans="1:22" x14ac:dyDescent="0.25">
      <c r="A211" s="84" t="s">
        <v>341</v>
      </c>
      <c r="B211" s="85" t="s">
        <v>42</v>
      </c>
      <c r="C211" s="85" t="s">
        <v>565</v>
      </c>
      <c r="D211" s="85" t="s">
        <v>588</v>
      </c>
      <c r="E211" s="86" t="s">
        <v>586</v>
      </c>
      <c r="F211" s="85" t="s">
        <v>353</v>
      </c>
      <c r="G211" s="85" t="s">
        <v>284</v>
      </c>
      <c r="H211" s="85" t="s">
        <v>9</v>
      </c>
      <c r="I211" s="85" t="s">
        <v>258</v>
      </c>
      <c r="J211" s="86" t="s">
        <v>285</v>
      </c>
      <c r="K211" s="85" t="s">
        <v>386</v>
      </c>
      <c r="L211" s="87">
        <v>54.33</v>
      </c>
      <c r="M211" s="87">
        <f t="shared" si="63"/>
        <v>55.688249999999996</v>
      </c>
      <c r="N211" s="88">
        <f>prodnorm25</f>
        <v>0</v>
      </c>
      <c r="O211" s="33">
        <f>dagwerk25</f>
        <v>0</v>
      </c>
      <c r="P211" s="85" t="s">
        <v>109</v>
      </c>
      <c r="Q211" s="21">
        <f>uurtarief25</f>
        <v>0</v>
      </c>
      <c r="R211" s="87" t="e">
        <f t="shared" si="64"/>
        <v>#DIV/0!</v>
      </c>
      <c r="S211" s="87" t="e">
        <f t="shared" si="65"/>
        <v>#DIV/0!</v>
      </c>
      <c r="T211" s="21" t="e">
        <f t="shared" si="66"/>
        <v>#DIV/0!</v>
      </c>
      <c r="U211" s="87" t="e">
        <f t="shared" si="67"/>
        <v>#DIV/0!</v>
      </c>
      <c r="V211" s="22" t="e">
        <f t="shared" si="68"/>
        <v>#DIV/0!</v>
      </c>
    </row>
    <row r="212" spans="1:22" x14ac:dyDescent="0.25">
      <c r="A212" s="84" t="s">
        <v>341</v>
      </c>
      <c r="B212" s="85" t="s">
        <v>42</v>
      </c>
      <c r="C212" s="85" t="s">
        <v>565</v>
      </c>
      <c r="D212" s="85" t="s">
        <v>589</v>
      </c>
      <c r="E212" s="86" t="s">
        <v>590</v>
      </c>
      <c r="F212" s="85" t="s">
        <v>353</v>
      </c>
      <c r="G212" s="85" t="s">
        <v>257</v>
      </c>
      <c r="H212" s="85" t="s">
        <v>12</v>
      </c>
      <c r="I212" s="85" t="s">
        <v>258</v>
      </c>
      <c r="J212" s="86" t="s">
        <v>259</v>
      </c>
      <c r="K212" s="85" t="s">
        <v>365</v>
      </c>
      <c r="L212" s="87">
        <v>27.419999999999998</v>
      </c>
      <c r="M212" s="87">
        <f t="shared" si="63"/>
        <v>16.863299999999999</v>
      </c>
      <c r="N212" s="88">
        <f>prodnorm5</f>
        <v>0</v>
      </c>
      <c r="O212" s="33">
        <f>dagwerk5</f>
        <v>0</v>
      </c>
      <c r="P212" s="85" t="s">
        <v>109</v>
      </c>
      <c r="Q212" s="21">
        <f>uurtarief5</f>
        <v>0</v>
      </c>
      <c r="R212" s="87" t="e">
        <f t="shared" si="64"/>
        <v>#DIV/0!</v>
      </c>
      <c r="S212" s="87" t="e">
        <f t="shared" si="65"/>
        <v>#DIV/0!</v>
      </c>
      <c r="T212" s="21" t="e">
        <f t="shared" si="66"/>
        <v>#DIV/0!</v>
      </c>
      <c r="U212" s="87" t="e">
        <f t="shared" si="67"/>
        <v>#DIV/0!</v>
      </c>
      <c r="V212" s="22" t="e">
        <f t="shared" si="68"/>
        <v>#DIV/0!</v>
      </c>
    </row>
    <row r="213" spans="1:22" x14ac:dyDescent="0.25">
      <c r="A213" s="84" t="s">
        <v>341</v>
      </c>
      <c r="B213" s="85" t="s">
        <v>42</v>
      </c>
      <c r="C213" s="85" t="s">
        <v>565</v>
      </c>
      <c r="D213" s="85" t="s">
        <v>589</v>
      </c>
      <c r="E213" s="86" t="s">
        <v>590</v>
      </c>
      <c r="F213" s="85" t="s">
        <v>353</v>
      </c>
      <c r="G213" s="85" t="s">
        <v>262</v>
      </c>
      <c r="H213" s="85" t="s">
        <v>14</v>
      </c>
      <c r="I213" s="85" t="s">
        <v>258</v>
      </c>
      <c r="J213" s="86" t="s">
        <v>263</v>
      </c>
      <c r="K213" s="85" t="s">
        <v>365</v>
      </c>
      <c r="L213" s="87">
        <v>27.419999999999998</v>
      </c>
      <c r="M213" s="87">
        <f t="shared" si="63"/>
        <v>11.242199999999999</v>
      </c>
      <c r="N213" s="88">
        <f>prodnorm10</f>
        <v>0</v>
      </c>
      <c r="O213" s="33">
        <f>dagwerk10</f>
        <v>0</v>
      </c>
      <c r="P213" s="85" t="s">
        <v>109</v>
      </c>
      <c r="Q213" s="21">
        <f>uurtarief10</f>
        <v>0</v>
      </c>
      <c r="R213" s="87" t="e">
        <f t="shared" si="64"/>
        <v>#DIV/0!</v>
      </c>
      <c r="S213" s="87" t="e">
        <f t="shared" si="65"/>
        <v>#DIV/0!</v>
      </c>
      <c r="T213" s="21" t="e">
        <f t="shared" si="66"/>
        <v>#DIV/0!</v>
      </c>
      <c r="U213" s="87" t="e">
        <f t="shared" si="67"/>
        <v>#DIV/0!</v>
      </c>
      <c r="V213" s="22" t="e">
        <f t="shared" si="68"/>
        <v>#DIV/0!</v>
      </c>
    </row>
    <row r="214" spans="1:22" x14ac:dyDescent="0.25">
      <c r="A214" s="84" t="s">
        <v>341</v>
      </c>
      <c r="B214" s="85" t="s">
        <v>42</v>
      </c>
      <c r="C214" s="85" t="s">
        <v>565</v>
      </c>
      <c r="D214" s="85" t="s">
        <v>591</v>
      </c>
      <c r="E214" s="86" t="s">
        <v>586</v>
      </c>
      <c r="F214" s="85" t="s">
        <v>349</v>
      </c>
      <c r="G214" s="85" t="s">
        <v>350</v>
      </c>
      <c r="H214" s="85"/>
      <c r="I214" s="85"/>
      <c r="J214" s="85"/>
      <c r="K214" s="85" t="s">
        <v>42</v>
      </c>
      <c r="L214" s="87">
        <v>95.72</v>
      </c>
      <c r="M214" s="87"/>
      <c r="N214" s="88"/>
      <c r="O214" s="33"/>
      <c r="P214" s="85"/>
      <c r="Q214" s="21"/>
      <c r="R214" s="87"/>
      <c r="S214" s="87"/>
      <c r="T214" s="21"/>
      <c r="U214" s="89"/>
      <c r="V214" s="22"/>
    </row>
    <row r="215" spans="1:22" x14ac:dyDescent="0.25">
      <c r="A215" s="84" t="s">
        <v>341</v>
      </c>
      <c r="B215" s="85" t="s">
        <v>42</v>
      </c>
      <c r="C215" s="85" t="s">
        <v>565</v>
      </c>
      <c r="D215" s="85" t="s">
        <v>592</v>
      </c>
      <c r="E215" s="86" t="s">
        <v>586</v>
      </c>
      <c r="F215" s="85" t="s">
        <v>349</v>
      </c>
      <c r="G215" s="85" t="s">
        <v>350</v>
      </c>
      <c r="H215" s="85"/>
      <c r="I215" s="85"/>
      <c r="J215" s="85"/>
      <c r="K215" s="85" t="s">
        <v>42</v>
      </c>
      <c r="L215" s="87">
        <v>95.72</v>
      </c>
      <c r="M215" s="87"/>
      <c r="N215" s="88"/>
      <c r="O215" s="33"/>
      <c r="P215" s="85"/>
      <c r="Q215" s="21"/>
      <c r="R215" s="87"/>
      <c r="S215" s="87"/>
      <c r="T215" s="21"/>
      <c r="U215" s="89"/>
      <c r="V215" s="22"/>
    </row>
    <row r="216" spans="1:22" x14ac:dyDescent="0.25">
      <c r="A216" s="84" t="s">
        <v>341</v>
      </c>
      <c r="B216" s="85" t="s">
        <v>42</v>
      </c>
      <c r="C216" s="85" t="s">
        <v>565</v>
      </c>
      <c r="D216" s="85" t="s">
        <v>593</v>
      </c>
      <c r="E216" s="86" t="s">
        <v>586</v>
      </c>
      <c r="F216" s="85" t="s">
        <v>349</v>
      </c>
      <c r="G216" s="85" t="s">
        <v>350</v>
      </c>
      <c r="H216" s="85"/>
      <c r="I216" s="85"/>
      <c r="J216" s="85"/>
      <c r="K216" s="85" t="s">
        <v>42</v>
      </c>
      <c r="L216" s="87">
        <v>59.290000000000006</v>
      </c>
      <c r="M216" s="87"/>
      <c r="N216" s="88"/>
      <c r="O216" s="33"/>
      <c r="P216" s="85"/>
      <c r="Q216" s="21"/>
      <c r="R216" s="87"/>
      <c r="S216" s="87"/>
      <c r="T216" s="21"/>
      <c r="U216" s="89"/>
      <c r="V216" s="22"/>
    </row>
    <row r="217" spans="1:22" x14ac:dyDescent="0.25">
      <c r="A217" s="84" t="s">
        <v>341</v>
      </c>
      <c r="B217" s="85" t="s">
        <v>42</v>
      </c>
      <c r="C217" s="85" t="s">
        <v>565</v>
      </c>
      <c r="D217" s="85" t="s">
        <v>594</v>
      </c>
      <c r="E217" s="86" t="s">
        <v>586</v>
      </c>
      <c r="F217" s="85" t="s">
        <v>349</v>
      </c>
      <c r="G217" s="85" t="s">
        <v>350</v>
      </c>
      <c r="H217" s="85"/>
      <c r="I217" s="85"/>
      <c r="J217" s="85"/>
      <c r="K217" s="85" t="s">
        <v>42</v>
      </c>
      <c r="L217" s="87">
        <v>79.760000000000005</v>
      </c>
      <c r="M217" s="87"/>
      <c r="N217" s="88"/>
      <c r="O217" s="33"/>
      <c r="P217" s="85"/>
      <c r="Q217" s="21"/>
      <c r="R217" s="87"/>
      <c r="S217" s="87"/>
      <c r="T217" s="21"/>
      <c r="U217" s="89"/>
      <c r="V217" s="22"/>
    </row>
    <row r="218" spans="1:22" x14ac:dyDescent="0.25">
      <c r="A218" s="84" t="s">
        <v>341</v>
      </c>
      <c r="B218" s="85" t="s">
        <v>42</v>
      </c>
      <c r="C218" s="85" t="s">
        <v>565</v>
      </c>
      <c r="D218" s="85" t="s">
        <v>595</v>
      </c>
      <c r="E218" s="86" t="s">
        <v>596</v>
      </c>
      <c r="F218" s="85" t="s">
        <v>349</v>
      </c>
      <c r="G218" s="85" t="s">
        <v>280</v>
      </c>
      <c r="H218" s="85" t="s">
        <v>9</v>
      </c>
      <c r="I218" s="85" t="s">
        <v>258</v>
      </c>
      <c r="J218" s="86" t="s">
        <v>281</v>
      </c>
      <c r="K218" s="85" t="s">
        <v>386</v>
      </c>
      <c r="L218" s="87">
        <v>66.33</v>
      </c>
      <c r="M218" s="87">
        <f>L218*VLOOKUP(H218,dagsoorttabel1,2,FALSE)</f>
        <v>67.988249999999994</v>
      </c>
      <c r="N218" s="88">
        <f>prodnorm23</f>
        <v>0</v>
      </c>
      <c r="O218" s="33">
        <f>dagwerk23</f>
        <v>0</v>
      </c>
      <c r="P218" s="85" t="s">
        <v>109</v>
      </c>
      <c r="Q218" s="21">
        <f>uurtarief23</f>
        <v>0</v>
      </c>
      <c r="R218" s="87" t="e">
        <f>IF(ISBLANK(N218),0,M218/ROUND(N218,4))</f>
        <v>#DIV/0!</v>
      </c>
      <c r="S218" s="87" t="e">
        <f>IF(ISBLANK(N218),0,R218*ROUND(O218,2))</f>
        <v>#DIV/0!</v>
      </c>
      <c r="T218" s="21" t="e">
        <f>ROUND(Q218,2)*R218</f>
        <v>#DIV/0!</v>
      </c>
      <c r="U218" s="87" t="e">
        <f>R218*dagenperjaar1</f>
        <v>#DIV/0!</v>
      </c>
      <c r="V218" s="22" t="e">
        <f>U218*ROUND(Q218,2)</f>
        <v>#DIV/0!</v>
      </c>
    </row>
    <row r="219" spans="1:22" x14ac:dyDescent="0.25">
      <c r="A219" s="84" t="s">
        <v>341</v>
      </c>
      <c r="B219" s="85" t="s">
        <v>42</v>
      </c>
      <c r="C219" s="85" t="s">
        <v>565</v>
      </c>
      <c r="D219" s="85" t="s">
        <v>597</v>
      </c>
      <c r="E219" s="86" t="s">
        <v>596</v>
      </c>
      <c r="F219" s="85" t="s">
        <v>349</v>
      </c>
      <c r="G219" s="85" t="s">
        <v>280</v>
      </c>
      <c r="H219" s="85" t="s">
        <v>9</v>
      </c>
      <c r="I219" s="85" t="s">
        <v>258</v>
      </c>
      <c r="J219" s="86" t="s">
        <v>281</v>
      </c>
      <c r="K219" s="85" t="s">
        <v>386</v>
      </c>
      <c r="L219" s="87">
        <v>66.33</v>
      </c>
      <c r="M219" s="87">
        <f>L219*VLOOKUP(H219,dagsoorttabel1,2,FALSE)</f>
        <v>67.988249999999994</v>
      </c>
      <c r="N219" s="88">
        <f>prodnorm23</f>
        <v>0</v>
      </c>
      <c r="O219" s="33">
        <f>dagwerk23</f>
        <v>0</v>
      </c>
      <c r="P219" s="85" t="s">
        <v>109</v>
      </c>
      <c r="Q219" s="21">
        <f>uurtarief23</f>
        <v>0</v>
      </c>
      <c r="R219" s="87" t="e">
        <f>IF(ISBLANK(N219),0,M219/ROUND(N219,4))</f>
        <v>#DIV/0!</v>
      </c>
      <c r="S219" s="87" t="e">
        <f>IF(ISBLANK(N219),0,R219*ROUND(O219,2))</f>
        <v>#DIV/0!</v>
      </c>
      <c r="T219" s="21" t="e">
        <f>ROUND(Q219,2)*R219</f>
        <v>#DIV/0!</v>
      </c>
      <c r="U219" s="87" t="e">
        <f>R219*dagenperjaar1</f>
        <v>#DIV/0!</v>
      </c>
      <c r="V219" s="22" t="e">
        <f>U219*ROUND(Q219,2)</f>
        <v>#DIV/0!</v>
      </c>
    </row>
    <row r="220" spans="1:22" x14ac:dyDescent="0.25">
      <c r="A220" s="84" t="s">
        <v>341</v>
      </c>
      <c r="B220" s="85" t="s">
        <v>42</v>
      </c>
      <c r="C220" s="85" t="s">
        <v>565</v>
      </c>
      <c r="D220" s="85" t="s">
        <v>598</v>
      </c>
      <c r="E220" s="86" t="s">
        <v>455</v>
      </c>
      <c r="F220" s="85" t="s">
        <v>494</v>
      </c>
      <c r="G220" s="85" t="s">
        <v>310</v>
      </c>
      <c r="H220" s="85" t="s">
        <v>9</v>
      </c>
      <c r="I220" s="85" t="s">
        <v>258</v>
      </c>
      <c r="J220" s="86" t="s">
        <v>311</v>
      </c>
      <c r="K220" s="85" t="s">
        <v>417</v>
      </c>
      <c r="L220" s="87">
        <v>8.6999999999999993</v>
      </c>
      <c r="M220" s="87">
        <f>L220*VLOOKUP(H220,dagsoorttabel1,2,FALSE)</f>
        <v>8.9174999999999986</v>
      </c>
      <c r="N220" s="88">
        <f>prodnorm45</f>
        <v>0</v>
      </c>
      <c r="O220" s="33">
        <f>dagwerk45</f>
        <v>0</v>
      </c>
      <c r="P220" s="85" t="s">
        <v>109</v>
      </c>
      <c r="Q220" s="21">
        <f>uurtarief45</f>
        <v>0</v>
      </c>
      <c r="R220" s="87" t="e">
        <f>IF(ISBLANK(N220),0,M220/ROUND(N220,4))</f>
        <v>#DIV/0!</v>
      </c>
      <c r="S220" s="87" t="e">
        <f>IF(ISBLANK(N220),0,R220*ROUND(O220,2))</f>
        <v>#DIV/0!</v>
      </c>
      <c r="T220" s="21" t="e">
        <f>ROUND(Q220,2)*R220</f>
        <v>#DIV/0!</v>
      </c>
      <c r="U220" s="87" t="e">
        <f>R220*dagenperjaar1</f>
        <v>#DIV/0!</v>
      </c>
      <c r="V220" s="22" t="e">
        <f>U220*ROUND(Q220,2)</f>
        <v>#DIV/0!</v>
      </c>
    </row>
    <row r="221" spans="1:22" x14ac:dyDescent="0.25">
      <c r="A221" s="84" t="s">
        <v>341</v>
      </c>
      <c r="B221" s="85" t="s">
        <v>42</v>
      </c>
      <c r="C221" s="85" t="s">
        <v>565</v>
      </c>
      <c r="D221" s="85" t="s">
        <v>599</v>
      </c>
      <c r="E221" s="86" t="s">
        <v>455</v>
      </c>
      <c r="F221" s="85" t="s">
        <v>494</v>
      </c>
      <c r="G221" s="85" t="s">
        <v>310</v>
      </c>
      <c r="H221" s="85" t="s">
        <v>9</v>
      </c>
      <c r="I221" s="85" t="s">
        <v>258</v>
      </c>
      <c r="J221" s="86" t="s">
        <v>311</v>
      </c>
      <c r="K221" s="85" t="s">
        <v>417</v>
      </c>
      <c r="L221" s="87">
        <v>8.6999999999999993</v>
      </c>
      <c r="M221" s="87">
        <f>L221*VLOOKUP(H221,dagsoorttabel1,2,FALSE)</f>
        <v>8.9174999999999986</v>
      </c>
      <c r="N221" s="88">
        <f>prodnorm45</f>
        <v>0</v>
      </c>
      <c r="O221" s="33">
        <f>dagwerk45</f>
        <v>0</v>
      </c>
      <c r="P221" s="85" t="s">
        <v>109</v>
      </c>
      <c r="Q221" s="21">
        <f>uurtarief45</f>
        <v>0</v>
      </c>
      <c r="R221" s="87" t="e">
        <f>IF(ISBLANK(N221),0,M221/ROUND(N221,4))</f>
        <v>#DIV/0!</v>
      </c>
      <c r="S221" s="87" t="e">
        <f>IF(ISBLANK(N221),0,R221*ROUND(O221,2))</f>
        <v>#DIV/0!</v>
      </c>
      <c r="T221" s="21" t="e">
        <f>ROUND(Q221,2)*R221</f>
        <v>#DIV/0!</v>
      </c>
      <c r="U221" s="87" t="e">
        <f>R221*dagenperjaar1</f>
        <v>#DIV/0!</v>
      </c>
      <c r="V221" s="22" t="e">
        <f>U221*ROUND(Q221,2)</f>
        <v>#DIV/0!</v>
      </c>
    </row>
    <row r="222" spans="1:22" x14ac:dyDescent="0.25">
      <c r="A222" s="84" t="s">
        <v>341</v>
      </c>
      <c r="B222" s="85" t="s">
        <v>42</v>
      </c>
      <c r="C222" s="85" t="s">
        <v>565</v>
      </c>
      <c r="D222" s="85" t="s">
        <v>600</v>
      </c>
      <c r="E222" s="86" t="s">
        <v>455</v>
      </c>
      <c r="F222" s="85" t="s">
        <v>494</v>
      </c>
      <c r="G222" s="85" t="s">
        <v>350</v>
      </c>
      <c r="H222" s="85"/>
      <c r="I222" s="85"/>
      <c r="J222" s="85"/>
      <c r="K222" s="85" t="s">
        <v>42</v>
      </c>
      <c r="L222" s="87">
        <v>8.6999999999999993</v>
      </c>
      <c r="M222" s="87"/>
      <c r="N222" s="88"/>
      <c r="O222" s="33"/>
      <c r="P222" s="85"/>
      <c r="Q222" s="21"/>
      <c r="R222" s="87"/>
      <c r="S222" s="87"/>
      <c r="T222" s="21"/>
      <c r="U222" s="89"/>
      <c r="V222" s="22"/>
    </row>
    <row r="223" spans="1:22" x14ac:dyDescent="0.25">
      <c r="A223" s="84" t="s">
        <v>341</v>
      </c>
      <c r="B223" s="85" t="s">
        <v>42</v>
      </c>
      <c r="C223" s="85" t="s">
        <v>565</v>
      </c>
      <c r="D223" s="85" t="s">
        <v>601</v>
      </c>
      <c r="E223" s="86" t="s">
        <v>455</v>
      </c>
      <c r="F223" s="85" t="s">
        <v>494</v>
      </c>
      <c r="G223" s="85" t="s">
        <v>350</v>
      </c>
      <c r="H223" s="85"/>
      <c r="I223" s="85"/>
      <c r="J223" s="85"/>
      <c r="K223" s="85" t="s">
        <v>42</v>
      </c>
      <c r="L223" s="87">
        <v>8.6999999999999993</v>
      </c>
      <c r="M223" s="87"/>
      <c r="N223" s="88"/>
      <c r="O223" s="33"/>
      <c r="P223" s="85"/>
      <c r="Q223" s="21"/>
      <c r="R223" s="87"/>
      <c r="S223" s="87"/>
      <c r="T223" s="21"/>
      <c r="U223" s="89"/>
      <c r="V223" s="22"/>
    </row>
    <row r="224" spans="1:22" x14ac:dyDescent="0.25">
      <c r="A224" s="84" t="s">
        <v>341</v>
      </c>
      <c r="B224" s="85" t="s">
        <v>42</v>
      </c>
      <c r="C224" s="85" t="s">
        <v>565</v>
      </c>
      <c r="D224" s="85" t="s">
        <v>602</v>
      </c>
      <c r="E224" s="86" t="s">
        <v>570</v>
      </c>
      <c r="F224" s="85" t="s">
        <v>349</v>
      </c>
      <c r="G224" s="85" t="s">
        <v>350</v>
      </c>
      <c r="H224" s="85"/>
      <c r="I224" s="85"/>
      <c r="J224" s="85"/>
      <c r="K224" s="85" t="s">
        <v>42</v>
      </c>
      <c r="L224" s="87">
        <v>39.379999999999995</v>
      </c>
      <c r="M224" s="87"/>
      <c r="N224" s="88"/>
      <c r="O224" s="33"/>
      <c r="P224" s="85"/>
      <c r="Q224" s="21"/>
      <c r="R224" s="87"/>
      <c r="S224" s="87"/>
      <c r="T224" s="21"/>
      <c r="U224" s="89"/>
      <c r="V224" s="22"/>
    </row>
    <row r="225" spans="1:22" x14ac:dyDescent="0.25">
      <c r="A225" s="84" t="s">
        <v>341</v>
      </c>
      <c r="B225" s="85" t="s">
        <v>42</v>
      </c>
      <c r="C225" s="85" t="s">
        <v>565</v>
      </c>
      <c r="D225" s="85" t="s">
        <v>603</v>
      </c>
      <c r="E225" s="86" t="s">
        <v>604</v>
      </c>
      <c r="F225" s="85" t="s">
        <v>353</v>
      </c>
      <c r="G225" s="85" t="s">
        <v>284</v>
      </c>
      <c r="H225" s="85" t="s">
        <v>9</v>
      </c>
      <c r="I225" s="85" t="s">
        <v>258</v>
      </c>
      <c r="J225" s="86" t="s">
        <v>285</v>
      </c>
      <c r="K225" s="85" t="s">
        <v>386</v>
      </c>
      <c r="L225" s="87">
        <v>54</v>
      </c>
      <c r="M225" s="87">
        <f t="shared" ref="M225:M246" si="69">L225*VLOOKUP(H225,dagsoorttabel1,2,FALSE)</f>
        <v>55.349999999999994</v>
      </c>
      <c r="N225" s="88">
        <f>prodnorm25</f>
        <v>0</v>
      </c>
      <c r="O225" s="33">
        <f>dagwerk25</f>
        <v>0</v>
      </c>
      <c r="P225" s="85" t="s">
        <v>109</v>
      </c>
      <c r="Q225" s="21">
        <f>uurtarief25</f>
        <v>0</v>
      </c>
      <c r="R225" s="87" t="e">
        <f t="shared" ref="R225:R246" si="70">IF(ISBLANK(N225),0,M225/ROUND(N225,4))</f>
        <v>#DIV/0!</v>
      </c>
      <c r="S225" s="87" t="e">
        <f t="shared" ref="S225:S246" si="71">IF(ISBLANK(N225),0,R225*ROUND(O225,2))</f>
        <v>#DIV/0!</v>
      </c>
      <c r="T225" s="21" t="e">
        <f t="shared" ref="T225:T246" si="72">ROUND(Q225,2)*R225</f>
        <v>#DIV/0!</v>
      </c>
      <c r="U225" s="87" t="e">
        <f t="shared" ref="U225:U246" si="73">R225*dagenperjaar1</f>
        <v>#DIV/0!</v>
      </c>
      <c r="V225" s="22" t="e">
        <f t="shared" ref="V225:V246" si="74">U225*ROUND(Q225,2)</f>
        <v>#DIV/0!</v>
      </c>
    </row>
    <row r="226" spans="1:22" x14ac:dyDescent="0.25">
      <c r="A226" s="84" t="s">
        <v>341</v>
      </c>
      <c r="B226" s="85" t="s">
        <v>42</v>
      </c>
      <c r="C226" s="85" t="s">
        <v>565</v>
      </c>
      <c r="D226" s="85" t="s">
        <v>605</v>
      </c>
      <c r="E226" s="86" t="s">
        <v>606</v>
      </c>
      <c r="F226" s="85" t="s">
        <v>349</v>
      </c>
      <c r="G226" s="85" t="s">
        <v>298</v>
      </c>
      <c r="H226" s="85" t="s">
        <v>9</v>
      </c>
      <c r="I226" s="85" t="s">
        <v>258</v>
      </c>
      <c r="J226" s="86" t="s">
        <v>299</v>
      </c>
      <c r="K226" s="85" t="s">
        <v>386</v>
      </c>
      <c r="L226" s="87">
        <v>57.8</v>
      </c>
      <c r="M226" s="87">
        <f t="shared" si="69"/>
        <v>59.24499999999999</v>
      </c>
      <c r="N226" s="88">
        <f>prodnorm35</f>
        <v>0</v>
      </c>
      <c r="O226" s="33">
        <f>dagwerk35</f>
        <v>0</v>
      </c>
      <c r="P226" s="85" t="s">
        <v>109</v>
      </c>
      <c r="Q226" s="21">
        <f>uurtarief35</f>
        <v>0</v>
      </c>
      <c r="R226" s="87" t="e">
        <f t="shared" si="70"/>
        <v>#DIV/0!</v>
      </c>
      <c r="S226" s="87" t="e">
        <f t="shared" si="71"/>
        <v>#DIV/0!</v>
      </c>
      <c r="T226" s="21" t="e">
        <f t="shared" si="72"/>
        <v>#DIV/0!</v>
      </c>
      <c r="U226" s="87" t="e">
        <f t="shared" si="73"/>
        <v>#DIV/0!</v>
      </c>
      <c r="V226" s="22" t="e">
        <f t="shared" si="74"/>
        <v>#DIV/0!</v>
      </c>
    </row>
    <row r="227" spans="1:22" x14ac:dyDescent="0.25">
      <c r="A227" s="84" t="s">
        <v>341</v>
      </c>
      <c r="B227" s="85" t="s">
        <v>42</v>
      </c>
      <c r="C227" s="85" t="s">
        <v>565</v>
      </c>
      <c r="D227" s="85" t="s">
        <v>607</v>
      </c>
      <c r="E227" s="86" t="s">
        <v>608</v>
      </c>
      <c r="F227" s="85" t="s">
        <v>353</v>
      </c>
      <c r="G227" s="85" t="s">
        <v>257</v>
      </c>
      <c r="H227" s="85" t="s">
        <v>12</v>
      </c>
      <c r="I227" s="85" t="s">
        <v>258</v>
      </c>
      <c r="J227" s="86" t="s">
        <v>259</v>
      </c>
      <c r="K227" s="85" t="s">
        <v>365</v>
      </c>
      <c r="L227" s="87">
        <v>7.9</v>
      </c>
      <c r="M227" s="87">
        <f t="shared" si="69"/>
        <v>4.8585000000000003</v>
      </c>
      <c r="N227" s="88">
        <f>prodnorm5</f>
        <v>0</v>
      </c>
      <c r="O227" s="33">
        <f>dagwerk5</f>
        <v>0</v>
      </c>
      <c r="P227" s="85" t="s">
        <v>109</v>
      </c>
      <c r="Q227" s="21">
        <f>uurtarief5</f>
        <v>0</v>
      </c>
      <c r="R227" s="87" t="e">
        <f t="shared" si="70"/>
        <v>#DIV/0!</v>
      </c>
      <c r="S227" s="87" t="e">
        <f t="shared" si="71"/>
        <v>#DIV/0!</v>
      </c>
      <c r="T227" s="21" t="e">
        <f t="shared" si="72"/>
        <v>#DIV/0!</v>
      </c>
      <c r="U227" s="87" t="e">
        <f t="shared" si="73"/>
        <v>#DIV/0!</v>
      </c>
      <c r="V227" s="22" t="e">
        <f t="shared" si="74"/>
        <v>#DIV/0!</v>
      </c>
    </row>
    <row r="228" spans="1:22" x14ac:dyDescent="0.25">
      <c r="A228" s="84" t="s">
        <v>341</v>
      </c>
      <c r="B228" s="85" t="s">
        <v>42</v>
      </c>
      <c r="C228" s="85" t="s">
        <v>565</v>
      </c>
      <c r="D228" s="85" t="s">
        <v>607</v>
      </c>
      <c r="E228" s="86" t="s">
        <v>608</v>
      </c>
      <c r="F228" s="85" t="s">
        <v>353</v>
      </c>
      <c r="G228" s="85" t="s">
        <v>262</v>
      </c>
      <c r="H228" s="85" t="s">
        <v>14</v>
      </c>
      <c r="I228" s="85" t="s">
        <v>258</v>
      </c>
      <c r="J228" s="86" t="s">
        <v>263</v>
      </c>
      <c r="K228" s="85" t="s">
        <v>365</v>
      </c>
      <c r="L228" s="87">
        <v>7.9</v>
      </c>
      <c r="M228" s="87">
        <f t="shared" si="69"/>
        <v>3.2389999999999999</v>
      </c>
      <c r="N228" s="88">
        <f>prodnorm10</f>
        <v>0</v>
      </c>
      <c r="O228" s="33">
        <f>dagwerk10</f>
        <v>0</v>
      </c>
      <c r="P228" s="85" t="s">
        <v>109</v>
      </c>
      <c r="Q228" s="21">
        <f>uurtarief10</f>
        <v>0</v>
      </c>
      <c r="R228" s="87" t="e">
        <f t="shared" si="70"/>
        <v>#DIV/0!</v>
      </c>
      <c r="S228" s="87" t="e">
        <f t="shared" si="71"/>
        <v>#DIV/0!</v>
      </c>
      <c r="T228" s="21" t="e">
        <f t="shared" si="72"/>
        <v>#DIV/0!</v>
      </c>
      <c r="U228" s="87" t="e">
        <f t="shared" si="73"/>
        <v>#DIV/0!</v>
      </c>
      <c r="V228" s="22" t="e">
        <f t="shared" si="74"/>
        <v>#DIV/0!</v>
      </c>
    </row>
    <row r="229" spans="1:22" x14ac:dyDescent="0.25">
      <c r="A229" s="84" t="s">
        <v>341</v>
      </c>
      <c r="B229" s="85" t="s">
        <v>42</v>
      </c>
      <c r="C229" s="85" t="s">
        <v>565</v>
      </c>
      <c r="D229" s="85" t="s">
        <v>609</v>
      </c>
      <c r="E229" s="86" t="s">
        <v>393</v>
      </c>
      <c r="F229" s="85" t="s">
        <v>353</v>
      </c>
      <c r="G229" s="85" t="s">
        <v>257</v>
      </c>
      <c r="H229" s="85" t="s">
        <v>12</v>
      </c>
      <c r="I229" s="85" t="s">
        <v>258</v>
      </c>
      <c r="J229" s="86" t="s">
        <v>259</v>
      </c>
      <c r="K229" s="85" t="s">
        <v>365</v>
      </c>
      <c r="L229" s="87">
        <v>18.600000000000001</v>
      </c>
      <c r="M229" s="87">
        <f t="shared" si="69"/>
        <v>11.439</v>
      </c>
      <c r="N229" s="88">
        <f>prodnorm5</f>
        <v>0</v>
      </c>
      <c r="O229" s="33">
        <f>dagwerk5</f>
        <v>0</v>
      </c>
      <c r="P229" s="85" t="s">
        <v>109</v>
      </c>
      <c r="Q229" s="21">
        <f>uurtarief5</f>
        <v>0</v>
      </c>
      <c r="R229" s="87" t="e">
        <f t="shared" si="70"/>
        <v>#DIV/0!</v>
      </c>
      <c r="S229" s="87" t="e">
        <f t="shared" si="71"/>
        <v>#DIV/0!</v>
      </c>
      <c r="T229" s="21" t="e">
        <f t="shared" si="72"/>
        <v>#DIV/0!</v>
      </c>
      <c r="U229" s="87" t="e">
        <f t="shared" si="73"/>
        <v>#DIV/0!</v>
      </c>
      <c r="V229" s="22" t="e">
        <f t="shared" si="74"/>
        <v>#DIV/0!</v>
      </c>
    </row>
    <row r="230" spans="1:22" x14ac:dyDescent="0.25">
      <c r="A230" s="84" t="s">
        <v>341</v>
      </c>
      <c r="B230" s="85" t="s">
        <v>42</v>
      </c>
      <c r="C230" s="85" t="s">
        <v>565</v>
      </c>
      <c r="D230" s="85" t="s">
        <v>609</v>
      </c>
      <c r="E230" s="86" t="s">
        <v>393</v>
      </c>
      <c r="F230" s="85" t="s">
        <v>353</v>
      </c>
      <c r="G230" s="85" t="s">
        <v>262</v>
      </c>
      <c r="H230" s="85" t="s">
        <v>14</v>
      </c>
      <c r="I230" s="85" t="s">
        <v>258</v>
      </c>
      <c r="J230" s="86" t="s">
        <v>263</v>
      </c>
      <c r="K230" s="85" t="s">
        <v>365</v>
      </c>
      <c r="L230" s="87">
        <v>18.600000000000001</v>
      </c>
      <c r="M230" s="87">
        <f t="shared" si="69"/>
        <v>7.6260000000000003</v>
      </c>
      <c r="N230" s="88">
        <f>prodnorm10</f>
        <v>0</v>
      </c>
      <c r="O230" s="33">
        <f>dagwerk10</f>
        <v>0</v>
      </c>
      <c r="P230" s="85" t="s">
        <v>109</v>
      </c>
      <c r="Q230" s="21">
        <f>uurtarief10</f>
        <v>0</v>
      </c>
      <c r="R230" s="87" t="e">
        <f t="shared" si="70"/>
        <v>#DIV/0!</v>
      </c>
      <c r="S230" s="87" t="e">
        <f t="shared" si="71"/>
        <v>#DIV/0!</v>
      </c>
      <c r="T230" s="21" t="e">
        <f t="shared" si="72"/>
        <v>#DIV/0!</v>
      </c>
      <c r="U230" s="87" t="e">
        <f t="shared" si="73"/>
        <v>#DIV/0!</v>
      </c>
      <c r="V230" s="22" t="e">
        <f t="shared" si="74"/>
        <v>#DIV/0!</v>
      </c>
    </row>
    <row r="231" spans="1:22" x14ac:dyDescent="0.25">
      <c r="A231" s="84" t="s">
        <v>341</v>
      </c>
      <c r="B231" s="85" t="s">
        <v>42</v>
      </c>
      <c r="C231" s="85" t="s">
        <v>565</v>
      </c>
      <c r="D231" s="85" t="s">
        <v>610</v>
      </c>
      <c r="E231" s="86" t="s">
        <v>611</v>
      </c>
      <c r="F231" s="85" t="s">
        <v>349</v>
      </c>
      <c r="G231" s="85" t="s">
        <v>298</v>
      </c>
      <c r="H231" s="85" t="s">
        <v>9</v>
      </c>
      <c r="I231" s="85" t="s">
        <v>258</v>
      </c>
      <c r="J231" s="86" t="s">
        <v>299</v>
      </c>
      <c r="K231" s="85" t="s">
        <v>386</v>
      </c>
      <c r="L231" s="87">
        <v>81.400000000000006</v>
      </c>
      <c r="M231" s="87">
        <f t="shared" si="69"/>
        <v>83.435000000000002</v>
      </c>
      <c r="N231" s="88">
        <f t="shared" ref="N231:N239" si="75">prodnorm35</f>
        <v>0</v>
      </c>
      <c r="O231" s="33">
        <f t="shared" ref="O231:O239" si="76">dagwerk35</f>
        <v>0</v>
      </c>
      <c r="P231" s="85" t="s">
        <v>109</v>
      </c>
      <c r="Q231" s="21">
        <f t="shared" ref="Q231:Q239" si="77">uurtarief35</f>
        <v>0</v>
      </c>
      <c r="R231" s="87" t="e">
        <f t="shared" si="70"/>
        <v>#DIV/0!</v>
      </c>
      <c r="S231" s="87" t="e">
        <f t="shared" si="71"/>
        <v>#DIV/0!</v>
      </c>
      <c r="T231" s="21" t="e">
        <f t="shared" si="72"/>
        <v>#DIV/0!</v>
      </c>
      <c r="U231" s="87" t="e">
        <f t="shared" si="73"/>
        <v>#DIV/0!</v>
      </c>
      <c r="V231" s="22" t="e">
        <f t="shared" si="74"/>
        <v>#DIV/0!</v>
      </c>
    </row>
    <row r="232" spans="1:22" x14ac:dyDescent="0.25">
      <c r="A232" s="84" t="s">
        <v>341</v>
      </c>
      <c r="B232" s="85" t="s">
        <v>42</v>
      </c>
      <c r="C232" s="85" t="s">
        <v>565</v>
      </c>
      <c r="D232" s="85" t="s">
        <v>612</v>
      </c>
      <c r="E232" s="86" t="s">
        <v>611</v>
      </c>
      <c r="F232" s="85" t="s">
        <v>349</v>
      </c>
      <c r="G232" s="85" t="s">
        <v>298</v>
      </c>
      <c r="H232" s="85" t="s">
        <v>9</v>
      </c>
      <c r="I232" s="85" t="s">
        <v>258</v>
      </c>
      <c r="J232" s="86" t="s">
        <v>299</v>
      </c>
      <c r="K232" s="85" t="s">
        <v>386</v>
      </c>
      <c r="L232" s="87">
        <v>81.400000000000006</v>
      </c>
      <c r="M232" s="87">
        <f t="shared" si="69"/>
        <v>83.435000000000002</v>
      </c>
      <c r="N232" s="88">
        <f t="shared" si="75"/>
        <v>0</v>
      </c>
      <c r="O232" s="33">
        <f t="shared" si="76"/>
        <v>0</v>
      </c>
      <c r="P232" s="85" t="s">
        <v>109</v>
      </c>
      <c r="Q232" s="21">
        <f t="shared" si="77"/>
        <v>0</v>
      </c>
      <c r="R232" s="87" t="e">
        <f t="shared" si="70"/>
        <v>#DIV/0!</v>
      </c>
      <c r="S232" s="87" t="e">
        <f t="shared" si="71"/>
        <v>#DIV/0!</v>
      </c>
      <c r="T232" s="21" t="e">
        <f t="shared" si="72"/>
        <v>#DIV/0!</v>
      </c>
      <c r="U232" s="87" t="e">
        <f t="shared" si="73"/>
        <v>#DIV/0!</v>
      </c>
      <c r="V232" s="22" t="e">
        <f t="shared" si="74"/>
        <v>#DIV/0!</v>
      </c>
    </row>
    <row r="233" spans="1:22" x14ac:dyDescent="0.25">
      <c r="A233" s="84" t="s">
        <v>341</v>
      </c>
      <c r="B233" s="85" t="s">
        <v>42</v>
      </c>
      <c r="C233" s="85" t="s">
        <v>565</v>
      </c>
      <c r="D233" s="85" t="s">
        <v>613</v>
      </c>
      <c r="E233" s="86" t="s">
        <v>614</v>
      </c>
      <c r="F233" s="85" t="s">
        <v>349</v>
      </c>
      <c r="G233" s="85" t="s">
        <v>298</v>
      </c>
      <c r="H233" s="85" t="s">
        <v>9</v>
      </c>
      <c r="I233" s="85" t="s">
        <v>258</v>
      </c>
      <c r="J233" s="86" t="s">
        <v>299</v>
      </c>
      <c r="K233" s="85" t="s">
        <v>386</v>
      </c>
      <c r="L233" s="87">
        <v>163.6</v>
      </c>
      <c r="M233" s="87">
        <f t="shared" si="69"/>
        <v>167.68999999999997</v>
      </c>
      <c r="N233" s="88">
        <f t="shared" si="75"/>
        <v>0</v>
      </c>
      <c r="O233" s="33">
        <f t="shared" si="76"/>
        <v>0</v>
      </c>
      <c r="P233" s="85" t="s">
        <v>109</v>
      </c>
      <c r="Q233" s="21">
        <f t="shared" si="77"/>
        <v>0</v>
      </c>
      <c r="R233" s="87" t="e">
        <f t="shared" si="70"/>
        <v>#DIV/0!</v>
      </c>
      <c r="S233" s="87" t="e">
        <f t="shared" si="71"/>
        <v>#DIV/0!</v>
      </c>
      <c r="T233" s="21" t="e">
        <f t="shared" si="72"/>
        <v>#DIV/0!</v>
      </c>
      <c r="U233" s="87" t="e">
        <f t="shared" si="73"/>
        <v>#DIV/0!</v>
      </c>
      <c r="V233" s="22" t="e">
        <f t="shared" si="74"/>
        <v>#DIV/0!</v>
      </c>
    </row>
    <row r="234" spans="1:22" x14ac:dyDescent="0.25">
      <c r="A234" s="84" t="s">
        <v>341</v>
      </c>
      <c r="B234" s="85" t="s">
        <v>42</v>
      </c>
      <c r="C234" s="85" t="s">
        <v>565</v>
      </c>
      <c r="D234" s="85" t="s">
        <v>615</v>
      </c>
      <c r="E234" s="86" t="s">
        <v>616</v>
      </c>
      <c r="F234" s="85" t="s">
        <v>349</v>
      </c>
      <c r="G234" s="85" t="s">
        <v>298</v>
      </c>
      <c r="H234" s="85" t="s">
        <v>9</v>
      </c>
      <c r="I234" s="85" t="s">
        <v>258</v>
      </c>
      <c r="J234" s="86" t="s">
        <v>299</v>
      </c>
      <c r="K234" s="85" t="s">
        <v>386</v>
      </c>
      <c r="L234" s="87">
        <v>130.5</v>
      </c>
      <c r="M234" s="87">
        <f t="shared" si="69"/>
        <v>133.76249999999999</v>
      </c>
      <c r="N234" s="88">
        <f t="shared" si="75"/>
        <v>0</v>
      </c>
      <c r="O234" s="33">
        <f t="shared" si="76"/>
        <v>0</v>
      </c>
      <c r="P234" s="85" t="s">
        <v>109</v>
      </c>
      <c r="Q234" s="21">
        <f t="shared" si="77"/>
        <v>0</v>
      </c>
      <c r="R234" s="87" t="e">
        <f t="shared" si="70"/>
        <v>#DIV/0!</v>
      </c>
      <c r="S234" s="87" t="e">
        <f t="shared" si="71"/>
        <v>#DIV/0!</v>
      </c>
      <c r="T234" s="21" t="e">
        <f t="shared" si="72"/>
        <v>#DIV/0!</v>
      </c>
      <c r="U234" s="87" t="e">
        <f t="shared" si="73"/>
        <v>#DIV/0!</v>
      </c>
      <c r="V234" s="22" t="e">
        <f t="shared" si="74"/>
        <v>#DIV/0!</v>
      </c>
    </row>
    <row r="235" spans="1:22" x14ac:dyDescent="0.25">
      <c r="A235" s="84" t="s">
        <v>341</v>
      </c>
      <c r="B235" s="85" t="s">
        <v>42</v>
      </c>
      <c r="C235" s="85" t="s">
        <v>565</v>
      </c>
      <c r="D235" s="85" t="s">
        <v>617</v>
      </c>
      <c r="E235" s="86" t="s">
        <v>618</v>
      </c>
      <c r="F235" s="85" t="s">
        <v>349</v>
      </c>
      <c r="G235" s="85" t="s">
        <v>298</v>
      </c>
      <c r="H235" s="85" t="s">
        <v>9</v>
      </c>
      <c r="I235" s="85" t="s">
        <v>258</v>
      </c>
      <c r="J235" s="86" t="s">
        <v>299</v>
      </c>
      <c r="K235" s="85" t="s">
        <v>386</v>
      </c>
      <c r="L235" s="87">
        <v>80.5</v>
      </c>
      <c r="M235" s="87">
        <f t="shared" si="69"/>
        <v>82.512499999999989</v>
      </c>
      <c r="N235" s="88">
        <f t="shared" si="75"/>
        <v>0</v>
      </c>
      <c r="O235" s="33">
        <f t="shared" si="76"/>
        <v>0</v>
      </c>
      <c r="P235" s="85" t="s">
        <v>109</v>
      </c>
      <c r="Q235" s="21">
        <f t="shared" si="77"/>
        <v>0</v>
      </c>
      <c r="R235" s="87" t="e">
        <f t="shared" si="70"/>
        <v>#DIV/0!</v>
      </c>
      <c r="S235" s="87" t="e">
        <f t="shared" si="71"/>
        <v>#DIV/0!</v>
      </c>
      <c r="T235" s="21" t="e">
        <f t="shared" si="72"/>
        <v>#DIV/0!</v>
      </c>
      <c r="U235" s="87" t="e">
        <f t="shared" si="73"/>
        <v>#DIV/0!</v>
      </c>
      <c r="V235" s="22" t="e">
        <f t="shared" si="74"/>
        <v>#DIV/0!</v>
      </c>
    </row>
    <row r="236" spans="1:22" x14ac:dyDescent="0.25">
      <c r="A236" s="84" t="s">
        <v>341</v>
      </c>
      <c r="B236" s="85" t="s">
        <v>42</v>
      </c>
      <c r="C236" s="85" t="s">
        <v>565</v>
      </c>
      <c r="D236" s="85" t="s">
        <v>619</v>
      </c>
      <c r="E236" s="86" t="s">
        <v>618</v>
      </c>
      <c r="F236" s="85" t="s">
        <v>349</v>
      </c>
      <c r="G236" s="85" t="s">
        <v>298</v>
      </c>
      <c r="H236" s="85" t="s">
        <v>9</v>
      </c>
      <c r="I236" s="85" t="s">
        <v>258</v>
      </c>
      <c r="J236" s="86" t="s">
        <v>299</v>
      </c>
      <c r="K236" s="85" t="s">
        <v>386</v>
      </c>
      <c r="L236" s="87">
        <v>81.400000000000006</v>
      </c>
      <c r="M236" s="87">
        <f t="shared" si="69"/>
        <v>83.435000000000002</v>
      </c>
      <c r="N236" s="88">
        <f t="shared" si="75"/>
        <v>0</v>
      </c>
      <c r="O236" s="33">
        <f t="shared" si="76"/>
        <v>0</v>
      </c>
      <c r="P236" s="85" t="s">
        <v>109</v>
      </c>
      <c r="Q236" s="21">
        <f t="shared" si="77"/>
        <v>0</v>
      </c>
      <c r="R236" s="87" t="e">
        <f t="shared" si="70"/>
        <v>#DIV/0!</v>
      </c>
      <c r="S236" s="87" t="e">
        <f t="shared" si="71"/>
        <v>#DIV/0!</v>
      </c>
      <c r="T236" s="21" t="e">
        <f t="shared" si="72"/>
        <v>#DIV/0!</v>
      </c>
      <c r="U236" s="87" t="e">
        <f t="shared" si="73"/>
        <v>#DIV/0!</v>
      </c>
      <c r="V236" s="22" t="e">
        <f t="shared" si="74"/>
        <v>#DIV/0!</v>
      </c>
    </row>
    <row r="237" spans="1:22" x14ac:dyDescent="0.25">
      <c r="A237" s="84" t="s">
        <v>341</v>
      </c>
      <c r="B237" s="85" t="s">
        <v>42</v>
      </c>
      <c r="C237" s="85" t="s">
        <v>565</v>
      </c>
      <c r="D237" s="85" t="s">
        <v>620</v>
      </c>
      <c r="E237" s="86" t="s">
        <v>621</v>
      </c>
      <c r="F237" s="85" t="s">
        <v>349</v>
      </c>
      <c r="G237" s="85" t="s">
        <v>298</v>
      </c>
      <c r="H237" s="85" t="s">
        <v>9</v>
      </c>
      <c r="I237" s="85" t="s">
        <v>258</v>
      </c>
      <c r="J237" s="86" t="s">
        <v>299</v>
      </c>
      <c r="K237" s="85" t="s">
        <v>386</v>
      </c>
      <c r="L237" s="87">
        <v>81.400000000000006</v>
      </c>
      <c r="M237" s="87">
        <f t="shared" si="69"/>
        <v>83.435000000000002</v>
      </c>
      <c r="N237" s="88">
        <f t="shared" si="75"/>
        <v>0</v>
      </c>
      <c r="O237" s="33">
        <f t="shared" si="76"/>
        <v>0</v>
      </c>
      <c r="P237" s="85" t="s">
        <v>109</v>
      </c>
      <c r="Q237" s="21">
        <f t="shared" si="77"/>
        <v>0</v>
      </c>
      <c r="R237" s="87" t="e">
        <f t="shared" si="70"/>
        <v>#DIV/0!</v>
      </c>
      <c r="S237" s="87" t="e">
        <f t="shared" si="71"/>
        <v>#DIV/0!</v>
      </c>
      <c r="T237" s="21" t="e">
        <f t="shared" si="72"/>
        <v>#DIV/0!</v>
      </c>
      <c r="U237" s="87" t="e">
        <f t="shared" si="73"/>
        <v>#DIV/0!</v>
      </c>
      <c r="V237" s="22" t="e">
        <f t="shared" si="74"/>
        <v>#DIV/0!</v>
      </c>
    </row>
    <row r="238" spans="1:22" x14ac:dyDescent="0.25">
      <c r="A238" s="84" t="s">
        <v>341</v>
      </c>
      <c r="B238" s="85" t="s">
        <v>42</v>
      </c>
      <c r="C238" s="85" t="s">
        <v>565</v>
      </c>
      <c r="D238" s="85" t="s">
        <v>622</v>
      </c>
      <c r="E238" s="86" t="s">
        <v>606</v>
      </c>
      <c r="F238" s="85" t="s">
        <v>349</v>
      </c>
      <c r="G238" s="85" t="s">
        <v>298</v>
      </c>
      <c r="H238" s="85" t="s">
        <v>9</v>
      </c>
      <c r="I238" s="85" t="s">
        <v>258</v>
      </c>
      <c r="J238" s="86" t="s">
        <v>299</v>
      </c>
      <c r="K238" s="85" t="s">
        <v>386</v>
      </c>
      <c r="L238" s="87">
        <v>67.7</v>
      </c>
      <c r="M238" s="87">
        <f t="shared" si="69"/>
        <v>69.392499999999998</v>
      </c>
      <c r="N238" s="88">
        <f t="shared" si="75"/>
        <v>0</v>
      </c>
      <c r="O238" s="33">
        <f t="shared" si="76"/>
        <v>0</v>
      </c>
      <c r="P238" s="85" t="s">
        <v>109</v>
      </c>
      <c r="Q238" s="21">
        <f t="shared" si="77"/>
        <v>0</v>
      </c>
      <c r="R238" s="87" t="e">
        <f t="shared" si="70"/>
        <v>#DIV/0!</v>
      </c>
      <c r="S238" s="87" t="e">
        <f t="shared" si="71"/>
        <v>#DIV/0!</v>
      </c>
      <c r="T238" s="21" t="e">
        <f t="shared" si="72"/>
        <v>#DIV/0!</v>
      </c>
      <c r="U238" s="87" t="e">
        <f t="shared" si="73"/>
        <v>#DIV/0!</v>
      </c>
      <c r="V238" s="22" t="e">
        <f t="shared" si="74"/>
        <v>#DIV/0!</v>
      </c>
    </row>
    <row r="239" spans="1:22" x14ac:dyDescent="0.25">
      <c r="A239" s="84" t="s">
        <v>341</v>
      </c>
      <c r="B239" s="85" t="s">
        <v>42</v>
      </c>
      <c r="C239" s="85" t="s">
        <v>565</v>
      </c>
      <c r="D239" s="85" t="s">
        <v>623</v>
      </c>
      <c r="E239" s="86" t="s">
        <v>606</v>
      </c>
      <c r="F239" s="85" t="s">
        <v>349</v>
      </c>
      <c r="G239" s="85" t="s">
        <v>298</v>
      </c>
      <c r="H239" s="85" t="s">
        <v>9</v>
      </c>
      <c r="I239" s="85" t="s">
        <v>258</v>
      </c>
      <c r="J239" s="86" t="s">
        <v>299</v>
      </c>
      <c r="K239" s="85" t="s">
        <v>386</v>
      </c>
      <c r="L239" s="87">
        <v>67.7</v>
      </c>
      <c r="M239" s="87">
        <f t="shared" si="69"/>
        <v>69.392499999999998</v>
      </c>
      <c r="N239" s="88">
        <f t="shared" si="75"/>
        <v>0</v>
      </c>
      <c r="O239" s="33">
        <f t="shared" si="76"/>
        <v>0</v>
      </c>
      <c r="P239" s="85" t="s">
        <v>109</v>
      </c>
      <c r="Q239" s="21">
        <f t="shared" si="77"/>
        <v>0</v>
      </c>
      <c r="R239" s="87" t="e">
        <f t="shared" si="70"/>
        <v>#DIV/0!</v>
      </c>
      <c r="S239" s="87" t="e">
        <f t="shared" si="71"/>
        <v>#DIV/0!</v>
      </c>
      <c r="T239" s="21" t="e">
        <f t="shared" si="72"/>
        <v>#DIV/0!</v>
      </c>
      <c r="U239" s="87" t="e">
        <f t="shared" si="73"/>
        <v>#DIV/0!</v>
      </c>
      <c r="V239" s="22" t="e">
        <f t="shared" si="74"/>
        <v>#DIV/0!</v>
      </c>
    </row>
    <row r="240" spans="1:22" x14ac:dyDescent="0.25">
      <c r="A240" s="84" t="s">
        <v>341</v>
      </c>
      <c r="B240" s="85" t="s">
        <v>42</v>
      </c>
      <c r="C240" s="85" t="s">
        <v>565</v>
      </c>
      <c r="D240" s="85" t="s">
        <v>624</v>
      </c>
      <c r="E240" s="86" t="s">
        <v>373</v>
      </c>
      <c r="F240" s="85" t="s">
        <v>349</v>
      </c>
      <c r="G240" s="85" t="s">
        <v>312</v>
      </c>
      <c r="H240" s="85" t="s">
        <v>9</v>
      </c>
      <c r="I240" s="85" t="s">
        <v>258</v>
      </c>
      <c r="J240" s="86" t="s">
        <v>313</v>
      </c>
      <c r="K240" s="85" t="s">
        <v>346</v>
      </c>
      <c r="L240" s="87">
        <v>185.1</v>
      </c>
      <c r="M240" s="87">
        <f t="shared" si="69"/>
        <v>189.72749999999996</v>
      </c>
      <c r="N240" s="88">
        <f>prodnorm46</f>
        <v>0</v>
      </c>
      <c r="O240" s="33">
        <f>dagwerk46</f>
        <v>0</v>
      </c>
      <c r="P240" s="85" t="s">
        <v>109</v>
      </c>
      <c r="Q240" s="21">
        <f>uurtarief46</f>
        <v>0</v>
      </c>
      <c r="R240" s="87" t="e">
        <f t="shared" si="70"/>
        <v>#DIV/0!</v>
      </c>
      <c r="S240" s="87" t="e">
        <f t="shared" si="71"/>
        <v>#DIV/0!</v>
      </c>
      <c r="T240" s="21" t="e">
        <f t="shared" si="72"/>
        <v>#DIV/0!</v>
      </c>
      <c r="U240" s="87" t="e">
        <f t="shared" si="73"/>
        <v>#DIV/0!</v>
      </c>
      <c r="V240" s="22" t="e">
        <f t="shared" si="74"/>
        <v>#DIV/0!</v>
      </c>
    </row>
    <row r="241" spans="1:22" x14ac:dyDescent="0.25">
      <c r="A241" s="84" t="s">
        <v>341</v>
      </c>
      <c r="B241" s="85" t="s">
        <v>42</v>
      </c>
      <c r="C241" s="85" t="s">
        <v>565</v>
      </c>
      <c r="D241" s="85" t="s">
        <v>625</v>
      </c>
      <c r="E241" s="86" t="s">
        <v>452</v>
      </c>
      <c r="F241" s="85" t="s">
        <v>349</v>
      </c>
      <c r="G241" s="85" t="s">
        <v>322</v>
      </c>
      <c r="H241" s="85" t="s">
        <v>9</v>
      </c>
      <c r="I241" s="85" t="s">
        <v>258</v>
      </c>
      <c r="J241" s="86" t="s">
        <v>323</v>
      </c>
      <c r="K241" s="85" t="s">
        <v>346</v>
      </c>
      <c r="L241" s="87">
        <v>15.9</v>
      </c>
      <c r="M241" s="87">
        <f t="shared" si="69"/>
        <v>16.297499999999999</v>
      </c>
      <c r="N241" s="88">
        <f>prodnorm54</f>
        <v>0</v>
      </c>
      <c r="O241" s="33">
        <f>dagwerk54</f>
        <v>0</v>
      </c>
      <c r="P241" s="85" t="s">
        <v>109</v>
      </c>
      <c r="Q241" s="21">
        <f>uurtarief54</f>
        <v>0</v>
      </c>
      <c r="R241" s="87" t="e">
        <f t="shared" si="70"/>
        <v>#DIV/0!</v>
      </c>
      <c r="S241" s="87" t="e">
        <f t="shared" si="71"/>
        <v>#DIV/0!</v>
      </c>
      <c r="T241" s="21" t="e">
        <f t="shared" si="72"/>
        <v>#DIV/0!</v>
      </c>
      <c r="U241" s="87" t="e">
        <f t="shared" si="73"/>
        <v>#DIV/0!</v>
      </c>
      <c r="V241" s="22" t="e">
        <f t="shared" si="74"/>
        <v>#DIV/0!</v>
      </c>
    </row>
    <row r="242" spans="1:22" x14ac:dyDescent="0.25">
      <c r="A242" s="84" t="s">
        <v>341</v>
      </c>
      <c r="B242" s="85" t="s">
        <v>42</v>
      </c>
      <c r="C242" s="85" t="s">
        <v>565</v>
      </c>
      <c r="D242" s="85" t="s">
        <v>626</v>
      </c>
      <c r="E242" s="86" t="s">
        <v>452</v>
      </c>
      <c r="F242" s="85" t="s">
        <v>349</v>
      </c>
      <c r="G242" s="85" t="s">
        <v>322</v>
      </c>
      <c r="H242" s="85" t="s">
        <v>9</v>
      </c>
      <c r="I242" s="85" t="s">
        <v>258</v>
      </c>
      <c r="J242" s="86" t="s">
        <v>323</v>
      </c>
      <c r="K242" s="85" t="s">
        <v>346</v>
      </c>
      <c r="L242" s="87">
        <v>15.9</v>
      </c>
      <c r="M242" s="87">
        <f t="shared" si="69"/>
        <v>16.297499999999999</v>
      </c>
      <c r="N242" s="88">
        <f>prodnorm54</f>
        <v>0</v>
      </c>
      <c r="O242" s="33">
        <f>dagwerk54</f>
        <v>0</v>
      </c>
      <c r="P242" s="85" t="s">
        <v>109</v>
      </c>
      <c r="Q242" s="21">
        <f>uurtarief54</f>
        <v>0</v>
      </c>
      <c r="R242" s="87" t="e">
        <f t="shared" si="70"/>
        <v>#DIV/0!</v>
      </c>
      <c r="S242" s="87" t="e">
        <f t="shared" si="71"/>
        <v>#DIV/0!</v>
      </c>
      <c r="T242" s="21" t="e">
        <f t="shared" si="72"/>
        <v>#DIV/0!</v>
      </c>
      <c r="U242" s="87" t="e">
        <f t="shared" si="73"/>
        <v>#DIV/0!</v>
      </c>
      <c r="V242" s="22" t="e">
        <f t="shared" si="74"/>
        <v>#DIV/0!</v>
      </c>
    </row>
    <row r="243" spans="1:22" x14ac:dyDescent="0.25">
      <c r="A243" s="84" t="s">
        <v>341</v>
      </c>
      <c r="B243" s="85" t="s">
        <v>42</v>
      </c>
      <c r="C243" s="85" t="s">
        <v>565</v>
      </c>
      <c r="D243" s="85" t="s">
        <v>627</v>
      </c>
      <c r="E243" s="86" t="s">
        <v>416</v>
      </c>
      <c r="F243" s="85" t="s">
        <v>345</v>
      </c>
      <c r="G243" s="85" t="s">
        <v>310</v>
      </c>
      <c r="H243" s="85" t="s">
        <v>9</v>
      </c>
      <c r="I243" s="85" t="s">
        <v>258</v>
      </c>
      <c r="J243" s="86" t="s">
        <v>311</v>
      </c>
      <c r="K243" s="85" t="s">
        <v>417</v>
      </c>
      <c r="L243" s="87">
        <v>9.1</v>
      </c>
      <c r="M243" s="87">
        <f t="shared" si="69"/>
        <v>9.3274999999999988</v>
      </c>
      <c r="N243" s="88">
        <f>prodnorm45</f>
        <v>0</v>
      </c>
      <c r="O243" s="33">
        <f>dagwerk45</f>
        <v>0</v>
      </c>
      <c r="P243" s="85" t="s">
        <v>109</v>
      </c>
      <c r="Q243" s="21">
        <f>uurtarief45</f>
        <v>0</v>
      </c>
      <c r="R243" s="87" t="e">
        <f t="shared" si="70"/>
        <v>#DIV/0!</v>
      </c>
      <c r="S243" s="87" t="e">
        <f t="shared" si="71"/>
        <v>#DIV/0!</v>
      </c>
      <c r="T243" s="21" t="e">
        <f t="shared" si="72"/>
        <v>#DIV/0!</v>
      </c>
      <c r="U243" s="87" t="e">
        <f t="shared" si="73"/>
        <v>#DIV/0!</v>
      </c>
      <c r="V243" s="22" t="e">
        <f t="shared" si="74"/>
        <v>#DIV/0!</v>
      </c>
    </row>
    <row r="244" spans="1:22" x14ac:dyDescent="0.25">
      <c r="A244" s="84" t="s">
        <v>341</v>
      </c>
      <c r="B244" s="85" t="s">
        <v>42</v>
      </c>
      <c r="C244" s="85" t="s">
        <v>565</v>
      </c>
      <c r="D244" s="85" t="s">
        <v>628</v>
      </c>
      <c r="E244" s="86" t="s">
        <v>416</v>
      </c>
      <c r="F244" s="85" t="s">
        <v>345</v>
      </c>
      <c r="G244" s="85" t="s">
        <v>310</v>
      </c>
      <c r="H244" s="85" t="s">
        <v>9</v>
      </c>
      <c r="I244" s="85" t="s">
        <v>258</v>
      </c>
      <c r="J244" s="86" t="s">
        <v>311</v>
      </c>
      <c r="K244" s="85" t="s">
        <v>417</v>
      </c>
      <c r="L244" s="87">
        <v>8.6999999999999993</v>
      </c>
      <c r="M244" s="87">
        <f t="shared" si="69"/>
        <v>8.9174999999999986</v>
      </c>
      <c r="N244" s="88">
        <f>prodnorm45</f>
        <v>0</v>
      </c>
      <c r="O244" s="33">
        <f>dagwerk45</f>
        <v>0</v>
      </c>
      <c r="P244" s="85" t="s">
        <v>109</v>
      </c>
      <c r="Q244" s="21">
        <f>uurtarief45</f>
        <v>0</v>
      </c>
      <c r="R244" s="87" t="e">
        <f t="shared" si="70"/>
        <v>#DIV/0!</v>
      </c>
      <c r="S244" s="87" t="e">
        <f t="shared" si="71"/>
        <v>#DIV/0!</v>
      </c>
      <c r="T244" s="21" t="e">
        <f t="shared" si="72"/>
        <v>#DIV/0!</v>
      </c>
      <c r="U244" s="87" t="e">
        <f t="shared" si="73"/>
        <v>#DIV/0!</v>
      </c>
      <c r="V244" s="22" t="e">
        <f t="shared" si="74"/>
        <v>#DIV/0!</v>
      </c>
    </row>
    <row r="245" spans="1:22" x14ac:dyDescent="0.25">
      <c r="A245" s="84" t="s">
        <v>341</v>
      </c>
      <c r="B245" s="85" t="s">
        <v>42</v>
      </c>
      <c r="C245" s="85" t="s">
        <v>565</v>
      </c>
      <c r="D245" s="85" t="s">
        <v>629</v>
      </c>
      <c r="E245" s="86" t="s">
        <v>416</v>
      </c>
      <c r="F245" s="85" t="s">
        <v>345</v>
      </c>
      <c r="G245" s="85" t="s">
        <v>310</v>
      </c>
      <c r="H245" s="85" t="s">
        <v>9</v>
      </c>
      <c r="I245" s="85" t="s">
        <v>258</v>
      </c>
      <c r="J245" s="86" t="s">
        <v>311</v>
      </c>
      <c r="K245" s="85" t="s">
        <v>417</v>
      </c>
      <c r="L245" s="87">
        <v>8.8000000000000007</v>
      </c>
      <c r="M245" s="87">
        <f t="shared" si="69"/>
        <v>9.02</v>
      </c>
      <c r="N245" s="88">
        <f>prodnorm45</f>
        <v>0</v>
      </c>
      <c r="O245" s="33">
        <f>dagwerk45</f>
        <v>0</v>
      </c>
      <c r="P245" s="85" t="s">
        <v>109</v>
      </c>
      <c r="Q245" s="21">
        <f>uurtarief45</f>
        <v>0</v>
      </c>
      <c r="R245" s="87" t="e">
        <f t="shared" si="70"/>
        <v>#DIV/0!</v>
      </c>
      <c r="S245" s="87" t="e">
        <f t="shared" si="71"/>
        <v>#DIV/0!</v>
      </c>
      <c r="T245" s="21" t="e">
        <f t="shared" si="72"/>
        <v>#DIV/0!</v>
      </c>
      <c r="U245" s="87" t="e">
        <f t="shared" si="73"/>
        <v>#DIV/0!</v>
      </c>
      <c r="V245" s="22" t="e">
        <f t="shared" si="74"/>
        <v>#DIV/0!</v>
      </c>
    </row>
    <row r="246" spans="1:22" x14ac:dyDescent="0.25">
      <c r="A246" s="90" t="s">
        <v>341</v>
      </c>
      <c r="B246" s="91" t="s">
        <v>42</v>
      </c>
      <c r="C246" s="91" t="s">
        <v>565</v>
      </c>
      <c r="D246" s="91" t="s">
        <v>630</v>
      </c>
      <c r="E246" s="92" t="s">
        <v>416</v>
      </c>
      <c r="F246" s="91" t="s">
        <v>345</v>
      </c>
      <c r="G246" s="91" t="s">
        <v>310</v>
      </c>
      <c r="H246" s="91" t="s">
        <v>9</v>
      </c>
      <c r="I246" s="91" t="s">
        <v>258</v>
      </c>
      <c r="J246" s="92" t="s">
        <v>311</v>
      </c>
      <c r="K246" s="91" t="s">
        <v>417</v>
      </c>
      <c r="L246" s="93">
        <v>6.8</v>
      </c>
      <c r="M246" s="93">
        <f t="shared" si="69"/>
        <v>6.9699999999999989</v>
      </c>
      <c r="N246" s="94">
        <f>prodnorm45</f>
        <v>0</v>
      </c>
      <c r="O246" s="95">
        <f>dagwerk45</f>
        <v>0</v>
      </c>
      <c r="P246" s="91" t="s">
        <v>109</v>
      </c>
      <c r="Q246" s="30">
        <f>uurtarief45</f>
        <v>0</v>
      </c>
      <c r="R246" s="93" t="e">
        <f t="shared" si="70"/>
        <v>#DIV/0!</v>
      </c>
      <c r="S246" s="93" t="e">
        <f t="shared" si="71"/>
        <v>#DIV/0!</v>
      </c>
      <c r="T246" s="30" t="e">
        <f t="shared" si="72"/>
        <v>#DIV/0!</v>
      </c>
      <c r="U246" s="93" t="e">
        <f t="shared" si="73"/>
        <v>#DIV/0!</v>
      </c>
      <c r="V246" s="31" t="e">
        <f t="shared" si="74"/>
        <v>#DIV/0!</v>
      </c>
    </row>
    <row r="247" spans="1:22" x14ac:dyDescent="0.25">
      <c r="A247" s="96" t="s">
        <v>631</v>
      </c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8" t="e">
        <f>IF(_xlfn.SINGLE(object1_urenjaar1)&gt;0,_xlfn.SINGLE(object1_prijsjaar1)/_xlfn.SINGLE(object1_urenjaar1),0)</f>
        <v>#DIV/0!</v>
      </c>
      <c r="R247" s="67" t="e">
        <f>SUM(R5:R246)</f>
        <v>#DIV/0!</v>
      </c>
      <c r="S247" s="67" t="e">
        <f>SUM(S5:S246)</f>
        <v>#DIV/0!</v>
      </c>
      <c r="T247" s="68" t="e">
        <f>SUM(T5:T246)</f>
        <v>#DIV/0!</v>
      </c>
      <c r="U247" s="67" t="e">
        <f>SUM(U5:U246)</f>
        <v>#DIV/0!</v>
      </c>
      <c r="V247" s="69" t="e">
        <f>SUM(V5:V246)</f>
        <v>#DIV/0!</v>
      </c>
    </row>
    <row r="248" spans="1:22" x14ac:dyDescent="0.25">
      <c r="A248" s="74" t="s">
        <v>632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75"/>
    </row>
    <row r="249" spans="1:22" x14ac:dyDescent="0.25">
      <c r="A249" s="76" t="s">
        <v>633</v>
      </c>
      <c r="B249" s="77" t="s">
        <v>42</v>
      </c>
      <c r="C249" s="77" t="s">
        <v>342</v>
      </c>
      <c r="D249" s="77" t="s">
        <v>634</v>
      </c>
      <c r="E249" s="78" t="s">
        <v>586</v>
      </c>
      <c r="F249" s="77" t="s">
        <v>349</v>
      </c>
      <c r="G249" s="77" t="s">
        <v>282</v>
      </c>
      <c r="H249" s="77" t="s">
        <v>9</v>
      </c>
      <c r="I249" s="77" t="s">
        <v>258</v>
      </c>
      <c r="J249" s="78" t="s">
        <v>283</v>
      </c>
      <c r="K249" s="77" t="s">
        <v>386</v>
      </c>
      <c r="L249" s="79">
        <v>52.8</v>
      </c>
      <c r="M249" s="79">
        <f t="shared" ref="M249:M280" si="78">L249*VLOOKUP(H249,dagsoorttabel1,2,FALSE)</f>
        <v>54.11999999999999</v>
      </c>
      <c r="N249" s="80">
        <f t="shared" ref="N249:N268" si="79">prodnorm24</f>
        <v>0</v>
      </c>
      <c r="O249" s="81">
        <f t="shared" ref="O249:O268" si="80">dagwerk24</f>
        <v>0</v>
      </c>
      <c r="P249" s="77" t="s">
        <v>109</v>
      </c>
      <c r="Q249" s="82">
        <f t="shared" ref="Q249:Q268" si="81">uurtarief24</f>
        <v>0</v>
      </c>
      <c r="R249" s="79" t="e">
        <f t="shared" ref="R249:R280" si="82">IF(ISBLANK(N249),0,M249/ROUND(N249,4))</f>
        <v>#DIV/0!</v>
      </c>
      <c r="S249" s="79" t="e">
        <f t="shared" ref="S249:S280" si="83">IF(ISBLANK(N249),0,R249*ROUND(O249,2))</f>
        <v>#DIV/0!</v>
      </c>
      <c r="T249" s="82" t="e">
        <f t="shared" ref="T249:T280" si="84">ROUND(Q249,2)*R249</f>
        <v>#DIV/0!</v>
      </c>
      <c r="U249" s="79" t="e">
        <f t="shared" ref="U249:U280" si="85">R249*dagenperjaar1</f>
        <v>#DIV/0!</v>
      </c>
      <c r="V249" s="83" t="e">
        <f t="shared" ref="V249:V280" si="86">U249*ROUND(Q249,2)</f>
        <v>#DIV/0!</v>
      </c>
    </row>
    <row r="250" spans="1:22" x14ac:dyDescent="0.25">
      <c r="A250" s="84" t="s">
        <v>633</v>
      </c>
      <c r="B250" s="85" t="s">
        <v>42</v>
      </c>
      <c r="C250" s="85" t="s">
        <v>342</v>
      </c>
      <c r="D250" s="85" t="s">
        <v>635</v>
      </c>
      <c r="E250" s="86" t="s">
        <v>586</v>
      </c>
      <c r="F250" s="85" t="s">
        <v>349</v>
      </c>
      <c r="G250" s="85" t="s">
        <v>282</v>
      </c>
      <c r="H250" s="85" t="s">
        <v>9</v>
      </c>
      <c r="I250" s="85" t="s">
        <v>258</v>
      </c>
      <c r="J250" s="86" t="s">
        <v>283</v>
      </c>
      <c r="K250" s="85" t="s">
        <v>386</v>
      </c>
      <c r="L250" s="87">
        <v>52.8</v>
      </c>
      <c r="M250" s="87">
        <f t="shared" si="78"/>
        <v>54.11999999999999</v>
      </c>
      <c r="N250" s="88">
        <f t="shared" si="79"/>
        <v>0</v>
      </c>
      <c r="O250" s="33">
        <f t="shared" si="80"/>
        <v>0</v>
      </c>
      <c r="P250" s="85" t="s">
        <v>109</v>
      </c>
      <c r="Q250" s="21">
        <f t="shared" si="81"/>
        <v>0</v>
      </c>
      <c r="R250" s="87" t="e">
        <f t="shared" si="82"/>
        <v>#DIV/0!</v>
      </c>
      <c r="S250" s="87" t="e">
        <f t="shared" si="83"/>
        <v>#DIV/0!</v>
      </c>
      <c r="T250" s="21" t="e">
        <f t="shared" si="84"/>
        <v>#DIV/0!</v>
      </c>
      <c r="U250" s="87" t="e">
        <f t="shared" si="85"/>
        <v>#DIV/0!</v>
      </c>
      <c r="V250" s="22" t="e">
        <f t="shared" si="86"/>
        <v>#DIV/0!</v>
      </c>
    </row>
    <row r="251" spans="1:22" x14ac:dyDescent="0.25">
      <c r="A251" s="84" t="s">
        <v>633</v>
      </c>
      <c r="B251" s="85" t="s">
        <v>42</v>
      </c>
      <c r="C251" s="85" t="s">
        <v>342</v>
      </c>
      <c r="D251" s="85" t="s">
        <v>636</v>
      </c>
      <c r="E251" s="86" t="s">
        <v>586</v>
      </c>
      <c r="F251" s="85" t="s">
        <v>349</v>
      </c>
      <c r="G251" s="85" t="s">
        <v>282</v>
      </c>
      <c r="H251" s="85" t="s">
        <v>9</v>
      </c>
      <c r="I251" s="85" t="s">
        <v>258</v>
      </c>
      <c r="J251" s="86" t="s">
        <v>283</v>
      </c>
      <c r="K251" s="85" t="s">
        <v>386</v>
      </c>
      <c r="L251" s="87">
        <v>52.8</v>
      </c>
      <c r="M251" s="87">
        <f t="shared" si="78"/>
        <v>54.11999999999999</v>
      </c>
      <c r="N251" s="88">
        <f t="shared" si="79"/>
        <v>0</v>
      </c>
      <c r="O251" s="33">
        <f t="shared" si="80"/>
        <v>0</v>
      </c>
      <c r="P251" s="85" t="s">
        <v>109</v>
      </c>
      <c r="Q251" s="21">
        <f t="shared" si="81"/>
        <v>0</v>
      </c>
      <c r="R251" s="87" t="e">
        <f t="shared" si="82"/>
        <v>#DIV/0!</v>
      </c>
      <c r="S251" s="87" t="e">
        <f t="shared" si="83"/>
        <v>#DIV/0!</v>
      </c>
      <c r="T251" s="21" t="e">
        <f t="shared" si="84"/>
        <v>#DIV/0!</v>
      </c>
      <c r="U251" s="87" t="e">
        <f t="shared" si="85"/>
        <v>#DIV/0!</v>
      </c>
      <c r="V251" s="22" t="e">
        <f t="shared" si="86"/>
        <v>#DIV/0!</v>
      </c>
    </row>
    <row r="252" spans="1:22" x14ac:dyDescent="0.25">
      <c r="A252" s="84" t="s">
        <v>633</v>
      </c>
      <c r="B252" s="85" t="s">
        <v>42</v>
      </c>
      <c r="C252" s="85" t="s">
        <v>342</v>
      </c>
      <c r="D252" s="85" t="s">
        <v>637</v>
      </c>
      <c r="E252" s="86" t="s">
        <v>586</v>
      </c>
      <c r="F252" s="85" t="s">
        <v>349</v>
      </c>
      <c r="G252" s="85" t="s">
        <v>282</v>
      </c>
      <c r="H252" s="85" t="s">
        <v>9</v>
      </c>
      <c r="I252" s="85" t="s">
        <v>258</v>
      </c>
      <c r="J252" s="86" t="s">
        <v>283</v>
      </c>
      <c r="K252" s="85" t="s">
        <v>386</v>
      </c>
      <c r="L252" s="87">
        <v>52.8</v>
      </c>
      <c r="M252" s="87">
        <f t="shared" si="78"/>
        <v>54.11999999999999</v>
      </c>
      <c r="N252" s="88">
        <f t="shared" si="79"/>
        <v>0</v>
      </c>
      <c r="O252" s="33">
        <f t="shared" si="80"/>
        <v>0</v>
      </c>
      <c r="P252" s="85" t="s">
        <v>109</v>
      </c>
      <c r="Q252" s="21">
        <f t="shared" si="81"/>
        <v>0</v>
      </c>
      <c r="R252" s="87" t="e">
        <f t="shared" si="82"/>
        <v>#DIV/0!</v>
      </c>
      <c r="S252" s="87" t="e">
        <f t="shared" si="83"/>
        <v>#DIV/0!</v>
      </c>
      <c r="T252" s="21" t="e">
        <f t="shared" si="84"/>
        <v>#DIV/0!</v>
      </c>
      <c r="U252" s="87" t="e">
        <f t="shared" si="85"/>
        <v>#DIV/0!</v>
      </c>
      <c r="V252" s="22" t="e">
        <f t="shared" si="86"/>
        <v>#DIV/0!</v>
      </c>
    </row>
    <row r="253" spans="1:22" x14ac:dyDescent="0.25">
      <c r="A253" s="84" t="s">
        <v>633</v>
      </c>
      <c r="B253" s="85" t="s">
        <v>42</v>
      </c>
      <c r="C253" s="85" t="s">
        <v>342</v>
      </c>
      <c r="D253" s="85" t="s">
        <v>638</v>
      </c>
      <c r="E253" s="86" t="s">
        <v>586</v>
      </c>
      <c r="F253" s="85" t="s">
        <v>349</v>
      </c>
      <c r="G253" s="85" t="s">
        <v>282</v>
      </c>
      <c r="H253" s="85" t="s">
        <v>9</v>
      </c>
      <c r="I253" s="85" t="s">
        <v>258</v>
      </c>
      <c r="J253" s="86" t="s">
        <v>283</v>
      </c>
      <c r="K253" s="85" t="s">
        <v>386</v>
      </c>
      <c r="L253" s="87">
        <v>75.900000000000006</v>
      </c>
      <c r="M253" s="87">
        <f t="shared" si="78"/>
        <v>77.797499999999999</v>
      </c>
      <c r="N253" s="88">
        <f t="shared" si="79"/>
        <v>0</v>
      </c>
      <c r="O253" s="33">
        <f t="shared" si="80"/>
        <v>0</v>
      </c>
      <c r="P253" s="85" t="s">
        <v>109</v>
      </c>
      <c r="Q253" s="21">
        <f t="shared" si="81"/>
        <v>0</v>
      </c>
      <c r="R253" s="87" t="e">
        <f t="shared" si="82"/>
        <v>#DIV/0!</v>
      </c>
      <c r="S253" s="87" t="e">
        <f t="shared" si="83"/>
        <v>#DIV/0!</v>
      </c>
      <c r="T253" s="21" t="e">
        <f t="shared" si="84"/>
        <v>#DIV/0!</v>
      </c>
      <c r="U253" s="87" t="e">
        <f t="shared" si="85"/>
        <v>#DIV/0!</v>
      </c>
      <c r="V253" s="22" t="e">
        <f t="shared" si="86"/>
        <v>#DIV/0!</v>
      </c>
    </row>
    <row r="254" spans="1:22" x14ac:dyDescent="0.25">
      <c r="A254" s="84" t="s">
        <v>633</v>
      </c>
      <c r="B254" s="85" t="s">
        <v>42</v>
      </c>
      <c r="C254" s="85" t="s">
        <v>342</v>
      </c>
      <c r="D254" s="85" t="s">
        <v>639</v>
      </c>
      <c r="E254" s="86" t="s">
        <v>586</v>
      </c>
      <c r="F254" s="85" t="s">
        <v>349</v>
      </c>
      <c r="G254" s="85" t="s">
        <v>282</v>
      </c>
      <c r="H254" s="85" t="s">
        <v>9</v>
      </c>
      <c r="I254" s="85" t="s">
        <v>258</v>
      </c>
      <c r="J254" s="86" t="s">
        <v>283</v>
      </c>
      <c r="K254" s="85" t="s">
        <v>386</v>
      </c>
      <c r="L254" s="87">
        <v>53.3</v>
      </c>
      <c r="M254" s="87">
        <f t="shared" si="78"/>
        <v>54.632499999999993</v>
      </c>
      <c r="N254" s="88">
        <f t="shared" si="79"/>
        <v>0</v>
      </c>
      <c r="O254" s="33">
        <f t="shared" si="80"/>
        <v>0</v>
      </c>
      <c r="P254" s="85" t="s">
        <v>109</v>
      </c>
      <c r="Q254" s="21">
        <f t="shared" si="81"/>
        <v>0</v>
      </c>
      <c r="R254" s="87" t="e">
        <f t="shared" si="82"/>
        <v>#DIV/0!</v>
      </c>
      <c r="S254" s="87" t="e">
        <f t="shared" si="83"/>
        <v>#DIV/0!</v>
      </c>
      <c r="T254" s="21" t="e">
        <f t="shared" si="84"/>
        <v>#DIV/0!</v>
      </c>
      <c r="U254" s="87" t="e">
        <f t="shared" si="85"/>
        <v>#DIV/0!</v>
      </c>
      <c r="V254" s="22" t="e">
        <f t="shared" si="86"/>
        <v>#DIV/0!</v>
      </c>
    </row>
    <row r="255" spans="1:22" x14ac:dyDescent="0.25">
      <c r="A255" s="84" t="s">
        <v>633</v>
      </c>
      <c r="B255" s="85" t="s">
        <v>42</v>
      </c>
      <c r="C255" s="85" t="s">
        <v>342</v>
      </c>
      <c r="D255" s="85" t="s">
        <v>640</v>
      </c>
      <c r="E255" s="86" t="s">
        <v>586</v>
      </c>
      <c r="F255" s="85" t="s">
        <v>349</v>
      </c>
      <c r="G255" s="85" t="s">
        <v>282</v>
      </c>
      <c r="H255" s="85" t="s">
        <v>9</v>
      </c>
      <c r="I255" s="85" t="s">
        <v>258</v>
      </c>
      <c r="J255" s="86" t="s">
        <v>283</v>
      </c>
      <c r="K255" s="85" t="s">
        <v>386</v>
      </c>
      <c r="L255" s="87">
        <v>52.8</v>
      </c>
      <c r="M255" s="87">
        <f t="shared" si="78"/>
        <v>54.11999999999999</v>
      </c>
      <c r="N255" s="88">
        <f t="shared" si="79"/>
        <v>0</v>
      </c>
      <c r="O255" s="33">
        <f t="shared" si="80"/>
        <v>0</v>
      </c>
      <c r="P255" s="85" t="s">
        <v>109</v>
      </c>
      <c r="Q255" s="21">
        <f t="shared" si="81"/>
        <v>0</v>
      </c>
      <c r="R255" s="87" t="e">
        <f t="shared" si="82"/>
        <v>#DIV/0!</v>
      </c>
      <c r="S255" s="87" t="e">
        <f t="shared" si="83"/>
        <v>#DIV/0!</v>
      </c>
      <c r="T255" s="21" t="e">
        <f t="shared" si="84"/>
        <v>#DIV/0!</v>
      </c>
      <c r="U255" s="87" t="e">
        <f t="shared" si="85"/>
        <v>#DIV/0!</v>
      </c>
      <c r="V255" s="22" t="e">
        <f t="shared" si="86"/>
        <v>#DIV/0!</v>
      </c>
    </row>
    <row r="256" spans="1:22" x14ac:dyDescent="0.25">
      <c r="A256" s="84" t="s">
        <v>633</v>
      </c>
      <c r="B256" s="85" t="s">
        <v>42</v>
      </c>
      <c r="C256" s="85" t="s">
        <v>342</v>
      </c>
      <c r="D256" s="85" t="s">
        <v>641</v>
      </c>
      <c r="E256" s="86" t="s">
        <v>586</v>
      </c>
      <c r="F256" s="85" t="s">
        <v>349</v>
      </c>
      <c r="G256" s="85" t="s">
        <v>282</v>
      </c>
      <c r="H256" s="85" t="s">
        <v>9</v>
      </c>
      <c r="I256" s="85" t="s">
        <v>258</v>
      </c>
      <c r="J256" s="86" t="s">
        <v>283</v>
      </c>
      <c r="K256" s="85" t="s">
        <v>386</v>
      </c>
      <c r="L256" s="87">
        <v>52.8</v>
      </c>
      <c r="M256" s="87">
        <f t="shared" si="78"/>
        <v>54.11999999999999</v>
      </c>
      <c r="N256" s="88">
        <f t="shared" si="79"/>
        <v>0</v>
      </c>
      <c r="O256" s="33">
        <f t="shared" si="80"/>
        <v>0</v>
      </c>
      <c r="P256" s="85" t="s">
        <v>109</v>
      </c>
      <c r="Q256" s="21">
        <f t="shared" si="81"/>
        <v>0</v>
      </c>
      <c r="R256" s="87" t="e">
        <f t="shared" si="82"/>
        <v>#DIV/0!</v>
      </c>
      <c r="S256" s="87" t="e">
        <f t="shared" si="83"/>
        <v>#DIV/0!</v>
      </c>
      <c r="T256" s="21" t="e">
        <f t="shared" si="84"/>
        <v>#DIV/0!</v>
      </c>
      <c r="U256" s="87" t="e">
        <f t="shared" si="85"/>
        <v>#DIV/0!</v>
      </c>
      <c r="V256" s="22" t="e">
        <f t="shared" si="86"/>
        <v>#DIV/0!</v>
      </c>
    </row>
    <row r="257" spans="1:22" x14ac:dyDescent="0.25">
      <c r="A257" s="84" t="s">
        <v>633</v>
      </c>
      <c r="B257" s="85" t="s">
        <v>42</v>
      </c>
      <c r="C257" s="85" t="s">
        <v>342</v>
      </c>
      <c r="D257" s="85" t="s">
        <v>642</v>
      </c>
      <c r="E257" s="86" t="s">
        <v>586</v>
      </c>
      <c r="F257" s="85" t="s">
        <v>349</v>
      </c>
      <c r="G257" s="85" t="s">
        <v>282</v>
      </c>
      <c r="H257" s="85" t="s">
        <v>9</v>
      </c>
      <c r="I257" s="85" t="s">
        <v>258</v>
      </c>
      <c r="J257" s="86" t="s">
        <v>283</v>
      </c>
      <c r="K257" s="85" t="s">
        <v>386</v>
      </c>
      <c r="L257" s="87">
        <v>52.9</v>
      </c>
      <c r="M257" s="87">
        <f t="shared" si="78"/>
        <v>54.222499999999997</v>
      </c>
      <c r="N257" s="88">
        <f t="shared" si="79"/>
        <v>0</v>
      </c>
      <c r="O257" s="33">
        <f t="shared" si="80"/>
        <v>0</v>
      </c>
      <c r="P257" s="85" t="s">
        <v>109</v>
      </c>
      <c r="Q257" s="21">
        <f t="shared" si="81"/>
        <v>0</v>
      </c>
      <c r="R257" s="87" t="e">
        <f t="shared" si="82"/>
        <v>#DIV/0!</v>
      </c>
      <c r="S257" s="87" t="e">
        <f t="shared" si="83"/>
        <v>#DIV/0!</v>
      </c>
      <c r="T257" s="21" t="e">
        <f t="shared" si="84"/>
        <v>#DIV/0!</v>
      </c>
      <c r="U257" s="87" t="e">
        <f t="shared" si="85"/>
        <v>#DIV/0!</v>
      </c>
      <c r="V257" s="22" t="e">
        <f t="shared" si="86"/>
        <v>#DIV/0!</v>
      </c>
    </row>
    <row r="258" spans="1:22" x14ac:dyDescent="0.25">
      <c r="A258" s="84" t="s">
        <v>633</v>
      </c>
      <c r="B258" s="85" t="s">
        <v>42</v>
      </c>
      <c r="C258" s="85" t="s">
        <v>342</v>
      </c>
      <c r="D258" s="85" t="s">
        <v>643</v>
      </c>
      <c r="E258" s="86" t="s">
        <v>586</v>
      </c>
      <c r="F258" s="85" t="s">
        <v>349</v>
      </c>
      <c r="G258" s="85" t="s">
        <v>282</v>
      </c>
      <c r="H258" s="85" t="s">
        <v>9</v>
      </c>
      <c r="I258" s="85" t="s">
        <v>258</v>
      </c>
      <c r="J258" s="86" t="s">
        <v>283</v>
      </c>
      <c r="K258" s="85" t="s">
        <v>386</v>
      </c>
      <c r="L258" s="87">
        <v>73.7</v>
      </c>
      <c r="M258" s="87">
        <f t="shared" si="78"/>
        <v>75.54249999999999</v>
      </c>
      <c r="N258" s="88">
        <f t="shared" si="79"/>
        <v>0</v>
      </c>
      <c r="O258" s="33">
        <f t="shared" si="80"/>
        <v>0</v>
      </c>
      <c r="P258" s="85" t="s">
        <v>109</v>
      </c>
      <c r="Q258" s="21">
        <f t="shared" si="81"/>
        <v>0</v>
      </c>
      <c r="R258" s="87" t="e">
        <f t="shared" si="82"/>
        <v>#DIV/0!</v>
      </c>
      <c r="S258" s="87" t="e">
        <f t="shared" si="83"/>
        <v>#DIV/0!</v>
      </c>
      <c r="T258" s="21" t="e">
        <f t="shared" si="84"/>
        <v>#DIV/0!</v>
      </c>
      <c r="U258" s="87" t="e">
        <f t="shared" si="85"/>
        <v>#DIV/0!</v>
      </c>
      <c r="V258" s="22" t="e">
        <f t="shared" si="86"/>
        <v>#DIV/0!</v>
      </c>
    </row>
    <row r="259" spans="1:22" x14ac:dyDescent="0.25">
      <c r="A259" s="84" t="s">
        <v>633</v>
      </c>
      <c r="B259" s="85" t="s">
        <v>42</v>
      </c>
      <c r="C259" s="85" t="s">
        <v>342</v>
      </c>
      <c r="D259" s="85" t="s">
        <v>644</v>
      </c>
      <c r="E259" s="86" t="s">
        <v>586</v>
      </c>
      <c r="F259" s="85" t="s">
        <v>349</v>
      </c>
      <c r="G259" s="85" t="s">
        <v>282</v>
      </c>
      <c r="H259" s="85" t="s">
        <v>9</v>
      </c>
      <c r="I259" s="85" t="s">
        <v>258</v>
      </c>
      <c r="J259" s="86" t="s">
        <v>283</v>
      </c>
      <c r="K259" s="85" t="s">
        <v>386</v>
      </c>
      <c r="L259" s="87">
        <v>82.9</v>
      </c>
      <c r="M259" s="87">
        <f t="shared" si="78"/>
        <v>84.972499999999997</v>
      </c>
      <c r="N259" s="88">
        <f t="shared" si="79"/>
        <v>0</v>
      </c>
      <c r="O259" s="33">
        <f t="shared" si="80"/>
        <v>0</v>
      </c>
      <c r="P259" s="85" t="s">
        <v>109</v>
      </c>
      <c r="Q259" s="21">
        <f t="shared" si="81"/>
        <v>0</v>
      </c>
      <c r="R259" s="87" t="e">
        <f t="shared" si="82"/>
        <v>#DIV/0!</v>
      </c>
      <c r="S259" s="87" t="e">
        <f t="shared" si="83"/>
        <v>#DIV/0!</v>
      </c>
      <c r="T259" s="21" t="e">
        <f t="shared" si="84"/>
        <v>#DIV/0!</v>
      </c>
      <c r="U259" s="87" t="e">
        <f t="shared" si="85"/>
        <v>#DIV/0!</v>
      </c>
      <c r="V259" s="22" t="e">
        <f t="shared" si="86"/>
        <v>#DIV/0!</v>
      </c>
    </row>
    <row r="260" spans="1:22" x14ac:dyDescent="0.25">
      <c r="A260" s="84" t="s">
        <v>633</v>
      </c>
      <c r="B260" s="85" t="s">
        <v>42</v>
      </c>
      <c r="C260" s="85" t="s">
        <v>342</v>
      </c>
      <c r="D260" s="85" t="s">
        <v>645</v>
      </c>
      <c r="E260" s="86" t="s">
        <v>586</v>
      </c>
      <c r="F260" s="85" t="s">
        <v>349</v>
      </c>
      <c r="G260" s="85" t="s">
        <v>282</v>
      </c>
      <c r="H260" s="85" t="s">
        <v>9</v>
      </c>
      <c r="I260" s="85" t="s">
        <v>258</v>
      </c>
      <c r="J260" s="86" t="s">
        <v>283</v>
      </c>
      <c r="K260" s="85" t="s">
        <v>386</v>
      </c>
      <c r="L260" s="87">
        <v>67.5</v>
      </c>
      <c r="M260" s="87">
        <f t="shared" si="78"/>
        <v>69.1875</v>
      </c>
      <c r="N260" s="88">
        <f t="shared" si="79"/>
        <v>0</v>
      </c>
      <c r="O260" s="33">
        <f t="shared" si="80"/>
        <v>0</v>
      </c>
      <c r="P260" s="85" t="s">
        <v>109</v>
      </c>
      <c r="Q260" s="21">
        <f t="shared" si="81"/>
        <v>0</v>
      </c>
      <c r="R260" s="87" t="e">
        <f t="shared" si="82"/>
        <v>#DIV/0!</v>
      </c>
      <c r="S260" s="87" t="e">
        <f t="shared" si="83"/>
        <v>#DIV/0!</v>
      </c>
      <c r="T260" s="21" t="e">
        <f t="shared" si="84"/>
        <v>#DIV/0!</v>
      </c>
      <c r="U260" s="87" t="e">
        <f t="shared" si="85"/>
        <v>#DIV/0!</v>
      </c>
      <c r="V260" s="22" t="e">
        <f t="shared" si="86"/>
        <v>#DIV/0!</v>
      </c>
    </row>
    <row r="261" spans="1:22" x14ac:dyDescent="0.25">
      <c r="A261" s="84" t="s">
        <v>633</v>
      </c>
      <c r="B261" s="85" t="s">
        <v>42</v>
      </c>
      <c r="C261" s="85" t="s">
        <v>342</v>
      </c>
      <c r="D261" s="85" t="s">
        <v>646</v>
      </c>
      <c r="E261" s="86" t="s">
        <v>586</v>
      </c>
      <c r="F261" s="85" t="s">
        <v>349</v>
      </c>
      <c r="G261" s="85" t="s">
        <v>282</v>
      </c>
      <c r="H261" s="85" t="s">
        <v>9</v>
      </c>
      <c r="I261" s="85" t="s">
        <v>258</v>
      </c>
      <c r="J261" s="86" t="s">
        <v>283</v>
      </c>
      <c r="K261" s="85" t="s">
        <v>386</v>
      </c>
      <c r="L261" s="87">
        <v>52.6</v>
      </c>
      <c r="M261" s="87">
        <f t="shared" si="78"/>
        <v>53.914999999999999</v>
      </c>
      <c r="N261" s="88">
        <f t="shared" si="79"/>
        <v>0</v>
      </c>
      <c r="O261" s="33">
        <f t="shared" si="80"/>
        <v>0</v>
      </c>
      <c r="P261" s="85" t="s">
        <v>109</v>
      </c>
      <c r="Q261" s="21">
        <f t="shared" si="81"/>
        <v>0</v>
      </c>
      <c r="R261" s="87" t="e">
        <f t="shared" si="82"/>
        <v>#DIV/0!</v>
      </c>
      <c r="S261" s="87" t="e">
        <f t="shared" si="83"/>
        <v>#DIV/0!</v>
      </c>
      <c r="T261" s="21" t="e">
        <f t="shared" si="84"/>
        <v>#DIV/0!</v>
      </c>
      <c r="U261" s="87" t="e">
        <f t="shared" si="85"/>
        <v>#DIV/0!</v>
      </c>
      <c r="V261" s="22" t="e">
        <f t="shared" si="86"/>
        <v>#DIV/0!</v>
      </c>
    </row>
    <row r="262" spans="1:22" x14ac:dyDescent="0.25">
      <c r="A262" s="84" t="s">
        <v>633</v>
      </c>
      <c r="B262" s="85" t="s">
        <v>42</v>
      </c>
      <c r="C262" s="85" t="s">
        <v>342</v>
      </c>
      <c r="D262" s="85" t="s">
        <v>647</v>
      </c>
      <c r="E262" s="86" t="s">
        <v>586</v>
      </c>
      <c r="F262" s="85" t="s">
        <v>349</v>
      </c>
      <c r="G262" s="85" t="s">
        <v>282</v>
      </c>
      <c r="H262" s="85" t="s">
        <v>9</v>
      </c>
      <c r="I262" s="85" t="s">
        <v>258</v>
      </c>
      <c r="J262" s="86" t="s">
        <v>283</v>
      </c>
      <c r="K262" s="85" t="s">
        <v>386</v>
      </c>
      <c r="L262" s="87">
        <v>94.1</v>
      </c>
      <c r="M262" s="87">
        <f t="shared" si="78"/>
        <v>96.452499999999986</v>
      </c>
      <c r="N262" s="88">
        <f t="shared" si="79"/>
        <v>0</v>
      </c>
      <c r="O262" s="33">
        <f t="shared" si="80"/>
        <v>0</v>
      </c>
      <c r="P262" s="85" t="s">
        <v>109</v>
      </c>
      <c r="Q262" s="21">
        <f t="shared" si="81"/>
        <v>0</v>
      </c>
      <c r="R262" s="87" t="e">
        <f t="shared" si="82"/>
        <v>#DIV/0!</v>
      </c>
      <c r="S262" s="87" t="e">
        <f t="shared" si="83"/>
        <v>#DIV/0!</v>
      </c>
      <c r="T262" s="21" t="e">
        <f t="shared" si="84"/>
        <v>#DIV/0!</v>
      </c>
      <c r="U262" s="87" t="e">
        <f t="shared" si="85"/>
        <v>#DIV/0!</v>
      </c>
      <c r="V262" s="22" t="e">
        <f t="shared" si="86"/>
        <v>#DIV/0!</v>
      </c>
    </row>
    <row r="263" spans="1:22" x14ac:dyDescent="0.25">
      <c r="A263" s="84" t="s">
        <v>633</v>
      </c>
      <c r="B263" s="85" t="s">
        <v>42</v>
      </c>
      <c r="C263" s="85" t="s">
        <v>342</v>
      </c>
      <c r="D263" s="85" t="s">
        <v>648</v>
      </c>
      <c r="E263" s="86" t="s">
        <v>586</v>
      </c>
      <c r="F263" s="85" t="s">
        <v>349</v>
      </c>
      <c r="G263" s="85" t="s">
        <v>282</v>
      </c>
      <c r="H263" s="85" t="s">
        <v>9</v>
      </c>
      <c r="I263" s="85" t="s">
        <v>258</v>
      </c>
      <c r="J263" s="86" t="s">
        <v>283</v>
      </c>
      <c r="K263" s="85" t="s">
        <v>386</v>
      </c>
      <c r="L263" s="87">
        <v>55.3</v>
      </c>
      <c r="M263" s="87">
        <f t="shared" si="78"/>
        <v>56.68249999999999</v>
      </c>
      <c r="N263" s="88">
        <f t="shared" si="79"/>
        <v>0</v>
      </c>
      <c r="O263" s="33">
        <f t="shared" si="80"/>
        <v>0</v>
      </c>
      <c r="P263" s="85" t="s">
        <v>109</v>
      </c>
      <c r="Q263" s="21">
        <f t="shared" si="81"/>
        <v>0</v>
      </c>
      <c r="R263" s="87" t="e">
        <f t="shared" si="82"/>
        <v>#DIV/0!</v>
      </c>
      <c r="S263" s="87" t="e">
        <f t="shared" si="83"/>
        <v>#DIV/0!</v>
      </c>
      <c r="T263" s="21" t="e">
        <f t="shared" si="84"/>
        <v>#DIV/0!</v>
      </c>
      <c r="U263" s="87" t="e">
        <f t="shared" si="85"/>
        <v>#DIV/0!</v>
      </c>
      <c r="V263" s="22" t="e">
        <f t="shared" si="86"/>
        <v>#DIV/0!</v>
      </c>
    </row>
    <row r="264" spans="1:22" x14ac:dyDescent="0.25">
      <c r="A264" s="84" t="s">
        <v>633</v>
      </c>
      <c r="B264" s="85" t="s">
        <v>42</v>
      </c>
      <c r="C264" s="85" t="s">
        <v>342</v>
      </c>
      <c r="D264" s="85" t="s">
        <v>649</v>
      </c>
      <c r="E264" s="86" t="s">
        <v>586</v>
      </c>
      <c r="F264" s="85" t="s">
        <v>349</v>
      </c>
      <c r="G264" s="85" t="s">
        <v>282</v>
      </c>
      <c r="H264" s="85" t="s">
        <v>9</v>
      </c>
      <c r="I264" s="85" t="s">
        <v>258</v>
      </c>
      <c r="J264" s="86" t="s">
        <v>283</v>
      </c>
      <c r="K264" s="85" t="s">
        <v>386</v>
      </c>
      <c r="L264" s="87">
        <v>52.6</v>
      </c>
      <c r="M264" s="87">
        <f t="shared" si="78"/>
        <v>53.914999999999999</v>
      </c>
      <c r="N264" s="88">
        <f t="shared" si="79"/>
        <v>0</v>
      </c>
      <c r="O264" s="33">
        <f t="shared" si="80"/>
        <v>0</v>
      </c>
      <c r="P264" s="85" t="s">
        <v>109</v>
      </c>
      <c r="Q264" s="21">
        <f t="shared" si="81"/>
        <v>0</v>
      </c>
      <c r="R264" s="87" t="e">
        <f t="shared" si="82"/>
        <v>#DIV/0!</v>
      </c>
      <c r="S264" s="87" t="e">
        <f t="shared" si="83"/>
        <v>#DIV/0!</v>
      </c>
      <c r="T264" s="21" t="e">
        <f t="shared" si="84"/>
        <v>#DIV/0!</v>
      </c>
      <c r="U264" s="87" t="e">
        <f t="shared" si="85"/>
        <v>#DIV/0!</v>
      </c>
      <c r="V264" s="22" t="e">
        <f t="shared" si="86"/>
        <v>#DIV/0!</v>
      </c>
    </row>
    <row r="265" spans="1:22" x14ac:dyDescent="0.25">
      <c r="A265" s="84" t="s">
        <v>633</v>
      </c>
      <c r="B265" s="85" t="s">
        <v>42</v>
      </c>
      <c r="C265" s="85" t="s">
        <v>342</v>
      </c>
      <c r="D265" s="85" t="s">
        <v>650</v>
      </c>
      <c r="E265" s="86" t="s">
        <v>586</v>
      </c>
      <c r="F265" s="85" t="s">
        <v>349</v>
      </c>
      <c r="G265" s="85" t="s">
        <v>282</v>
      </c>
      <c r="H265" s="85" t="s">
        <v>9</v>
      </c>
      <c r="I265" s="85" t="s">
        <v>258</v>
      </c>
      <c r="J265" s="86" t="s">
        <v>283</v>
      </c>
      <c r="K265" s="85" t="s">
        <v>386</v>
      </c>
      <c r="L265" s="87">
        <v>53.2</v>
      </c>
      <c r="M265" s="87">
        <f t="shared" si="78"/>
        <v>54.53</v>
      </c>
      <c r="N265" s="88">
        <f t="shared" si="79"/>
        <v>0</v>
      </c>
      <c r="O265" s="33">
        <f t="shared" si="80"/>
        <v>0</v>
      </c>
      <c r="P265" s="85" t="s">
        <v>109</v>
      </c>
      <c r="Q265" s="21">
        <f t="shared" si="81"/>
        <v>0</v>
      </c>
      <c r="R265" s="87" t="e">
        <f t="shared" si="82"/>
        <v>#DIV/0!</v>
      </c>
      <c r="S265" s="87" t="e">
        <f t="shared" si="83"/>
        <v>#DIV/0!</v>
      </c>
      <c r="T265" s="21" t="e">
        <f t="shared" si="84"/>
        <v>#DIV/0!</v>
      </c>
      <c r="U265" s="87" t="e">
        <f t="shared" si="85"/>
        <v>#DIV/0!</v>
      </c>
      <c r="V265" s="22" t="e">
        <f t="shared" si="86"/>
        <v>#DIV/0!</v>
      </c>
    </row>
    <row r="266" spans="1:22" x14ac:dyDescent="0.25">
      <c r="A266" s="84" t="s">
        <v>633</v>
      </c>
      <c r="B266" s="85" t="s">
        <v>42</v>
      </c>
      <c r="C266" s="85" t="s">
        <v>342</v>
      </c>
      <c r="D266" s="85" t="s">
        <v>651</v>
      </c>
      <c r="E266" s="86" t="s">
        <v>586</v>
      </c>
      <c r="F266" s="85" t="s">
        <v>349</v>
      </c>
      <c r="G266" s="85" t="s">
        <v>282</v>
      </c>
      <c r="H266" s="85" t="s">
        <v>9</v>
      </c>
      <c r="I266" s="85" t="s">
        <v>258</v>
      </c>
      <c r="J266" s="86" t="s">
        <v>283</v>
      </c>
      <c r="K266" s="85" t="s">
        <v>386</v>
      </c>
      <c r="L266" s="87">
        <v>54.7</v>
      </c>
      <c r="M266" s="87">
        <f t="shared" si="78"/>
        <v>56.067499999999995</v>
      </c>
      <c r="N266" s="88">
        <f t="shared" si="79"/>
        <v>0</v>
      </c>
      <c r="O266" s="33">
        <f t="shared" si="80"/>
        <v>0</v>
      </c>
      <c r="P266" s="85" t="s">
        <v>109</v>
      </c>
      <c r="Q266" s="21">
        <f t="shared" si="81"/>
        <v>0</v>
      </c>
      <c r="R266" s="87" t="e">
        <f t="shared" si="82"/>
        <v>#DIV/0!</v>
      </c>
      <c r="S266" s="87" t="e">
        <f t="shared" si="83"/>
        <v>#DIV/0!</v>
      </c>
      <c r="T266" s="21" t="e">
        <f t="shared" si="84"/>
        <v>#DIV/0!</v>
      </c>
      <c r="U266" s="87" t="e">
        <f t="shared" si="85"/>
        <v>#DIV/0!</v>
      </c>
      <c r="V266" s="22" t="e">
        <f t="shared" si="86"/>
        <v>#DIV/0!</v>
      </c>
    </row>
    <row r="267" spans="1:22" x14ac:dyDescent="0.25">
      <c r="A267" s="84" t="s">
        <v>633</v>
      </c>
      <c r="B267" s="85" t="s">
        <v>42</v>
      </c>
      <c r="C267" s="85" t="s">
        <v>342</v>
      </c>
      <c r="D267" s="85" t="s">
        <v>652</v>
      </c>
      <c r="E267" s="86" t="s">
        <v>586</v>
      </c>
      <c r="F267" s="85" t="s">
        <v>349</v>
      </c>
      <c r="G267" s="85" t="s">
        <v>282</v>
      </c>
      <c r="H267" s="85" t="s">
        <v>9</v>
      </c>
      <c r="I267" s="85" t="s">
        <v>258</v>
      </c>
      <c r="J267" s="86" t="s">
        <v>283</v>
      </c>
      <c r="K267" s="85" t="s">
        <v>386</v>
      </c>
      <c r="L267" s="87">
        <v>46.2</v>
      </c>
      <c r="M267" s="87">
        <f t="shared" si="78"/>
        <v>47.354999999999997</v>
      </c>
      <c r="N267" s="88">
        <f t="shared" si="79"/>
        <v>0</v>
      </c>
      <c r="O267" s="33">
        <f t="shared" si="80"/>
        <v>0</v>
      </c>
      <c r="P267" s="85" t="s">
        <v>109</v>
      </c>
      <c r="Q267" s="21">
        <f t="shared" si="81"/>
        <v>0</v>
      </c>
      <c r="R267" s="87" t="e">
        <f t="shared" si="82"/>
        <v>#DIV/0!</v>
      </c>
      <c r="S267" s="87" t="e">
        <f t="shared" si="83"/>
        <v>#DIV/0!</v>
      </c>
      <c r="T267" s="21" t="e">
        <f t="shared" si="84"/>
        <v>#DIV/0!</v>
      </c>
      <c r="U267" s="87" t="e">
        <f t="shared" si="85"/>
        <v>#DIV/0!</v>
      </c>
      <c r="V267" s="22" t="e">
        <f t="shared" si="86"/>
        <v>#DIV/0!</v>
      </c>
    </row>
    <row r="268" spans="1:22" x14ac:dyDescent="0.25">
      <c r="A268" s="84" t="s">
        <v>633</v>
      </c>
      <c r="B268" s="85" t="s">
        <v>42</v>
      </c>
      <c r="C268" s="85" t="s">
        <v>342</v>
      </c>
      <c r="D268" s="85" t="s">
        <v>653</v>
      </c>
      <c r="E268" s="86" t="s">
        <v>586</v>
      </c>
      <c r="F268" s="85" t="s">
        <v>349</v>
      </c>
      <c r="G268" s="85" t="s">
        <v>282</v>
      </c>
      <c r="H268" s="85" t="s">
        <v>9</v>
      </c>
      <c r="I268" s="85" t="s">
        <v>258</v>
      </c>
      <c r="J268" s="86" t="s">
        <v>283</v>
      </c>
      <c r="K268" s="85" t="s">
        <v>386</v>
      </c>
      <c r="L268" s="87">
        <v>54.1</v>
      </c>
      <c r="M268" s="87">
        <f t="shared" si="78"/>
        <v>55.452499999999993</v>
      </c>
      <c r="N268" s="88">
        <f t="shared" si="79"/>
        <v>0</v>
      </c>
      <c r="O268" s="33">
        <f t="shared" si="80"/>
        <v>0</v>
      </c>
      <c r="P268" s="85" t="s">
        <v>109</v>
      </c>
      <c r="Q268" s="21">
        <f t="shared" si="81"/>
        <v>0</v>
      </c>
      <c r="R268" s="87" t="e">
        <f t="shared" si="82"/>
        <v>#DIV/0!</v>
      </c>
      <c r="S268" s="87" t="e">
        <f t="shared" si="83"/>
        <v>#DIV/0!</v>
      </c>
      <c r="T268" s="21" t="e">
        <f t="shared" si="84"/>
        <v>#DIV/0!</v>
      </c>
      <c r="U268" s="87" t="e">
        <f t="shared" si="85"/>
        <v>#DIV/0!</v>
      </c>
      <c r="V268" s="22" t="e">
        <f t="shared" si="86"/>
        <v>#DIV/0!</v>
      </c>
    </row>
    <row r="269" spans="1:22" x14ac:dyDescent="0.25">
      <c r="A269" s="84" t="s">
        <v>633</v>
      </c>
      <c r="B269" s="85" t="s">
        <v>42</v>
      </c>
      <c r="C269" s="85" t="s">
        <v>342</v>
      </c>
      <c r="D269" s="85" t="s">
        <v>654</v>
      </c>
      <c r="E269" s="86" t="s">
        <v>655</v>
      </c>
      <c r="F269" s="85" t="s">
        <v>349</v>
      </c>
      <c r="G269" s="85" t="s">
        <v>286</v>
      </c>
      <c r="H269" s="85" t="s">
        <v>9</v>
      </c>
      <c r="I269" s="85" t="s">
        <v>258</v>
      </c>
      <c r="J269" s="86" t="s">
        <v>287</v>
      </c>
      <c r="K269" s="85" t="s">
        <v>386</v>
      </c>
      <c r="L269" s="87">
        <v>96.5</v>
      </c>
      <c r="M269" s="87">
        <f t="shared" si="78"/>
        <v>98.912499999999994</v>
      </c>
      <c r="N269" s="88">
        <f>prodnorm26</f>
        <v>0</v>
      </c>
      <c r="O269" s="33">
        <f>dagwerk26</f>
        <v>0</v>
      </c>
      <c r="P269" s="85" t="s">
        <v>109</v>
      </c>
      <c r="Q269" s="21">
        <f>uurtarief26</f>
        <v>0</v>
      </c>
      <c r="R269" s="87" t="e">
        <f t="shared" si="82"/>
        <v>#DIV/0!</v>
      </c>
      <c r="S269" s="87" t="e">
        <f t="shared" si="83"/>
        <v>#DIV/0!</v>
      </c>
      <c r="T269" s="21" t="e">
        <f t="shared" si="84"/>
        <v>#DIV/0!</v>
      </c>
      <c r="U269" s="87" t="e">
        <f t="shared" si="85"/>
        <v>#DIV/0!</v>
      </c>
      <c r="V269" s="22" t="e">
        <f t="shared" si="86"/>
        <v>#DIV/0!</v>
      </c>
    </row>
    <row r="270" spans="1:22" x14ac:dyDescent="0.25">
      <c r="A270" s="84" t="s">
        <v>633</v>
      </c>
      <c r="B270" s="85" t="s">
        <v>42</v>
      </c>
      <c r="C270" s="85" t="s">
        <v>342</v>
      </c>
      <c r="D270" s="85" t="s">
        <v>656</v>
      </c>
      <c r="E270" s="86" t="s">
        <v>586</v>
      </c>
      <c r="F270" s="85" t="s">
        <v>349</v>
      </c>
      <c r="G270" s="85" t="s">
        <v>282</v>
      </c>
      <c r="H270" s="85" t="s">
        <v>9</v>
      </c>
      <c r="I270" s="85" t="s">
        <v>258</v>
      </c>
      <c r="J270" s="86" t="s">
        <v>283</v>
      </c>
      <c r="K270" s="85" t="s">
        <v>386</v>
      </c>
      <c r="L270" s="87">
        <v>79.099999999999994</v>
      </c>
      <c r="M270" s="87">
        <f t="shared" si="78"/>
        <v>81.077499999999986</v>
      </c>
      <c r="N270" s="88">
        <f>prodnorm24</f>
        <v>0</v>
      </c>
      <c r="O270" s="33">
        <f>dagwerk24</f>
        <v>0</v>
      </c>
      <c r="P270" s="85" t="s">
        <v>109</v>
      </c>
      <c r="Q270" s="21">
        <f>uurtarief24</f>
        <v>0</v>
      </c>
      <c r="R270" s="87" t="e">
        <f t="shared" si="82"/>
        <v>#DIV/0!</v>
      </c>
      <c r="S270" s="87" t="e">
        <f t="shared" si="83"/>
        <v>#DIV/0!</v>
      </c>
      <c r="T270" s="21" t="e">
        <f t="shared" si="84"/>
        <v>#DIV/0!</v>
      </c>
      <c r="U270" s="87" t="e">
        <f t="shared" si="85"/>
        <v>#DIV/0!</v>
      </c>
      <c r="V270" s="22" t="e">
        <f t="shared" si="86"/>
        <v>#DIV/0!</v>
      </c>
    </row>
    <row r="271" spans="1:22" x14ac:dyDescent="0.25">
      <c r="A271" s="84" t="s">
        <v>633</v>
      </c>
      <c r="B271" s="85" t="s">
        <v>42</v>
      </c>
      <c r="C271" s="85" t="s">
        <v>342</v>
      </c>
      <c r="D271" s="85" t="s">
        <v>657</v>
      </c>
      <c r="E271" s="86" t="s">
        <v>586</v>
      </c>
      <c r="F271" s="85" t="s">
        <v>349</v>
      </c>
      <c r="G271" s="85" t="s">
        <v>282</v>
      </c>
      <c r="H271" s="85" t="s">
        <v>9</v>
      </c>
      <c r="I271" s="85" t="s">
        <v>258</v>
      </c>
      <c r="J271" s="86" t="s">
        <v>283</v>
      </c>
      <c r="K271" s="85" t="s">
        <v>386</v>
      </c>
      <c r="L271" s="87">
        <v>52.7</v>
      </c>
      <c r="M271" s="87">
        <f t="shared" si="78"/>
        <v>54.017499999999998</v>
      </c>
      <c r="N271" s="88">
        <f>prodnorm24</f>
        <v>0</v>
      </c>
      <c r="O271" s="33">
        <f>dagwerk24</f>
        <v>0</v>
      </c>
      <c r="P271" s="85" t="s">
        <v>109</v>
      </c>
      <c r="Q271" s="21">
        <f>uurtarief24</f>
        <v>0</v>
      </c>
      <c r="R271" s="87" t="e">
        <f t="shared" si="82"/>
        <v>#DIV/0!</v>
      </c>
      <c r="S271" s="87" t="e">
        <f t="shared" si="83"/>
        <v>#DIV/0!</v>
      </c>
      <c r="T271" s="21" t="e">
        <f t="shared" si="84"/>
        <v>#DIV/0!</v>
      </c>
      <c r="U271" s="87" t="e">
        <f t="shared" si="85"/>
        <v>#DIV/0!</v>
      </c>
      <c r="V271" s="22" t="e">
        <f t="shared" si="86"/>
        <v>#DIV/0!</v>
      </c>
    </row>
    <row r="272" spans="1:22" x14ac:dyDescent="0.25">
      <c r="A272" s="84" t="s">
        <v>633</v>
      </c>
      <c r="B272" s="85" t="s">
        <v>42</v>
      </c>
      <c r="C272" s="85" t="s">
        <v>342</v>
      </c>
      <c r="D272" s="85" t="s">
        <v>658</v>
      </c>
      <c r="E272" s="86" t="s">
        <v>586</v>
      </c>
      <c r="F272" s="85" t="s">
        <v>353</v>
      </c>
      <c r="G272" s="85" t="s">
        <v>284</v>
      </c>
      <c r="H272" s="85" t="s">
        <v>9</v>
      </c>
      <c r="I272" s="85" t="s">
        <v>258</v>
      </c>
      <c r="J272" s="86" t="s">
        <v>285</v>
      </c>
      <c r="K272" s="85" t="s">
        <v>386</v>
      </c>
      <c r="L272" s="87">
        <v>72.099999999999994</v>
      </c>
      <c r="M272" s="87">
        <f t="shared" si="78"/>
        <v>73.902499999999989</v>
      </c>
      <c r="N272" s="88">
        <f>prodnorm25</f>
        <v>0</v>
      </c>
      <c r="O272" s="33">
        <f>dagwerk25</f>
        <v>0</v>
      </c>
      <c r="P272" s="85" t="s">
        <v>109</v>
      </c>
      <c r="Q272" s="21">
        <f>uurtarief25</f>
        <v>0</v>
      </c>
      <c r="R272" s="87" t="e">
        <f t="shared" si="82"/>
        <v>#DIV/0!</v>
      </c>
      <c r="S272" s="87" t="e">
        <f t="shared" si="83"/>
        <v>#DIV/0!</v>
      </c>
      <c r="T272" s="21" t="e">
        <f t="shared" si="84"/>
        <v>#DIV/0!</v>
      </c>
      <c r="U272" s="87" t="e">
        <f t="shared" si="85"/>
        <v>#DIV/0!</v>
      </c>
      <c r="V272" s="22" t="e">
        <f t="shared" si="86"/>
        <v>#DIV/0!</v>
      </c>
    </row>
    <row r="273" spans="1:22" x14ac:dyDescent="0.25">
      <c r="A273" s="84" t="s">
        <v>633</v>
      </c>
      <c r="B273" s="85" t="s">
        <v>42</v>
      </c>
      <c r="C273" s="85" t="s">
        <v>342</v>
      </c>
      <c r="D273" s="85" t="s">
        <v>659</v>
      </c>
      <c r="E273" s="86" t="s">
        <v>586</v>
      </c>
      <c r="F273" s="85" t="s">
        <v>349</v>
      </c>
      <c r="G273" s="85" t="s">
        <v>282</v>
      </c>
      <c r="H273" s="85" t="s">
        <v>9</v>
      </c>
      <c r="I273" s="85" t="s">
        <v>258</v>
      </c>
      <c r="J273" s="86" t="s">
        <v>283</v>
      </c>
      <c r="K273" s="85" t="s">
        <v>386</v>
      </c>
      <c r="L273" s="87">
        <v>156.6</v>
      </c>
      <c r="M273" s="87">
        <f t="shared" si="78"/>
        <v>160.51499999999999</v>
      </c>
      <c r="N273" s="88">
        <f>prodnorm24</f>
        <v>0</v>
      </c>
      <c r="O273" s="33">
        <f>dagwerk24</f>
        <v>0</v>
      </c>
      <c r="P273" s="85" t="s">
        <v>109</v>
      </c>
      <c r="Q273" s="21">
        <f>uurtarief24</f>
        <v>0</v>
      </c>
      <c r="R273" s="87" t="e">
        <f t="shared" si="82"/>
        <v>#DIV/0!</v>
      </c>
      <c r="S273" s="87" t="e">
        <f t="shared" si="83"/>
        <v>#DIV/0!</v>
      </c>
      <c r="T273" s="21" t="e">
        <f t="shared" si="84"/>
        <v>#DIV/0!</v>
      </c>
      <c r="U273" s="87" t="e">
        <f t="shared" si="85"/>
        <v>#DIV/0!</v>
      </c>
      <c r="V273" s="22" t="e">
        <f t="shared" si="86"/>
        <v>#DIV/0!</v>
      </c>
    </row>
    <row r="274" spans="1:22" x14ac:dyDescent="0.25">
      <c r="A274" s="84" t="s">
        <v>633</v>
      </c>
      <c r="B274" s="85" t="s">
        <v>42</v>
      </c>
      <c r="C274" s="85" t="s">
        <v>342</v>
      </c>
      <c r="D274" s="85" t="s">
        <v>660</v>
      </c>
      <c r="E274" s="86" t="s">
        <v>586</v>
      </c>
      <c r="F274" s="85" t="s">
        <v>349</v>
      </c>
      <c r="G274" s="85" t="s">
        <v>282</v>
      </c>
      <c r="H274" s="85" t="s">
        <v>9</v>
      </c>
      <c r="I274" s="85" t="s">
        <v>258</v>
      </c>
      <c r="J274" s="86" t="s">
        <v>283</v>
      </c>
      <c r="K274" s="85" t="s">
        <v>386</v>
      </c>
      <c r="L274" s="87">
        <v>62.8</v>
      </c>
      <c r="M274" s="87">
        <f t="shared" si="78"/>
        <v>64.36999999999999</v>
      </c>
      <c r="N274" s="88">
        <f>prodnorm24</f>
        <v>0</v>
      </c>
      <c r="O274" s="33">
        <f>dagwerk24</f>
        <v>0</v>
      </c>
      <c r="P274" s="85" t="s">
        <v>109</v>
      </c>
      <c r="Q274" s="21">
        <f>uurtarief24</f>
        <v>0</v>
      </c>
      <c r="R274" s="87" t="e">
        <f t="shared" si="82"/>
        <v>#DIV/0!</v>
      </c>
      <c r="S274" s="87" t="e">
        <f t="shared" si="83"/>
        <v>#DIV/0!</v>
      </c>
      <c r="T274" s="21" t="e">
        <f t="shared" si="84"/>
        <v>#DIV/0!</v>
      </c>
      <c r="U274" s="87" t="e">
        <f t="shared" si="85"/>
        <v>#DIV/0!</v>
      </c>
      <c r="V274" s="22" t="e">
        <f t="shared" si="86"/>
        <v>#DIV/0!</v>
      </c>
    </row>
    <row r="275" spans="1:22" x14ac:dyDescent="0.25">
      <c r="A275" s="84" t="s">
        <v>633</v>
      </c>
      <c r="B275" s="85" t="s">
        <v>42</v>
      </c>
      <c r="C275" s="85" t="s">
        <v>342</v>
      </c>
      <c r="D275" s="85" t="s">
        <v>661</v>
      </c>
      <c r="E275" s="86" t="s">
        <v>586</v>
      </c>
      <c r="F275" s="85" t="s">
        <v>349</v>
      </c>
      <c r="G275" s="85" t="s">
        <v>282</v>
      </c>
      <c r="H275" s="85" t="s">
        <v>9</v>
      </c>
      <c r="I275" s="85" t="s">
        <v>258</v>
      </c>
      <c r="J275" s="86" t="s">
        <v>283</v>
      </c>
      <c r="K275" s="85" t="s">
        <v>386</v>
      </c>
      <c r="L275" s="87">
        <v>61.8</v>
      </c>
      <c r="M275" s="87">
        <f t="shared" si="78"/>
        <v>63.344999999999992</v>
      </c>
      <c r="N275" s="88">
        <f>prodnorm24</f>
        <v>0</v>
      </c>
      <c r="O275" s="33">
        <f>dagwerk24</f>
        <v>0</v>
      </c>
      <c r="P275" s="85" t="s">
        <v>109</v>
      </c>
      <c r="Q275" s="21">
        <f>uurtarief24</f>
        <v>0</v>
      </c>
      <c r="R275" s="87" t="e">
        <f t="shared" si="82"/>
        <v>#DIV/0!</v>
      </c>
      <c r="S275" s="87" t="e">
        <f t="shared" si="83"/>
        <v>#DIV/0!</v>
      </c>
      <c r="T275" s="21" t="e">
        <f t="shared" si="84"/>
        <v>#DIV/0!</v>
      </c>
      <c r="U275" s="87" t="e">
        <f t="shared" si="85"/>
        <v>#DIV/0!</v>
      </c>
      <c r="V275" s="22" t="e">
        <f t="shared" si="86"/>
        <v>#DIV/0!</v>
      </c>
    </row>
    <row r="276" spans="1:22" x14ac:dyDescent="0.25">
      <c r="A276" s="84" t="s">
        <v>633</v>
      </c>
      <c r="B276" s="85" t="s">
        <v>42</v>
      </c>
      <c r="C276" s="85" t="s">
        <v>342</v>
      </c>
      <c r="D276" s="85" t="s">
        <v>662</v>
      </c>
      <c r="E276" s="86" t="s">
        <v>663</v>
      </c>
      <c r="F276" s="85" t="s">
        <v>349</v>
      </c>
      <c r="G276" s="85" t="s">
        <v>294</v>
      </c>
      <c r="H276" s="85" t="s">
        <v>9</v>
      </c>
      <c r="I276" s="85" t="s">
        <v>258</v>
      </c>
      <c r="J276" s="86" t="s">
        <v>295</v>
      </c>
      <c r="K276" s="85" t="s">
        <v>386</v>
      </c>
      <c r="L276" s="87">
        <v>148.19999999999999</v>
      </c>
      <c r="M276" s="87">
        <f t="shared" si="78"/>
        <v>151.90499999999997</v>
      </c>
      <c r="N276" s="88">
        <f>prodnorm32</f>
        <v>0</v>
      </c>
      <c r="O276" s="33">
        <f>dagwerk32</f>
        <v>0</v>
      </c>
      <c r="P276" s="85" t="s">
        <v>109</v>
      </c>
      <c r="Q276" s="21">
        <f>uurtarief32</f>
        <v>0</v>
      </c>
      <c r="R276" s="87" t="e">
        <f t="shared" si="82"/>
        <v>#DIV/0!</v>
      </c>
      <c r="S276" s="87" t="e">
        <f t="shared" si="83"/>
        <v>#DIV/0!</v>
      </c>
      <c r="T276" s="21" t="e">
        <f t="shared" si="84"/>
        <v>#DIV/0!</v>
      </c>
      <c r="U276" s="87" t="e">
        <f t="shared" si="85"/>
        <v>#DIV/0!</v>
      </c>
      <c r="V276" s="22" t="e">
        <f t="shared" si="86"/>
        <v>#DIV/0!</v>
      </c>
    </row>
    <row r="277" spans="1:22" x14ac:dyDescent="0.25">
      <c r="A277" s="84" t="s">
        <v>633</v>
      </c>
      <c r="B277" s="85" t="s">
        <v>42</v>
      </c>
      <c r="C277" s="85" t="s">
        <v>342</v>
      </c>
      <c r="D277" s="85" t="s">
        <v>664</v>
      </c>
      <c r="E277" s="86" t="s">
        <v>665</v>
      </c>
      <c r="F277" s="85" t="s">
        <v>666</v>
      </c>
      <c r="G277" s="85" t="s">
        <v>304</v>
      </c>
      <c r="H277" s="85" t="s">
        <v>9</v>
      </c>
      <c r="I277" s="85" t="s">
        <v>258</v>
      </c>
      <c r="J277" s="86" t="s">
        <v>305</v>
      </c>
      <c r="K277" s="85" t="s">
        <v>386</v>
      </c>
      <c r="L277" s="87">
        <v>114</v>
      </c>
      <c r="M277" s="87">
        <f t="shared" si="78"/>
        <v>116.85</v>
      </c>
      <c r="N277" s="88">
        <f>prodnorm39</f>
        <v>0</v>
      </c>
      <c r="O277" s="33">
        <f>dagwerk39</f>
        <v>0</v>
      </c>
      <c r="P277" s="85" t="s">
        <v>109</v>
      </c>
      <c r="Q277" s="21">
        <f>uurtarief39</f>
        <v>0</v>
      </c>
      <c r="R277" s="87" t="e">
        <f t="shared" si="82"/>
        <v>#DIV/0!</v>
      </c>
      <c r="S277" s="87" t="e">
        <f t="shared" si="83"/>
        <v>#DIV/0!</v>
      </c>
      <c r="T277" s="21" t="e">
        <f t="shared" si="84"/>
        <v>#DIV/0!</v>
      </c>
      <c r="U277" s="87" t="e">
        <f t="shared" si="85"/>
        <v>#DIV/0!</v>
      </c>
      <c r="V277" s="22" t="e">
        <f t="shared" si="86"/>
        <v>#DIV/0!</v>
      </c>
    </row>
    <row r="278" spans="1:22" x14ac:dyDescent="0.25">
      <c r="A278" s="84" t="s">
        <v>633</v>
      </c>
      <c r="B278" s="85" t="s">
        <v>42</v>
      </c>
      <c r="C278" s="85" t="s">
        <v>342</v>
      </c>
      <c r="D278" s="85" t="s">
        <v>667</v>
      </c>
      <c r="E278" s="86" t="s">
        <v>586</v>
      </c>
      <c r="F278" s="85" t="s">
        <v>349</v>
      </c>
      <c r="G278" s="85" t="s">
        <v>282</v>
      </c>
      <c r="H278" s="85" t="s">
        <v>9</v>
      </c>
      <c r="I278" s="85" t="s">
        <v>258</v>
      </c>
      <c r="J278" s="86" t="s">
        <v>283</v>
      </c>
      <c r="K278" s="85" t="s">
        <v>386</v>
      </c>
      <c r="L278" s="87">
        <v>81.599999999999994</v>
      </c>
      <c r="M278" s="87">
        <f t="shared" si="78"/>
        <v>83.639999999999986</v>
      </c>
      <c r="N278" s="88">
        <f>prodnorm24</f>
        <v>0</v>
      </c>
      <c r="O278" s="33">
        <f>dagwerk24</f>
        <v>0</v>
      </c>
      <c r="P278" s="85" t="s">
        <v>109</v>
      </c>
      <c r="Q278" s="21">
        <f>uurtarief24</f>
        <v>0</v>
      </c>
      <c r="R278" s="87" t="e">
        <f t="shared" si="82"/>
        <v>#DIV/0!</v>
      </c>
      <c r="S278" s="87" t="e">
        <f t="shared" si="83"/>
        <v>#DIV/0!</v>
      </c>
      <c r="T278" s="21" t="e">
        <f t="shared" si="84"/>
        <v>#DIV/0!</v>
      </c>
      <c r="U278" s="87" t="e">
        <f t="shared" si="85"/>
        <v>#DIV/0!</v>
      </c>
      <c r="V278" s="22" t="e">
        <f t="shared" si="86"/>
        <v>#DIV/0!</v>
      </c>
    </row>
    <row r="279" spans="1:22" x14ac:dyDescent="0.25">
      <c r="A279" s="84" t="s">
        <v>633</v>
      </c>
      <c r="B279" s="85" t="s">
        <v>42</v>
      </c>
      <c r="C279" s="85" t="s">
        <v>342</v>
      </c>
      <c r="D279" s="85" t="s">
        <v>668</v>
      </c>
      <c r="E279" s="86" t="s">
        <v>669</v>
      </c>
      <c r="F279" s="85" t="s">
        <v>670</v>
      </c>
      <c r="G279" s="85" t="s">
        <v>324</v>
      </c>
      <c r="H279" s="85" t="s">
        <v>24</v>
      </c>
      <c r="I279" s="85" t="s">
        <v>325</v>
      </c>
      <c r="J279" s="86" t="s">
        <v>326</v>
      </c>
      <c r="K279" s="85" t="s">
        <v>346</v>
      </c>
      <c r="L279" s="87">
        <v>512.70000000000005</v>
      </c>
      <c r="M279" s="87">
        <f t="shared" si="78"/>
        <v>5.1270000000000007</v>
      </c>
      <c r="N279" s="88">
        <f>prodnorm4</f>
        <v>0</v>
      </c>
      <c r="O279" s="33">
        <f>dagwerk4</f>
        <v>0</v>
      </c>
      <c r="P279" s="85" t="s">
        <v>109</v>
      </c>
      <c r="Q279" s="21">
        <f>uurtarief4</f>
        <v>0</v>
      </c>
      <c r="R279" s="87" t="e">
        <f t="shared" si="82"/>
        <v>#DIV/0!</v>
      </c>
      <c r="S279" s="87" t="e">
        <f t="shared" si="83"/>
        <v>#DIV/0!</v>
      </c>
      <c r="T279" s="21" t="e">
        <f t="shared" si="84"/>
        <v>#DIV/0!</v>
      </c>
      <c r="U279" s="87" t="e">
        <f t="shared" si="85"/>
        <v>#DIV/0!</v>
      </c>
      <c r="V279" s="22" t="e">
        <f t="shared" si="86"/>
        <v>#DIV/0!</v>
      </c>
    </row>
    <row r="280" spans="1:22" ht="23" x14ac:dyDescent="0.25">
      <c r="A280" s="84" t="s">
        <v>633</v>
      </c>
      <c r="B280" s="85" t="s">
        <v>42</v>
      </c>
      <c r="C280" s="85" t="s">
        <v>342</v>
      </c>
      <c r="D280" s="85" t="s">
        <v>668</v>
      </c>
      <c r="E280" s="86" t="s">
        <v>669</v>
      </c>
      <c r="F280" s="85" t="s">
        <v>670</v>
      </c>
      <c r="G280" s="85" t="s">
        <v>270</v>
      </c>
      <c r="H280" s="85" t="s">
        <v>14</v>
      </c>
      <c r="I280" s="85" t="s">
        <v>258</v>
      </c>
      <c r="J280" s="86" t="s">
        <v>271</v>
      </c>
      <c r="K280" s="85" t="s">
        <v>346</v>
      </c>
      <c r="L280" s="87">
        <v>512.70000000000005</v>
      </c>
      <c r="M280" s="87">
        <f t="shared" si="78"/>
        <v>210.20699999999999</v>
      </c>
      <c r="N280" s="88">
        <f>prodnorm17</f>
        <v>0</v>
      </c>
      <c r="O280" s="33">
        <f>dagwerk17</f>
        <v>0</v>
      </c>
      <c r="P280" s="85" t="s">
        <v>109</v>
      </c>
      <c r="Q280" s="21">
        <f>uurtarief17</f>
        <v>0</v>
      </c>
      <c r="R280" s="87" t="e">
        <f t="shared" si="82"/>
        <v>#DIV/0!</v>
      </c>
      <c r="S280" s="87" t="e">
        <f t="shared" si="83"/>
        <v>#DIV/0!</v>
      </c>
      <c r="T280" s="21" t="e">
        <f t="shared" si="84"/>
        <v>#DIV/0!</v>
      </c>
      <c r="U280" s="87" t="e">
        <f t="shared" si="85"/>
        <v>#DIV/0!</v>
      </c>
      <c r="V280" s="22" t="e">
        <f t="shared" si="86"/>
        <v>#DIV/0!</v>
      </c>
    </row>
    <row r="281" spans="1:22" x14ac:dyDescent="0.25">
      <c r="A281" s="84" t="s">
        <v>633</v>
      </c>
      <c r="B281" s="85" t="s">
        <v>42</v>
      </c>
      <c r="C281" s="85" t="s">
        <v>342</v>
      </c>
      <c r="D281" s="85" t="s">
        <v>671</v>
      </c>
      <c r="E281" s="86" t="s">
        <v>373</v>
      </c>
      <c r="F281" s="85" t="s">
        <v>345</v>
      </c>
      <c r="G281" s="85" t="s">
        <v>312</v>
      </c>
      <c r="H281" s="85" t="s">
        <v>9</v>
      </c>
      <c r="I281" s="85" t="s">
        <v>258</v>
      </c>
      <c r="J281" s="86" t="s">
        <v>313</v>
      </c>
      <c r="K281" s="85" t="s">
        <v>346</v>
      </c>
      <c r="L281" s="87">
        <v>126.1</v>
      </c>
      <c r="M281" s="87">
        <f t="shared" ref="M281:M312" si="87">L281*VLOOKUP(H281,dagsoorttabel1,2,FALSE)</f>
        <v>129.25249999999997</v>
      </c>
      <c r="N281" s="88">
        <f>prodnorm46</f>
        <v>0</v>
      </c>
      <c r="O281" s="33">
        <f>dagwerk46</f>
        <v>0</v>
      </c>
      <c r="P281" s="85" t="s">
        <v>109</v>
      </c>
      <c r="Q281" s="21">
        <f>uurtarief46</f>
        <v>0</v>
      </c>
      <c r="R281" s="87" t="e">
        <f t="shared" ref="R281:R312" si="88">IF(ISBLANK(N281),0,M281/ROUND(N281,4))</f>
        <v>#DIV/0!</v>
      </c>
      <c r="S281" s="87" t="e">
        <f t="shared" ref="S281:S312" si="89">IF(ISBLANK(N281),0,R281*ROUND(O281,2))</f>
        <v>#DIV/0!</v>
      </c>
      <c r="T281" s="21" t="e">
        <f t="shared" ref="T281:T312" si="90">ROUND(Q281,2)*R281</f>
        <v>#DIV/0!</v>
      </c>
      <c r="U281" s="87" t="e">
        <f t="shared" ref="U281:U312" si="91">R281*dagenperjaar1</f>
        <v>#DIV/0!</v>
      </c>
      <c r="V281" s="22" t="e">
        <f t="shared" ref="V281:V312" si="92">U281*ROUND(Q281,2)</f>
        <v>#DIV/0!</v>
      </c>
    </row>
    <row r="282" spans="1:22" x14ac:dyDescent="0.25">
      <c r="A282" s="84" t="s">
        <v>633</v>
      </c>
      <c r="B282" s="85" t="s">
        <v>42</v>
      </c>
      <c r="C282" s="85" t="s">
        <v>342</v>
      </c>
      <c r="D282" s="85" t="s">
        <v>672</v>
      </c>
      <c r="E282" s="86" t="s">
        <v>673</v>
      </c>
      <c r="F282" s="85" t="s">
        <v>674</v>
      </c>
      <c r="G282" s="85" t="s">
        <v>310</v>
      </c>
      <c r="H282" s="85" t="s">
        <v>9</v>
      </c>
      <c r="I282" s="85" t="s">
        <v>258</v>
      </c>
      <c r="J282" s="86" t="s">
        <v>311</v>
      </c>
      <c r="K282" s="85" t="s">
        <v>417</v>
      </c>
      <c r="L282" s="87">
        <v>12</v>
      </c>
      <c r="M282" s="87">
        <f t="shared" si="87"/>
        <v>12.299999999999999</v>
      </c>
      <c r="N282" s="88">
        <f>prodnorm45</f>
        <v>0</v>
      </c>
      <c r="O282" s="33">
        <f>dagwerk45</f>
        <v>0</v>
      </c>
      <c r="P282" s="85" t="s">
        <v>109</v>
      </c>
      <c r="Q282" s="21">
        <f>uurtarief45</f>
        <v>0</v>
      </c>
      <c r="R282" s="87" t="e">
        <f t="shared" si="88"/>
        <v>#DIV/0!</v>
      </c>
      <c r="S282" s="87" t="e">
        <f t="shared" si="89"/>
        <v>#DIV/0!</v>
      </c>
      <c r="T282" s="21" t="e">
        <f t="shared" si="90"/>
        <v>#DIV/0!</v>
      </c>
      <c r="U282" s="87" t="e">
        <f t="shared" si="91"/>
        <v>#DIV/0!</v>
      </c>
      <c r="V282" s="22" t="e">
        <f t="shared" si="92"/>
        <v>#DIV/0!</v>
      </c>
    </row>
    <row r="283" spans="1:22" x14ac:dyDescent="0.25">
      <c r="A283" s="84" t="s">
        <v>633</v>
      </c>
      <c r="B283" s="85" t="s">
        <v>42</v>
      </c>
      <c r="C283" s="85" t="s">
        <v>342</v>
      </c>
      <c r="D283" s="85" t="s">
        <v>675</v>
      </c>
      <c r="E283" s="86" t="s">
        <v>676</v>
      </c>
      <c r="F283" s="85" t="s">
        <v>674</v>
      </c>
      <c r="G283" s="85" t="s">
        <v>310</v>
      </c>
      <c r="H283" s="85" t="s">
        <v>9</v>
      </c>
      <c r="I283" s="85" t="s">
        <v>258</v>
      </c>
      <c r="J283" s="86" t="s">
        <v>311</v>
      </c>
      <c r="K283" s="85" t="s">
        <v>417</v>
      </c>
      <c r="L283" s="87">
        <v>12</v>
      </c>
      <c r="M283" s="87">
        <f t="shared" si="87"/>
        <v>12.299999999999999</v>
      </c>
      <c r="N283" s="88">
        <f>prodnorm45</f>
        <v>0</v>
      </c>
      <c r="O283" s="33">
        <f>dagwerk45</f>
        <v>0</v>
      </c>
      <c r="P283" s="85" t="s">
        <v>109</v>
      </c>
      <c r="Q283" s="21">
        <f>uurtarief45</f>
        <v>0</v>
      </c>
      <c r="R283" s="87" t="e">
        <f t="shared" si="88"/>
        <v>#DIV/0!</v>
      </c>
      <c r="S283" s="87" t="e">
        <f t="shared" si="89"/>
        <v>#DIV/0!</v>
      </c>
      <c r="T283" s="21" t="e">
        <f t="shared" si="90"/>
        <v>#DIV/0!</v>
      </c>
      <c r="U283" s="87" t="e">
        <f t="shared" si="91"/>
        <v>#DIV/0!</v>
      </c>
      <c r="V283" s="22" t="e">
        <f t="shared" si="92"/>
        <v>#DIV/0!</v>
      </c>
    </row>
    <row r="284" spans="1:22" x14ac:dyDescent="0.25">
      <c r="A284" s="84" t="s">
        <v>633</v>
      </c>
      <c r="B284" s="85" t="s">
        <v>42</v>
      </c>
      <c r="C284" s="85" t="s">
        <v>342</v>
      </c>
      <c r="D284" s="85" t="s">
        <v>677</v>
      </c>
      <c r="E284" s="86" t="s">
        <v>678</v>
      </c>
      <c r="F284" s="85" t="s">
        <v>345</v>
      </c>
      <c r="G284" s="85" t="s">
        <v>274</v>
      </c>
      <c r="H284" s="85" t="s">
        <v>9</v>
      </c>
      <c r="I284" s="85" t="s">
        <v>258</v>
      </c>
      <c r="J284" s="86" t="s">
        <v>275</v>
      </c>
      <c r="K284" s="85" t="s">
        <v>346</v>
      </c>
      <c r="L284" s="87">
        <v>131</v>
      </c>
      <c r="M284" s="87">
        <f t="shared" si="87"/>
        <v>134.27499999999998</v>
      </c>
      <c r="N284" s="88">
        <f>prodnorm20</f>
        <v>0</v>
      </c>
      <c r="O284" s="33">
        <f>dagwerk20</f>
        <v>0</v>
      </c>
      <c r="P284" s="85" t="s">
        <v>109</v>
      </c>
      <c r="Q284" s="21">
        <f>uurtarief20</f>
        <v>0</v>
      </c>
      <c r="R284" s="87" t="e">
        <f t="shared" si="88"/>
        <v>#DIV/0!</v>
      </c>
      <c r="S284" s="87" t="e">
        <f t="shared" si="89"/>
        <v>#DIV/0!</v>
      </c>
      <c r="T284" s="21" t="e">
        <f t="shared" si="90"/>
        <v>#DIV/0!</v>
      </c>
      <c r="U284" s="87" t="e">
        <f t="shared" si="91"/>
        <v>#DIV/0!</v>
      </c>
      <c r="V284" s="22" t="e">
        <f t="shared" si="92"/>
        <v>#DIV/0!</v>
      </c>
    </row>
    <row r="285" spans="1:22" x14ac:dyDescent="0.25">
      <c r="A285" s="84" t="s">
        <v>633</v>
      </c>
      <c r="B285" s="85" t="s">
        <v>42</v>
      </c>
      <c r="C285" s="85" t="s">
        <v>342</v>
      </c>
      <c r="D285" s="85" t="s">
        <v>679</v>
      </c>
      <c r="E285" s="86" t="s">
        <v>680</v>
      </c>
      <c r="F285" s="85" t="s">
        <v>413</v>
      </c>
      <c r="G285" s="85" t="s">
        <v>322</v>
      </c>
      <c r="H285" s="85" t="s">
        <v>9</v>
      </c>
      <c r="I285" s="85" t="s">
        <v>258</v>
      </c>
      <c r="J285" s="86" t="s">
        <v>323</v>
      </c>
      <c r="K285" s="85" t="s">
        <v>346</v>
      </c>
      <c r="L285" s="87">
        <v>11.9</v>
      </c>
      <c r="M285" s="87">
        <f t="shared" si="87"/>
        <v>12.1975</v>
      </c>
      <c r="N285" s="88">
        <f>prodnorm54</f>
        <v>0</v>
      </c>
      <c r="O285" s="33">
        <f>dagwerk54</f>
        <v>0</v>
      </c>
      <c r="P285" s="85" t="s">
        <v>109</v>
      </c>
      <c r="Q285" s="21">
        <f>uurtarief54</f>
        <v>0</v>
      </c>
      <c r="R285" s="87" t="e">
        <f t="shared" si="88"/>
        <v>#DIV/0!</v>
      </c>
      <c r="S285" s="87" t="e">
        <f t="shared" si="89"/>
        <v>#DIV/0!</v>
      </c>
      <c r="T285" s="21" t="e">
        <f t="shared" si="90"/>
        <v>#DIV/0!</v>
      </c>
      <c r="U285" s="87" t="e">
        <f t="shared" si="91"/>
        <v>#DIV/0!</v>
      </c>
      <c r="V285" s="22" t="e">
        <f t="shared" si="92"/>
        <v>#DIV/0!</v>
      </c>
    </row>
    <row r="286" spans="1:22" x14ac:dyDescent="0.25">
      <c r="A286" s="84" t="s">
        <v>633</v>
      </c>
      <c r="B286" s="85" t="s">
        <v>42</v>
      </c>
      <c r="C286" s="85" t="s">
        <v>342</v>
      </c>
      <c r="D286" s="85" t="s">
        <v>681</v>
      </c>
      <c r="E286" s="86" t="s">
        <v>446</v>
      </c>
      <c r="F286" s="85" t="s">
        <v>353</v>
      </c>
      <c r="G286" s="85" t="s">
        <v>262</v>
      </c>
      <c r="H286" s="85" t="s">
        <v>14</v>
      </c>
      <c r="I286" s="85" t="s">
        <v>258</v>
      </c>
      <c r="J286" s="86" t="s">
        <v>263</v>
      </c>
      <c r="K286" s="85" t="s">
        <v>365</v>
      </c>
      <c r="L286" s="87">
        <v>12</v>
      </c>
      <c r="M286" s="87">
        <f t="shared" si="87"/>
        <v>4.92</v>
      </c>
      <c r="N286" s="88">
        <f>prodnorm10</f>
        <v>0</v>
      </c>
      <c r="O286" s="33">
        <f>dagwerk10</f>
        <v>0</v>
      </c>
      <c r="P286" s="85" t="s">
        <v>109</v>
      </c>
      <c r="Q286" s="21">
        <f>uurtarief10</f>
        <v>0</v>
      </c>
      <c r="R286" s="87" t="e">
        <f t="shared" si="88"/>
        <v>#DIV/0!</v>
      </c>
      <c r="S286" s="87" t="e">
        <f t="shared" si="89"/>
        <v>#DIV/0!</v>
      </c>
      <c r="T286" s="21" t="e">
        <f t="shared" si="90"/>
        <v>#DIV/0!</v>
      </c>
      <c r="U286" s="87" t="e">
        <f t="shared" si="91"/>
        <v>#DIV/0!</v>
      </c>
      <c r="V286" s="22" t="e">
        <f t="shared" si="92"/>
        <v>#DIV/0!</v>
      </c>
    </row>
    <row r="287" spans="1:22" x14ac:dyDescent="0.25">
      <c r="A287" s="84" t="s">
        <v>633</v>
      </c>
      <c r="B287" s="85" t="s">
        <v>42</v>
      </c>
      <c r="C287" s="85" t="s">
        <v>342</v>
      </c>
      <c r="D287" s="85" t="s">
        <v>682</v>
      </c>
      <c r="E287" s="86" t="s">
        <v>590</v>
      </c>
      <c r="F287" s="85" t="s">
        <v>353</v>
      </c>
      <c r="G287" s="85" t="s">
        <v>257</v>
      </c>
      <c r="H287" s="85" t="s">
        <v>12</v>
      </c>
      <c r="I287" s="85" t="s">
        <v>258</v>
      </c>
      <c r="J287" s="86" t="s">
        <v>259</v>
      </c>
      <c r="K287" s="85" t="s">
        <v>365</v>
      </c>
      <c r="L287" s="87">
        <v>31.6</v>
      </c>
      <c r="M287" s="87">
        <f t="shared" si="87"/>
        <v>19.434000000000001</v>
      </c>
      <c r="N287" s="88">
        <f>prodnorm5</f>
        <v>0</v>
      </c>
      <c r="O287" s="33">
        <f>dagwerk5</f>
        <v>0</v>
      </c>
      <c r="P287" s="85" t="s">
        <v>109</v>
      </c>
      <c r="Q287" s="21">
        <f>uurtarief5</f>
        <v>0</v>
      </c>
      <c r="R287" s="87" t="e">
        <f t="shared" si="88"/>
        <v>#DIV/0!</v>
      </c>
      <c r="S287" s="87" t="e">
        <f t="shared" si="89"/>
        <v>#DIV/0!</v>
      </c>
      <c r="T287" s="21" t="e">
        <f t="shared" si="90"/>
        <v>#DIV/0!</v>
      </c>
      <c r="U287" s="87" t="e">
        <f t="shared" si="91"/>
        <v>#DIV/0!</v>
      </c>
      <c r="V287" s="22" t="e">
        <f t="shared" si="92"/>
        <v>#DIV/0!</v>
      </c>
    </row>
    <row r="288" spans="1:22" x14ac:dyDescent="0.25">
      <c r="A288" s="84" t="s">
        <v>633</v>
      </c>
      <c r="B288" s="85" t="s">
        <v>42</v>
      </c>
      <c r="C288" s="85" t="s">
        <v>342</v>
      </c>
      <c r="D288" s="85" t="s">
        <v>682</v>
      </c>
      <c r="E288" s="86" t="s">
        <v>590</v>
      </c>
      <c r="F288" s="85" t="s">
        <v>353</v>
      </c>
      <c r="G288" s="85" t="s">
        <v>262</v>
      </c>
      <c r="H288" s="85" t="s">
        <v>14</v>
      </c>
      <c r="I288" s="85" t="s">
        <v>258</v>
      </c>
      <c r="J288" s="86" t="s">
        <v>263</v>
      </c>
      <c r="K288" s="85" t="s">
        <v>365</v>
      </c>
      <c r="L288" s="87">
        <v>31.6</v>
      </c>
      <c r="M288" s="87">
        <f t="shared" si="87"/>
        <v>12.956</v>
      </c>
      <c r="N288" s="88">
        <f>prodnorm10</f>
        <v>0</v>
      </c>
      <c r="O288" s="33">
        <f>dagwerk10</f>
        <v>0</v>
      </c>
      <c r="P288" s="85" t="s">
        <v>109</v>
      </c>
      <c r="Q288" s="21">
        <f>uurtarief10</f>
        <v>0</v>
      </c>
      <c r="R288" s="87" t="e">
        <f t="shared" si="88"/>
        <v>#DIV/0!</v>
      </c>
      <c r="S288" s="87" t="e">
        <f t="shared" si="89"/>
        <v>#DIV/0!</v>
      </c>
      <c r="T288" s="21" t="e">
        <f t="shared" si="90"/>
        <v>#DIV/0!</v>
      </c>
      <c r="U288" s="87" t="e">
        <f t="shared" si="91"/>
        <v>#DIV/0!</v>
      </c>
      <c r="V288" s="22" t="e">
        <f t="shared" si="92"/>
        <v>#DIV/0!</v>
      </c>
    </row>
    <row r="289" spans="1:22" x14ac:dyDescent="0.25">
      <c r="A289" s="84" t="s">
        <v>633</v>
      </c>
      <c r="B289" s="85" t="s">
        <v>42</v>
      </c>
      <c r="C289" s="85" t="s">
        <v>342</v>
      </c>
      <c r="D289" s="85" t="s">
        <v>683</v>
      </c>
      <c r="E289" s="86" t="s">
        <v>473</v>
      </c>
      <c r="F289" s="85" t="s">
        <v>353</v>
      </c>
      <c r="G289" s="85" t="s">
        <v>257</v>
      </c>
      <c r="H289" s="85" t="s">
        <v>12</v>
      </c>
      <c r="I289" s="85" t="s">
        <v>258</v>
      </c>
      <c r="J289" s="86" t="s">
        <v>259</v>
      </c>
      <c r="K289" s="85" t="s">
        <v>365</v>
      </c>
      <c r="L289" s="87">
        <v>11.5</v>
      </c>
      <c r="M289" s="87">
        <f t="shared" si="87"/>
        <v>7.0724999999999998</v>
      </c>
      <c r="N289" s="88">
        <f>prodnorm5</f>
        <v>0</v>
      </c>
      <c r="O289" s="33">
        <f>dagwerk5</f>
        <v>0</v>
      </c>
      <c r="P289" s="85" t="s">
        <v>109</v>
      </c>
      <c r="Q289" s="21">
        <f>uurtarief5</f>
        <v>0</v>
      </c>
      <c r="R289" s="87" t="e">
        <f t="shared" si="88"/>
        <v>#DIV/0!</v>
      </c>
      <c r="S289" s="87" t="e">
        <f t="shared" si="89"/>
        <v>#DIV/0!</v>
      </c>
      <c r="T289" s="21" t="e">
        <f t="shared" si="90"/>
        <v>#DIV/0!</v>
      </c>
      <c r="U289" s="87" t="e">
        <f t="shared" si="91"/>
        <v>#DIV/0!</v>
      </c>
      <c r="V289" s="22" t="e">
        <f t="shared" si="92"/>
        <v>#DIV/0!</v>
      </c>
    </row>
    <row r="290" spans="1:22" x14ac:dyDescent="0.25">
      <c r="A290" s="84" t="s">
        <v>633</v>
      </c>
      <c r="B290" s="85" t="s">
        <v>42</v>
      </c>
      <c r="C290" s="85" t="s">
        <v>342</v>
      </c>
      <c r="D290" s="85" t="s">
        <v>683</v>
      </c>
      <c r="E290" s="86" t="s">
        <v>473</v>
      </c>
      <c r="F290" s="85" t="s">
        <v>353</v>
      </c>
      <c r="G290" s="85" t="s">
        <v>266</v>
      </c>
      <c r="H290" s="85" t="s">
        <v>14</v>
      </c>
      <c r="I290" s="85" t="s">
        <v>258</v>
      </c>
      <c r="J290" s="86" t="s">
        <v>267</v>
      </c>
      <c r="K290" s="85" t="s">
        <v>365</v>
      </c>
      <c r="L290" s="87">
        <v>11.5</v>
      </c>
      <c r="M290" s="87">
        <f t="shared" si="87"/>
        <v>4.7149999999999999</v>
      </c>
      <c r="N290" s="88">
        <f>prodnorm13</f>
        <v>0</v>
      </c>
      <c r="O290" s="33">
        <f>dagwerk13</f>
        <v>0</v>
      </c>
      <c r="P290" s="85" t="s">
        <v>109</v>
      </c>
      <c r="Q290" s="21">
        <f>uurtarief13</f>
        <v>0</v>
      </c>
      <c r="R290" s="87" t="e">
        <f t="shared" si="88"/>
        <v>#DIV/0!</v>
      </c>
      <c r="S290" s="87" t="e">
        <f t="shared" si="89"/>
        <v>#DIV/0!</v>
      </c>
      <c r="T290" s="21" t="e">
        <f t="shared" si="90"/>
        <v>#DIV/0!</v>
      </c>
      <c r="U290" s="87" t="e">
        <f t="shared" si="91"/>
        <v>#DIV/0!</v>
      </c>
      <c r="V290" s="22" t="e">
        <f t="shared" si="92"/>
        <v>#DIV/0!</v>
      </c>
    </row>
    <row r="291" spans="1:22" x14ac:dyDescent="0.25">
      <c r="A291" s="84" t="s">
        <v>633</v>
      </c>
      <c r="B291" s="85" t="s">
        <v>42</v>
      </c>
      <c r="C291" s="85" t="s">
        <v>342</v>
      </c>
      <c r="D291" s="85" t="s">
        <v>684</v>
      </c>
      <c r="E291" s="86" t="s">
        <v>590</v>
      </c>
      <c r="F291" s="85" t="s">
        <v>353</v>
      </c>
      <c r="G291" s="85" t="s">
        <v>257</v>
      </c>
      <c r="H291" s="85" t="s">
        <v>12</v>
      </c>
      <c r="I291" s="85" t="s">
        <v>258</v>
      </c>
      <c r="J291" s="86" t="s">
        <v>259</v>
      </c>
      <c r="K291" s="85" t="s">
        <v>365</v>
      </c>
      <c r="L291" s="87">
        <v>31.1</v>
      </c>
      <c r="M291" s="87">
        <f t="shared" si="87"/>
        <v>19.1265</v>
      </c>
      <c r="N291" s="88">
        <f>prodnorm5</f>
        <v>0</v>
      </c>
      <c r="O291" s="33">
        <f>dagwerk5</f>
        <v>0</v>
      </c>
      <c r="P291" s="85" t="s">
        <v>109</v>
      </c>
      <c r="Q291" s="21">
        <f>uurtarief5</f>
        <v>0</v>
      </c>
      <c r="R291" s="87" t="e">
        <f t="shared" si="88"/>
        <v>#DIV/0!</v>
      </c>
      <c r="S291" s="87" t="e">
        <f t="shared" si="89"/>
        <v>#DIV/0!</v>
      </c>
      <c r="T291" s="21" t="e">
        <f t="shared" si="90"/>
        <v>#DIV/0!</v>
      </c>
      <c r="U291" s="87" t="e">
        <f t="shared" si="91"/>
        <v>#DIV/0!</v>
      </c>
      <c r="V291" s="22" t="e">
        <f t="shared" si="92"/>
        <v>#DIV/0!</v>
      </c>
    </row>
    <row r="292" spans="1:22" x14ac:dyDescent="0.25">
      <c r="A292" s="84" t="s">
        <v>633</v>
      </c>
      <c r="B292" s="85" t="s">
        <v>42</v>
      </c>
      <c r="C292" s="85" t="s">
        <v>342</v>
      </c>
      <c r="D292" s="85" t="s">
        <v>684</v>
      </c>
      <c r="E292" s="86" t="s">
        <v>590</v>
      </c>
      <c r="F292" s="85" t="s">
        <v>353</v>
      </c>
      <c r="G292" s="85" t="s">
        <v>262</v>
      </c>
      <c r="H292" s="85" t="s">
        <v>14</v>
      </c>
      <c r="I292" s="85" t="s">
        <v>258</v>
      </c>
      <c r="J292" s="86" t="s">
        <v>263</v>
      </c>
      <c r="K292" s="85" t="s">
        <v>365</v>
      </c>
      <c r="L292" s="87">
        <v>31.1</v>
      </c>
      <c r="M292" s="87">
        <f t="shared" si="87"/>
        <v>12.750999999999999</v>
      </c>
      <c r="N292" s="88">
        <f>prodnorm10</f>
        <v>0</v>
      </c>
      <c r="O292" s="33">
        <f>dagwerk10</f>
        <v>0</v>
      </c>
      <c r="P292" s="85" t="s">
        <v>109</v>
      </c>
      <c r="Q292" s="21">
        <f>uurtarief10</f>
        <v>0</v>
      </c>
      <c r="R292" s="87" t="e">
        <f t="shared" si="88"/>
        <v>#DIV/0!</v>
      </c>
      <c r="S292" s="87" t="e">
        <f t="shared" si="89"/>
        <v>#DIV/0!</v>
      </c>
      <c r="T292" s="21" t="e">
        <f t="shared" si="90"/>
        <v>#DIV/0!</v>
      </c>
      <c r="U292" s="87" t="e">
        <f t="shared" si="91"/>
        <v>#DIV/0!</v>
      </c>
      <c r="V292" s="22" t="e">
        <f t="shared" si="92"/>
        <v>#DIV/0!</v>
      </c>
    </row>
    <row r="293" spans="1:22" x14ac:dyDescent="0.25">
      <c r="A293" s="84" t="s">
        <v>633</v>
      </c>
      <c r="B293" s="85" t="s">
        <v>42</v>
      </c>
      <c r="C293" s="85" t="s">
        <v>342</v>
      </c>
      <c r="D293" s="85" t="s">
        <v>685</v>
      </c>
      <c r="E293" s="86" t="s">
        <v>473</v>
      </c>
      <c r="F293" s="85" t="s">
        <v>353</v>
      </c>
      <c r="G293" s="85" t="s">
        <v>257</v>
      </c>
      <c r="H293" s="85" t="s">
        <v>12</v>
      </c>
      <c r="I293" s="85" t="s">
        <v>258</v>
      </c>
      <c r="J293" s="86" t="s">
        <v>259</v>
      </c>
      <c r="K293" s="85" t="s">
        <v>365</v>
      </c>
      <c r="L293" s="87">
        <v>11.6</v>
      </c>
      <c r="M293" s="87">
        <f t="shared" si="87"/>
        <v>7.1339999999999995</v>
      </c>
      <c r="N293" s="88">
        <f>prodnorm5</f>
        <v>0</v>
      </c>
      <c r="O293" s="33">
        <f>dagwerk5</f>
        <v>0</v>
      </c>
      <c r="P293" s="85" t="s">
        <v>109</v>
      </c>
      <c r="Q293" s="21">
        <f>uurtarief5</f>
        <v>0</v>
      </c>
      <c r="R293" s="87" t="e">
        <f t="shared" si="88"/>
        <v>#DIV/0!</v>
      </c>
      <c r="S293" s="87" t="e">
        <f t="shared" si="89"/>
        <v>#DIV/0!</v>
      </c>
      <c r="T293" s="21" t="e">
        <f t="shared" si="90"/>
        <v>#DIV/0!</v>
      </c>
      <c r="U293" s="87" t="e">
        <f t="shared" si="91"/>
        <v>#DIV/0!</v>
      </c>
      <c r="V293" s="22" t="e">
        <f t="shared" si="92"/>
        <v>#DIV/0!</v>
      </c>
    </row>
    <row r="294" spans="1:22" x14ac:dyDescent="0.25">
      <c r="A294" s="84" t="s">
        <v>633</v>
      </c>
      <c r="B294" s="85" t="s">
        <v>42</v>
      </c>
      <c r="C294" s="85" t="s">
        <v>342</v>
      </c>
      <c r="D294" s="85" t="s">
        <v>685</v>
      </c>
      <c r="E294" s="86" t="s">
        <v>473</v>
      </c>
      <c r="F294" s="85" t="s">
        <v>353</v>
      </c>
      <c r="G294" s="85" t="s">
        <v>266</v>
      </c>
      <c r="H294" s="85" t="s">
        <v>14</v>
      </c>
      <c r="I294" s="85" t="s">
        <v>258</v>
      </c>
      <c r="J294" s="86" t="s">
        <v>267</v>
      </c>
      <c r="K294" s="85" t="s">
        <v>365</v>
      </c>
      <c r="L294" s="87">
        <v>11.6</v>
      </c>
      <c r="M294" s="87">
        <f t="shared" si="87"/>
        <v>4.7559999999999993</v>
      </c>
      <c r="N294" s="88">
        <f>prodnorm13</f>
        <v>0</v>
      </c>
      <c r="O294" s="33">
        <f>dagwerk13</f>
        <v>0</v>
      </c>
      <c r="P294" s="85" t="s">
        <v>109</v>
      </c>
      <c r="Q294" s="21">
        <f>uurtarief13</f>
        <v>0</v>
      </c>
      <c r="R294" s="87" t="e">
        <f t="shared" si="88"/>
        <v>#DIV/0!</v>
      </c>
      <c r="S294" s="87" t="e">
        <f t="shared" si="89"/>
        <v>#DIV/0!</v>
      </c>
      <c r="T294" s="21" t="e">
        <f t="shared" si="90"/>
        <v>#DIV/0!</v>
      </c>
      <c r="U294" s="87" t="e">
        <f t="shared" si="91"/>
        <v>#DIV/0!</v>
      </c>
      <c r="V294" s="22" t="e">
        <f t="shared" si="92"/>
        <v>#DIV/0!</v>
      </c>
    </row>
    <row r="295" spans="1:22" x14ac:dyDescent="0.25">
      <c r="A295" s="84" t="s">
        <v>633</v>
      </c>
      <c r="B295" s="85" t="s">
        <v>42</v>
      </c>
      <c r="C295" s="85" t="s">
        <v>342</v>
      </c>
      <c r="D295" s="85" t="s">
        <v>686</v>
      </c>
      <c r="E295" s="86" t="s">
        <v>590</v>
      </c>
      <c r="F295" s="85" t="s">
        <v>353</v>
      </c>
      <c r="G295" s="85" t="s">
        <v>257</v>
      </c>
      <c r="H295" s="85" t="s">
        <v>12</v>
      </c>
      <c r="I295" s="85" t="s">
        <v>258</v>
      </c>
      <c r="J295" s="86" t="s">
        <v>259</v>
      </c>
      <c r="K295" s="85" t="s">
        <v>365</v>
      </c>
      <c r="L295" s="87">
        <v>19.8</v>
      </c>
      <c r="M295" s="87">
        <f t="shared" si="87"/>
        <v>12.177</v>
      </c>
      <c r="N295" s="88">
        <f>prodnorm5</f>
        <v>0</v>
      </c>
      <c r="O295" s="33">
        <f>dagwerk5</f>
        <v>0</v>
      </c>
      <c r="P295" s="85" t="s">
        <v>109</v>
      </c>
      <c r="Q295" s="21">
        <f>uurtarief5</f>
        <v>0</v>
      </c>
      <c r="R295" s="87" t="e">
        <f t="shared" si="88"/>
        <v>#DIV/0!</v>
      </c>
      <c r="S295" s="87" t="e">
        <f t="shared" si="89"/>
        <v>#DIV/0!</v>
      </c>
      <c r="T295" s="21" t="e">
        <f t="shared" si="90"/>
        <v>#DIV/0!</v>
      </c>
      <c r="U295" s="87" t="e">
        <f t="shared" si="91"/>
        <v>#DIV/0!</v>
      </c>
      <c r="V295" s="22" t="e">
        <f t="shared" si="92"/>
        <v>#DIV/0!</v>
      </c>
    </row>
    <row r="296" spans="1:22" x14ac:dyDescent="0.25">
      <c r="A296" s="84" t="s">
        <v>633</v>
      </c>
      <c r="B296" s="85" t="s">
        <v>42</v>
      </c>
      <c r="C296" s="85" t="s">
        <v>342</v>
      </c>
      <c r="D296" s="85" t="s">
        <v>686</v>
      </c>
      <c r="E296" s="86" t="s">
        <v>590</v>
      </c>
      <c r="F296" s="85" t="s">
        <v>353</v>
      </c>
      <c r="G296" s="85" t="s">
        <v>262</v>
      </c>
      <c r="H296" s="85" t="s">
        <v>14</v>
      </c>
      <c r="I296" s="85" t="s">
        <v>258</v>
      </c>
      <c r="J296" s="86" t="s">
        <v>263</v>
      </c>
      <c r="K296" s="85" t="s">
        <v>365</v>
      </c>
      <c r="L296" s="87">
        <v>19.8</v>
      </c>
      <c r="M296" s="87">
        <f t="shared" si="87"/>
        <v>8.1180000000000003</v>
      </c>
      <c r="N296" s="88">
        <f>prodnorm10</f>
        <v>0</v>
      </c>
      <c r="O296" s="33">
        <f>dagwerk10</f>
        <v>0</v>
      </c>
      <c r="P296" s="85" t="s">
        <v>109</v>
      </c>
      <c r="Q296" s="21">
        <f>uurtarief10</f>
        <v>0</v>
      </c>
      <c r="R296" s="87" t="e">
        <f t="shared" si="88"/>
        <v>#DIV/0!</v>
      </c>
      <c r="S296" s="87" t="e">
        <f t="shared" si="89"/>
        <v>#DIV/0!</v>
      </c>
      <c r="T296" s="21" t="e">
        <f t="shared" si="90"/>
        <v>#DIV/0!</v>
      </c>
      <c r="U296" s="87" t="e">
        <f t="shared" si="91"/>
        <v>#DIV/0!</v>
      </c>
      <c r="V296" s="22" t="e">
        <f t="shared" si="92"/>
        <v>#DIV/0!</v>
      </c>
    </row>
    <row r="297" spans="1:22" x14ac:dyDescent="0.25">
      <c r="A297" s="84" t="s">
        <v>633</v>
      </c>
      <c r="B297" s="85" t="s">
        <v>42</v>
      </c>
      <c r="C297" s="85" t="s">
        <v>342</v>
      </c>
      <c r="D297" s="85" t="s">
        <v>687</v>
      </c>
      <c r="E297" s="86" t="s">
        <v>483</v>
      </c>
      <c r="F297" s="85" t="s">
        <v>353</v>
      </c>
      <c r="G297" s="85" t="s">
        <v>257</v>
      </c>
      <c r="H297" s="85" t="s">
        <v>12</v>
      </c>
      <c r="I297" s="85" t="s">
        <v>258</v>
      </c>
      <c r="J297" s="86" t="s">
        <v>259</v>
      </c>
      <c r="K297" s="85" t="s">
        <v>365</v>
      </c>
      <c r="L297" s="87">
        <v>27.1</v>
      </c>
      <c r="M297" s="87">
        <f t="shared" si="87"/>
        <v>16.666499999999999</v>
      </c>
      <c r="N297" s="88">
        <f>prodnorm5</f>
        <v>0</v>
      </c>
      <c r="O297" s="33">
        <f>dagwerk5</f>
        <v>0</v>
      </c>
      <c r="P297" s="85" t="s">
        <v>109</v>
      </c>
      <c r="Q297" s="21">
        <f>uurtarief5</f>
        <v>0</v>
      </c>
      <c r="R297" s="87" t="e">
        <f t="shared" si="88"/>
        <v>#DIV/0!</v>
      </c>
      <c r="S297" s="87" t="e">
        <f t="shared" si="89"/>
        <v>#DIV/0!</v>
      </c>
      <c r="T297" s="21" t="e">
        <f t="shared" si="90"/>
        <v>#DIV/0!</v>
      </c>
      <c r="U297" s="87" t="e">
        <f t="shared" si="91"/>
        <v>#DIV/0!</v>
      </c>
      <c r="V297" s="22" t="e">
        <f t="shared" si="92"/>
        <v>#DIV/0!</v>
      </c>
    </row>
    <row r="298" spans="1:22" x14ac:dyDescent="0.25">
      <c r="A298" s="84" t="s">
        <v>633</v>
      </c>
      <c r="B298" s="85" t="s">
        <v>42</v>
      </c>
      <c r="C298" s="85" t="s">
        <v>342</v>
      </c>
      <c r="D298" s="85" t="s">
        <v>687</v>
      </c>
      <c r="E298" s="86" t="s">
        <v>483</v>
      </c>
      <c r="F298" s="85" t="s">
        <v>353</v>
      </c>
      <c r="G298" s="85" t="s">
        <v>262</v>
      </c>
      <c r="H298" s="85" t="s">
        <v>14</v>
      </c>
      <c r="I298" s="85" t="s">
        <v>258</v>
      </c>
      <c r="J298" s="86" t="s">
        <v>263</v>
      </c>
      <c r="K298" s="85" t="s">
        <v>365</v>
      </c>
      <c r="L298" s="87">
        <v>27.1</v>
      </c>
      <c r="M298" s="87">
        <f t="shared" si="87"/>
        <v>11.111000000000001</v>
      </c>
      <c r="N298" s="88">
        <f>prodnorm10</f>
        <v>0</v>
      </c>
      <c r="O298" s="33">
        <f>dagwerk10</f>
        <v>0</v>
      </c>
      <c r="P298" s="85" t="s">
        <v>109</v>
      </c>
      <c r="Q298" s="21">
        <f>uurtarief10</f>
        <v>0</v>
      </c>
      <c r="R298" s="87" t="e">
        <f t="shared" si="88"/>
        <v>#DIV/0!</v>
      </c>
      <c r="S298" s="87" t="e">
        <f t="shared" si="89"/>
        <v>#DIV/0!</v>
      </c>
      <c r="T298" s="21" t="e">
        <f t="shared" si="90"/>
        <v>#DIV/0!</v>
      </c>
      <c r="U298" s="87" t="e">
        <f t="shared" si="91"/>
        <v>#DIV/0!</v>
      </c>
      <c r="V298" s="22" t="e">
        <f t="shared" si="92"/>
        <v>#DIV/0!</v>
      </c>
    </row>
    <row r="299" spans="1:22" x14ac:dyDescent="0.25">
      <c r="A299" s="84" t="s">
        <v>633</v>
      </c>
      <c r="B299" s="85" t="s">
        <v>42</v>
      </c>
      <c r="C299" s="85" t="s">
        <v>342</v>
      </c>
      <c r="D299" s="85" t="s">
        <v>688</v>
      </c>
      <c r="E299" s="86" t="s">
        <v>473</v>
      </c>
      <c r="F299" s="85" t="s">
        <v>353</v>
      </c>
      <c r="G299" s="85" t="s">
        <v>257</v>
      </c>
      <c r="H299" s="85" t="s">
        <v>12</v>
      </c>
      <c r="I299" s="85" t="s">
        <v>258</v>
      </c>
      <c r="J299" s="86" t="s">
        <v>259</v>
      </c>
      <c r="K299" s="85" t="s">
        <v>365</v>
      </c>
      <c r="L299" s="87">
        <v>19.8</v>
      </c>
      <c r="M299" s="87">
        <f t="shared" si="87"/>
        <v>12.177</v>
      </c>
      <c r="N299" s="88">
        <f>prodnorm5</f>
        <v>0</v>
      </c>
      <c r="O299" s="33">
        <f>dagwerk5</f>
        <v>0</v>
      </c>
      <c r="P299" s="85" t="s">
        <v>109</v>
      </c>
      <c r="Q299" s="21">
        <f>uurtarief5</f>
        <v>0</v>
      </c>
      <c r="R299" s="87" t="e">
        <f t="shared" si="88"/>
        <v>#DIV/0!</v>
      </c>
      <c r="S299" s="87" t="e">
        <f t="shared" si="89"/>
        <v>#DIV/0!</v>
      </c>
      <c r="T299" s="21" t="e">
        <f t="shared" si="90"/>
        <v>#DIV/0!</v>
      </c>
      <c r="U299" s="87" t="e">
        <f t="shared" si="91"/>
        <v>#DIV/0!</v>
      </c>
      <c r="V299" s="22" t="e">
        <f t="shared" si="92"/>
        <v>#DIV/0!</v>
      </c>
    </row>
    <row r="300" spans="1:22" x14ac:dyDescent="0.25">
      <c r="A300" s="84" t="s">
        <v>633</v>
      </c>
      <c r="B300" s="85" t="s">
        <v>42</v>
      </c>
      <c r="C300" s="85" t="s">
        <v>342</v>
      </c>
      <c r="D300" s="85" t="s">
        <v>688</v>
      </c>
      <c r="E300" s="86" t="s">
        <v>473</v>
      </c>
      <c r="F300" s="85" t="s">
        <v>353</v>
      </c>
      <c r="G300" s="85" t="s">
        <v>266</v>
      </c>
      <c r="H300" s="85" t="s">
        <v>14</v>
      </c>
      <c r="I300" s="85" t="s">
        <v>258</v>
      </c>
      <c r="J300" s="86" t="s">
        <v>267</v>
      </c>
      <c r="K300" s="85" t="s">
        <v>365</v>
      </c>
      <c r="L300" s="87">
        <v>19.8</v>
      </c>
      <c r="M300" s="87">
        <f t="shared" si="87"/>
        <v>8.1180000000000003</v>
      </c>
      <c r="N300" s="88">
        <f>prodnorm13</f>
        <v>0</v>
      </c>
      <c r="O300" s="33">
        <f>dagwerk13</f>
        <v>0</v>
      </c>
      <c r="P300" s="85" t="s">
        <v>109</v>
      </c>
      <c r="Q300" s="21">
        <f>uurtarief13</f>
        <v>0</v>
      </c>
      <c r="R300" s="87" t="e">
        <f t="shared" si="88"/>
        <v>#DIV/0!</v>
      </c>
      <c r="S300" s="87" t="e">
        <f t="shared" si="89"/>
        <v>#DIV/0!</v>
      </c>
      <c r="T300" s="21" t="e">
        <f t="shared" si="90"/>
        <v>#DIV/0!</v>
      </c>
      <c r="U300" s="87" t="e">
        <f t="shared" si="91"/>
        <v>#DIV/0!</v>
      </c>
      <c r="V300" s="22" t="e">
        <f t="shared" si="92"/>
        <v>#DIV/0!</v>
      </c>
    </row>
    <row r="301" spans="1:22" x14ac:dyDescent="0.25">
      <c r="A301" s="84" t="s">
        <v>633</v>
      </c>
      <c r="B301" s="85" t="s">
        <v>42</v>
      </c>
      <c r="C301" s="85" t="s">
        <v>342</v>
      </c>
      <c r="D301" s="85" t="s">
        <v>689</v>
      </c>
      <c r="E301" s="86" t="s">
        <v>690</v>
      </c>
      <c r="F301" s="85" t="s">
        <v>691</v>
      </c>
      <c r="G301" s="85" t="s">
        <v>316</v>
      </c>
      <c r="H301" s="85" t="s">
        <v>9</v>
      </c>
      <c r="I301" s="85" t="s">
        <v>258</v>
      </c>
      <c r="J301" s="86" t="s">
        <v>317</v>
      </c>
      <c r="K301" s="85" t="s">
        <v>346</v>
      </c>
      <c r="L301" s="87">
        <v>19</v>
      </c>
      <c r="M301" s="87">
        <f t="shared" si="87"/>
        <v>19.474999999999998</v>
      </c>
      <c r="N301" s="88">
        <f>prodnorm48</f>
        <v>0</v>
      </c>
      <c r="O301" s="33">
        <f>dagwerk48</f>
        <v>0</v>
      </c>
      <c r="P301" s="85" t="s">
        <v>109</v>
      </c>
      <c r="Q301" s="21">
        <f>uurtarief48</f>
        <v>0</v>
      </c>
      <c r="R301" s="87" t="e">
        <f t="shared" si="88"/>
        <v>#DIV/0!</v>
      </c>
      <c r="S301" s="87" t="e">
        <f t="shared" si="89"/>
        <v>#DIV/0!</v>
      </c>
      <c r="T301" s="21" t="e">
        <f t="shared" si="90"/>
        <v>#DIV/0!</v>
      </c>
      <c r="U301" s="87" t="e">
        <f t="shared" si="91"/>
        <v>#DIV/0!</v>
      </c>
      <c r="V301" s="22" t="e">
        <f t="shared" si="92"/>
        <v>#DIV/0!</v>
      </c>
    </row>
    <row r="302" spans="1:22" x14ac:dyDescent="0.25">
      <c r="A302" s="84" t="s">
        <v>633</v>
      </c>
      <c r="B302" s="85" t="s">
        <v>42</v>
      </c>
      <c r="C302" s="85" t="s">
        <v>342</v>
      </c>
      <c r="D302" s="85" t="s">
        <v>692</v>
      </c>
      <c r="E302" s="86" t="s">
        <v>680</v>
      </c>
      <c r="F302" s="85" t="s">
        <v>413</v>
      </c>
      <c r="G302" s="85" t="s">
        <v>312</v>
      </c>
      <c r="H302" s="85" t="s">
        <v>9</v>
      </c>
      <c r="I302" s="85" t="s">
        <v>258</v>
      </c>
      <c r="J302" s="86" t="s">
        <v>313</v>
      </c>
      <c r="K302" s="85" t="s">
        <v>346</v>
      </c>
      <c r="L302" s="87">
        <v>21.1</v>
      </c>
      <c r="M302" s="87">
        <f t="shared" si="87"/>
        <v>21.627500000000001</v>
      </c>
      <c r="N302" s="88">
        <f>prodnorm46</f>
        <v>0</v>
      </c>
      <c r="O302" s="33">
        <f>dagwerk46</f>
        <v>0</v>
      </c>
      <c r="P302" s="85" t="s">
        <v>109</v>
      </c>
      <c r="Q302" s="21">
        <f>uurtarief46</f>
        <v>0</v>
      </c>
      <c r="R302" s="87" t="e">
        <f t="shared" si="88"/>
        <v>#DIV/0!</v>
      </c>
      <c r="S302" s="87" t="e">
        <f t="shared" si="89"/>
        <v>#DIV/0!</v>
      </c>
      <c r="T302" s="21" t="e">
        <f t="shared" si="90"/>
        <v>#DIV/0!</v>
      </c>
      <c r="U302" s="87" t="e">
        <f t="shared" si="91"/>
        <v>#DIV/0!</v>
      </c>
      <c r="V302" s="22" t="e">
        <f t="shared" si="92"/>
        <v>#DIV/0!</v>
      </c>
    </row>
    <row r="303" spans="1:22" x14ac:dyDescent="0.25">
      <c r="A303" s="84" t="s">
        <v>633</v>
      </c>
      <c r="B303" s="85" t="s">
        <v>42</v>
      </c>
      <c r="C303" s="85" t="s">
        <v>342</v>
      </c>
      <c r="D303" s="85" t="s">
        <v>693</v>
      </c>
      <c r="E303" s="86" t="s">
        <v>452</v>
      </c>
      <c r="F303" s="85" t="s">
        <v>413</v>
      </c>
      <c r="G303" s="85" t="s">
        <v>322</v>
      </c>
      <c r="H303" s="85" t="s">
        <v>9</v>
      </c>
      <c r="I303" s="85" t="s">
        <v>258</v>
      </c>
      <c r="J303" s="86" t="s">
        <v>323</v>
      </c>
      <c r="K303" s="85" t="s">
        <v>346</v>
      </c>
      <c r="L303" s="87">
        <v>16</v>
      </c>
      <c r="M303" s="87">
        <f t="shared" si="87"/>
        <v>16.399999999999999</v>
      </c>
      <c r="N303" s="88">
        <f>prodnorm54</f>
        <v>0</v>
      </c>
      <c r="O303" s="33">
        <f>dagwerk54</f>
        <v>0</v>
      </c>
      <c r="P303" s="85" t="s">
        <v>109</v>
      </c>
      <c r="Q303" s="21">
        <f>uurtarief54</f>
        <v>0</v>
      </c>
      <c r="R303" s="87" t="e">
        <f t="shared" si="88"/>
        <v>#DIV/0!</v>
      </c>
      <c r="S303" s="87" t="e">
        <f t="shared" si="89"/>
        <v>#DIV/0!</v>
      </c>
      <c r="T303" s="21" t="e">
        <f t="shared" si="90"/>
        <v>#DIV/0!</v>
      </c>
      <c r="U303" s="87" t="e">
        <f t="shared" si="91"/>
        <v>#DIV/0!</v>
      </c>
      <c r="V303" s="22" t="e">
        <f t="shared" si="92"/>
        <v>#DIV/0!</v>
      </c>
    </row>
    <row r="304" spans="1:22" x14ac:dyDescent="0.25">
      <c r="A304" s="84" t="s">
        <v>633</v>
      </c>
      <c r="B304" s="85" t="s">
        <v>42</v>
      </c>
      <c r="C304" s="85" t="s">
        <v>342</v>
      </c>
      <c r="D304" s="85" t="s">
        <v>694</v>
      </c>
      <c r="E304" s="86" t="s">
        <v>373</v>
      </c>
      <c r="F304" s="85" t="s">
        <v>345</v>
      </c>
      <c r="G304" s="85" t="s">
        <v>312</v>
      </c>
      <c r="H304" s="85" t="s">
        <v>9</v>
      </c>
      <c r="I304" s="85" t="s">
        <v>258</v>
      </c>
      <c r="J304" s="86" t="s">
        <v>313</v>
      </c>
      <c r="K304" s="85" t="s">
        <v>346</v>
      </c>
      <c r="L304" s="87">
        <v>65.099999999999994</v>
      </c>
      <c r="M304" s="87">
        <f t="shared" si="87"/>
        <v>66.727499999999992</v>
      </c>
      <c r="N304" s="88">
        <f>prodnorm46</f>
        <v>0</v>
      </c>
      <c r="O304" s="33">
        <f>dagwerk46</f>
        <v>0</v>
      </c>
      <c r="P304" s="85" t="s">
        <v>109</v>
      </c>
      <c r="Q304" s="21">
        <f>uurtarief46</f>
        <v>0</v>
      </c>
      <c r="R304" s="87" t="e">
        <f t="shared" si="88"/>
        <v>#DIV/0!</v>
      </c>
      <c r="S304" s="87" t="e">
        <f t="shared" si="89"/>
        <v>#DIV/0!</v>
      </c>
      <c r="T304" s="21" t="e">
        <f t="shared" si="90"/>
        <v>#DIV/0!</v>
      </c>
      <c r="U304" s="87" t="e">
        <f t="shared" si="91"/>
        <v>#DIV/0!</v>
      </c>
      <c r="V304" s="22" t="e">
        <f t="shared" si="92"/>
        <v>#DIV/0!</v>
      </c>
    </row>
    <row r="305" spans="1:22" x14ac:dyDescent="0.25">
      <c r="A305" s="84" t="s">
        <v>633</v>
      </c>
      <c r="B305" s="85" t="s">
        <v>42</v>
      </c>
      <c r="C305" s="85" t="s">
        <v>342</v>
      </c>
      <c r="D305" s="85" t="s">
        <v>695</v>
      </c>
      <c r="E305" s="86" t="s">
        <v>696</v>
      </c>
      <c r="F305" s="85" t="s">
        <v>349</v>
      </c>
      <c r="G305" s="85" t="s">
        <v>286</v>
      </c>
      <c r="H305" s="85" t="s">
        <v>9</v>
      </c>
      <c r="I305" s="85" t="s">
        <v>258</v>
      </c>
      <c r="J305" s="86" t="s">
        <v>287</v>
      </c>
      <c r="K305" s="85" t="s">
        <v>386</v>
      </c>
      <c r="L305" s="87">
        <v>392.5</v>
      </c>
      <c r="M305" s="87">
        <f t="shared" si="87"/>
        <v>402.31249999999994</v>
      </c>
      <c r="N305" s="88">
        <f>prodnorm26</f>
        <v>0</v>
      </c>
      <c r="O305" s="33">
        <f>dagwerk26</f>
        <v>0</v>
      </c>
      <c r="P305" s="85" t="s">
        <v>109</v>
      </c>
      <c r="Q305" s="21">
        <f>uurtarief26</f>
        <v>0</v>
      </c>
      <c r="R305" s="87" t="e">
        <f t="shared" si="88"/>
        <v>#DIV/0!</v>
      </c>
      <c r="S305" s="87" t="e">
        <f t="shared" si="89"/>
        <v>#DIV/0!</v>
      </c>
      <c r="T305" s="21" t="e">
        <f t="shared" si="90"/>
        <v>#DIV/0!</v>
      </c>
      <c r="U305" s="87" t="e">
        <f t="shared" si="91"/>
        <v>#DIV/0!</v>
      </c>
      <c r="V305" s="22" t="e">
        <f t="shared" si="92"/>
        <v>#DIV/0!</v>
      </c>
    </row>
    <row r="306" spans="1:22" x14ac:dyDescent="0.25">
      <c r="A306" s="84" t="s">
        <v>633</v>
      </c>
      <c r="B306" s="85" t="s">
        <v>42</v>
      </c>
      <c r="C306" s="85" t="s">
        <v>342</v>
      </c>
      <c r="D306" s="85" t="s">
        <v>697</v>
      </c>
      <c r="E306" s="86" t="s">
        <v>698</v>
      </c>
      <c r="F306" s="85" t="s">
        <v>699</v>
      </c>
      <c r="G306" s="85" t="s">
        <v>310</v>
      </c>
      <c r="H306" s="85" t="s">
        <v>9</v>
      </c>
      <c r="I306" s="85" t="s">
        <v>258</v>
      </c>
      <c r="J306" s="86" t="s">
        <v>311</v>
      </c>
      <c r="K306" s="85" t="s">
        <v>42</v>
      </c>
      <c r="L306" s="87">
        <v>13.870000000000001</v>
      </c>
      <c r="M306" s="87">
        <f t="shared" si="87"/>
        <v>14.216749999999999</v>
      </c>
      <c r="N306" s="88">
        <f>prodnorm45</f>
        <v>0</v>
      </c>
      <c r="O306" s="33">
        <f>dagwerk45</f>
        <v>0</v>
      </c>
      <c r="P306" s="85" t="s">
        <v>109</v>
      </c>
      <c r="Q306" s="21">
        <f>uurtarief45</f>
        <v>0</v>
      </c>
      <c r="R306" s="87" t="e">
        <f t="shared" si="88"/>
        <v>#DIV/0!</v>
      </c>
      <c r="S306" s="87" t="e">
        <f t="shared" si="89"/>
        <v>#DIV/0!</v>
      </c>
      <c r="T306" s="21" t="e">
        <f t="shared" si="90"/>
        <v>#DIV/0!</v>
      </c>
      <c r="U306" s="87" t="e">
        <f t="shared" si="91"/>
        <v>#DIV/0!</v>
      </c>
      <c r="V306" s="22" t="e">
        <f t="shared" si="92"/>
        <v>#DIV/0!</v>
      </c>
    </row>
    <row r="307" spans="1:22" ht="23" x14ac:dyDescent="0.25">
      <c r="A307" s="84" t="s">
        <v>633</v>
      </c>
      <c r="B307" s="85" t="s">
        <v>42</v>
      </c>
      <c r="C307" s="85" t="s">
        <v>342</v>
      </c>
      <c r="D307" s="85" t="s">
        <v>700</v>
      </c>
      <c r="E307" s="86" t="s">
        <v>701</v>
      </c>
      <c r="F307" s="85" t="s">
        <v>345</v>
      </c>
      <c r="G307" s="85" t="s">
        <v>260</v>
      </c>
      <c r="H307" s="85" t="s">
        <v>9</v>
      </c>
      <c r="I307" s="85" t="s">
        <v>258</v>
      </c>
      <c r="J307" s="86" t="s">
        <v>261</v>
      </c>
      <c r="K307" s="85" t="s">
        <v>365</v>
      </c>
      <c r="L307" s="87">
        <v>53.7</v>
      </c>
      <c r="M307" s="87">
        <f t="shared" si="87"/>
        <v>55.042499999999997</v>
      </c>
      <c r="N307" s="88">
        <f>prodnorm6</f>
        <v>0</v>
      </c>
      <c r="O307" s="33">
        <f>dagwerk6</f>
        <v>0</v>
      </c>
      <c r="P307" s="85" t="s">
        <v>109</v>
      </c>
      <c r="Q307" s="21">
        <f>uurtarief6</f>
        <v>0</v>
      </c>
      <c r="R307" s="87" t="e">
        <f t="shared" si="88"/>
        <v>#DIV/0!</v>
      </c>
      <c r="S307" s="87" t="e">
        <f t="shared" si="89"/>
        <v>#DIV/0!</v>
      </c>
      <c r="T307" s="21" t="e">
        <f t="shared" si="90"/>
        <v>#DIV/0!</v>
      </c>
      <c r="U307" s="87" t="e">
        <f t="shared" si="91"/>
        <v>#DIV/0!</v>
      </c>
      <c r="V307" s="22" t="e">
        <f t="shared" si="92"/>
        <v>#DIV/0!</v>
      </c>
    </row>
    <row r="308" spans="1:22" x14ac:dyDescent="0.25">
      <c r="A308" s="84" t="s">
        <v>633</v>
      </c>
      <c r="B308" s="85" t="s">
        <v>42</v>
      </c>
      <c r="C308" s="85" t="s">
        <v>342</v>
      </c>
      <c r="D308" s="85" t="s">
        <v>702</v>
      </c>
      <c r="E308" s="86" t="s">
        <v>586</v>
      </c>
      <c r="F308" s="85" t="s">
        <v>349</v>
      </c>
      <c r="G308" s="85" t="s">
        <v>282</v>
      </c>
      <c r="H308" s="85" t="s">
        <v>9</v>
      </c>
      <c r="I308" s="85" t="s">
        <v>258</v>
      </c>
      <c r="J308" s="86" t="s">
        <v>283</v>
      </c>
      <c r="K308" s="85" t="s">
        <v>386</v>
      </c>
      <c r="L308" s="87">
        <v>40.1</v>
      </c>
      <c r="M308" s="87">
        <f t="shared" si="87"/>
        <v>41.102499999999999</v>
      </c>
      <c r="N308" s="88">
        <f>prodnorm24</f>
        <v>0</v>
      </c>
      <c r="O308" s="33">
        <f>dagwerk24</f>
        <v>0</v>
      </c>
      <c r="P308" s="85" t="s">
        <v>109</v>
      </c>
      <c r="Q308" s="21">
        <f>uurtarief24</f>
        <v>0</v>
      </c>
      <c r="R308" s="87" t="e">
        <f t="shared" si="88"/>
        <v>#DIV/0!</v>
      </c>
      <c r="S308" s="87" t="e">
        <f t="shared" si="89"/>
        <v>#DIV/0!</v>
      </c>
      <c r="T308" s="21" t="e">
        <f t="shared" si="90"/>
        <v>#DIV/0!</v>
      </c>
      <c r="U308" s="87" t="e">
        <f t="shared" si="91"/>
        <v>#DIV/0!</v>
      </c>
      <c r="V308" s="22" t="e">
        <f t="shared" si="92"/>
        <v>#DIV/0!</v>
      </c>
    </row>
    <row r="309" spans="1:22" x14ac:dyDescent="0.25">
      <c r="A309" s="84" t="s">
        <v>633</v>
      </c>
      <c r="B309" s="85" t="s">
        <v>42</v>
      </c>
      <c r="C309" s="85" t="s">
        <v>342</v>
      </c>
      <c r="D309" s="85" t="s">
        <v>703</v>
      </c>
      <c r="E309" s="86" t="s">
        <v>704</v>
      </c>
      <c r="F309" s="85" t="s">
        <v>349</v>
      </c>
      <c r="G309" s="85" t="s">
        <v>286</v>
      </c>
      <c r="H309" s="85" t="s">
        <v>9</v>
      </c>
      <c r="I309" s="85" t="s">
        <v>258</v>
      </c>
      <c r="J309" s="86" t="s">
        <v>287</v>
      </c>
      <c r="K309" s="85" t="s">
        <v>346</v>
      </c>
      <c r="L309" s="87">
        <v>386</v>
      </c>
      <c r="M309" s="87">
        <f t="shared" si="87"/>
        <v>395.65</v>
      </c>
      <c r="N309" s="88">
        <f>prodnorm26</f>
        <v>0</v>
      </c>
      <c r="O309" s="33">
        <f>dagwerk26</f>
        <v>0</v>
      </c>
      <c r="P309" s="85" t="s">
        <v>109</v>
      </c>
      <c r="Q309" s="21">
        <f>uurtarief26</f>
        <v>0</v>
      </c>
      <c r="R309" s="87" t="e">
        <f t="shared" si="88"/>
        <v>#DIV/0!</v>
      </c>
      <c r="S309" s="87" t="e">
        <f t="shared" si="89"/>
        <v>#DIV/0!</v>
      </c>
      <c r="T309" s="21" t="e">
        <f t="shared" si="90"/>
        <v>#DIV/0!</v>
      </c>
      <c r="U309" s="87" t="e">
        <f t="shared" si="91"/>
        <v>#DIV/0!</v>
      </c>
      <c r="V309" s="22" t="e">
        <f t="shared" si="92"/>
        <v>#DIV/0!</v>
      </c>
    </row>
    <row r="310" spans="1:22" x14ac:dyDescent="0.25">
      <c r="A310" s="84" t="s">
        <v>633</v>
      </c>
      <c r="B310" s="85" t="s">
        <v>42</v>
      </c>
      <c r="C310" s="85" t="s">
        <v>342</v>
      </c>
      <c r="D310" s="85" t="s">
        <v>705</v>
      </c>
      <c r="E310" s="86" t="s">
        <v>706</v>
      </c>
      <c r="F310" s="85" t="s">
        <v>349</v>
      </c>
      <c r="G310" s="85" t="s">
        <v>272</v>
      </c>
      <c r="H310" s="85" t="s">
        <v>9</v>
      </c>
      <c r="I310" s="85" t="s">
        <v>258</v>
      </c>
      <c r="J310" s="86" t="s">
        <v>273</v>
      </c>
      <c r="K310" s="85" t="s">
        <v>346</v>
      </c>
      <c r="L310" s="87">
        <v>474.5</v>
      </c>
      <c r="M310" s="87">
        <f t="shared" si="87"/>
        <v>486.36249999999995</v>
      </c>
      <c r="N310" s="88">
        <f>prodnorm19</f>
        <v>0</v>
      </c>
      <c r="O310" s="33">
        <f>dagwerk19</f>
        <v>0</v>
      </c>
      <c r="P310" s="85" t="s">
        <v>109</v>
      </c>
      <c r="Q310" s="21">
        <f>uurtarief19</f>
        <v>0</v>
      </c>
      <c r="R310" s="87" t="e">
        <f t="shared" si="88"/>
        <v>#DIV/0!</v>
      </c>
      <c r="S310" s="87" t="e">
        <f t="shared" si="89"/>
        <v>#DIV/0!</v>
      </c>
      <c r="T310" s="21" t="e">
        <f t="shared" si="90"/>
        <v>#DIV/0!</v>
      </c>
      <c r="U310" s="87" t="e">
        <f t="shared" si="91"/>
        <v>#DIV/0!</v>
      </c>
      <c r="V310" s="22" t="e">
        <f t="shared" si="92"/>
        <v>#DIV/0!</v>
      </c>
    </row>
    <row r="311" spans="1:22" x14ac:dyDescent="0.25">
      <c r="A311" s="84" t="s">
        <v>633</v>
      </c>
      <c r="B311" s="85" t="s">
        <v>42</v>
      </c>
      <c r="C311" s="85" t="s">
        <v>342</v>
      </c>
      <c r="D311" s="85" t="s">
        <v>707</v>
      </c>
      <c r="E311" s="86" t="s">
        <v>590</v>
      </c>
      <c r="F311" s="85" t="s">
        <v>349</v>
      </c>
      <c r="G311" s="85" t="s">
        <v>257</v>
      </c>
      <c r="H311" s="85" t="s">
        <v>12</v>
      </c>
      <c r="I311" s="85" t="s">
        <v>258</v>
      </c>
      <c r="J311" s="86" t="s">
        <v>259</v>
      </c>
      <c r="K311" s="85" t="s">
        <v>365</v>
      </c>
      <c r="L311" s="87">
        <v>26.4</v>
      </c>
      <c r="M311" s="87">
        <f t="shared" si="87"/>
        <v>16.236000000000001</v>
      </c>
      <c r="N311" s="88">
        <f>prodnorm5</f>
        <v>0</v>
      </c>
      <c r="O311" s="33">
        <f>dagwerk5</f>
        <v>0</v>
      </c>
      <c r="P311" s="85" t="s">
        <v>109</v>
      </c>
      <c r="Q311" s="21">
        <f>uurtarief5</f>
        <v>0</v>
      </c>
      <c r="R311" s="87" t="e">
        <f t="shared" si="88"/>
        <v>#DIV/0!</v>
      </c>
      <c r="S311" s="87" t="e">
        <f t="shared" si="89"/>
        <v>#DIV/0!</v>
      </c>
      <c r="T311" s="21" t="e">
        <f t="shared" si="90"/>
        <v>#DIV/0!</v>
      </c>
      <c r="U311" s="87" t="e">
        <f t="shared" si="91"/>
        <v>#DIV/0!</v>
      </c>
      <c r="V311" s="22" t="e">
        <f t="shared" si="92"/>
        <v>#DIV/0!</v>
      </c>
    </row>
    <row r="312" spans="1:22" x14ac:dyDescent="0.25">
      <c r="A312" s="84" t="s">
        <v>633</v>
      </c>
      <c r="B312" s="85" t="s">
        <v>42</v>
      </c>
      <c r="C312" s="85" t="s">
        <v>342</v>
      </c>
      <c r="D312" s="85" t="s">
        <v>707</v>
      </c>
      <c r="E312" s="86" t="s">
        <v>590</v>
      </c>
      <c r="F312" s="85" t="s">
        <v>349</v>
      </c>
      <c r="G312" s="85" t="s">
        <v>260</v>
      </c>
      <c r="H312" s="85" t="s">
        <v>14</v>
      </c>
      <c r="I312" s="85" t="s">
        <v>258</v>
      </c>
      <c r="J312" s="86" t="s">
        <v>261</v>
      </c>
      <c r="K312" s="85" t="s">
        <v>365</v>
      </c>
      <c r="L312" s="87">
        <v>26.4</v>
      </c>
      <c r="M312" s="87">
        <f t="shared" si="87"/>
        <v>10.823999999999998</v>
      </c>
      <c r="N312" s="88">
        <f>prodnorm7</f>
        <v>0</v>
      </c>
      <c r="O312" s="33">
        <f>dagwerk7</f>
        <v>0</v>
      </c>
      <c r="P312" s="85" t="s">
        <v>109</v>
      </c>
      <c r="Q312" s="21">
        <f>uurtarief7</f>
        <v>0</v>
      </c>
      <c r="R312" s="87" t="e">
        <f t="shared" si="88"/>
        <v>#DIV/0!</v>
      </c>
      <c r="S312" s="87" t="e">
        <f t="shared" si="89"/>
        <v>#DIV/0!</v>
      </c>
      <c r="T312" s="21" t="e">
        <f t="shared" si="90"/>
        <v>#DIV/0!</v>
      </c>
      <c r="U312" s="87" t="e">
        <f t="shared" si="91"/>
        <v>#DIV/0!</v>
      </c>
      <c r="V312" s="22" t="e">
        <f t="shared" si="92"/>
        <v>#DIV/0!</v>
      </c>
    </row>
    <row r="313" spans="1:22" x14ac:dyDescent="0.25">
      <c r="A313" s="84" t="s">
        <v>633</v>
      </c>
      <c r="B313" s="85" t="s">
        <v>42</v>
      </c>
      <c r="C313" s="85" t="s">
        <v>342</v>
      </c>
      <c r="D313" s="85" t="s">
        <v>708</v>
      </c>
      <c r="E313" s="86" t="s">
        <v>709</v>
      </c>
      <c r="F313" s="85" t="s">
        <v>349</v>
      </c>
      <c r="G313" s="85" t="s">
        <v>257</v>
      </c>
      <c r="H313" s="85" t="s">
        <v>12</v>
      </c>
      <c r="I313" s="85" t="s">
        <v>258</v>
      </c>
      <c r="J313" s="86" t="s">
        <v>259</v>
      </c>
      <c r="K313" s="85" t="s">
        <v>365</v>
      </c>
      <c r="L313" s="87">
        <v>17.399999999999999</v>
      </c>
      <c r="M313" s="87">
        <f t="shared" ref="M313:M332" si="93">L313*VLOOKUP(H313,dagsoorttabel1,2,FALSE)</f>
        <v>10.700999999999999</v>
      </c>
      <c r="N313" s="88">
        <f>prodnorm5</f>
        <v>0</v>
      </c>
      <c r="O313" s="33">
        <f>dagwerk5</f>
        <v>0</v>
      </c>
      <c r="P313" s="85" t="s">
        <v>109</v>
      </c>
      <c r="Q313" s="21">
        <f>uurtarief5</f>
        <v>0</v>
      </c>
      <c r="R313" s="87" t="e">
        <f t="shared" ref="R313:R332" si="94">IF(ISBLANK(N313),0,M313/ROUND(N313,4))</f>
        <v>#DIV/0!</v>
      </c>
      <c r="S313" s="87" t="e">
        <f t="shared" ref="S313:S332" si="95">IF(ISBLANK(N313),0,R313*ROUND(O313,2))</f>
        <v>#DIV/0!</v>
      </c>
      <c r="T313" s="21" t="e">
        <f t="shared" ref="T313:T332" si="96">ROUND(Q313,2)*R313</f>
        <v>#DIV/0!</v>
      </c>
      <c r="U313" s="87" t="e">
        <f t="shared" ref="U313:U332" si="97">R313*dagenperjaar1</f>
        <v>#DIV/0!</v>
      </c>
      <c r="V313" s="22" t="e">
        <f t="shared" ref="V313:V332" si="98">U313*ROUND(Q313,2)</f>
        <v>#DIV/0!</v>
      </c>
    </row>
    <row r="314" spans="1:22" x14ac:dyDescent="0.25">
      <c r="A314" s="84" t="s">
        <v>633</v>
      </c>
      <c r="B314" s="85" t="s">
        <v>42</v>
      </c>
      <c r="C314" s="85" t="s">
        <v>342</v>
      </c>
      <c r="D314" s="85" t="s">
        <v>708</v>
      </c>
      <c r="E314" s="86" t="s">
        <v>709</v>
      </c>
      <c r="F314" s="85" t="s">
        <v>349</v>
      </c>
      <c r="G314" s="85" t="s">
        <v>260</v>
      </c>
      <c r="H314" s="85" t="s">
        <v>14</v>
      </c>
      <c r="I314" s="85" t="s">
        <v>258</v>
      </c>
      <c r="J314" s="86" t="s">
        <v>261</v>
      </c>
      <c r="K314" s="85" t="s">
        <v>365</v>
      </c>
      <c r="L314" s="87">
        <v>17.399999999999999</v>
      </c>
      <c r="M314" s="87">
        <f t="shared" si="93"/>
        <v>7.1339999999999986</v>
      </c>
      <c r="N314" s="88">
        <f>prodnorm7</f>
        <v>0</v>
      </c>
      <c r="O314" s="33">
        <f>dagwerk7</f>
        <v>0</v>
      </c>
      <c r="P314" s="85" t="s">
        <v>109</v>
      </c>
      <c r="Q314" s="21">
        <f>uurtarief7</f>
        <v>0</v>
      </c>
      <c r="R314" s="87" t="e">
        <f t="shared" si="94"/>
        <v>#DIV/0!</v>
      </c>
      <c r="S314" s="87" t="e">
        <f t="shared" si="95"/>
        <v>#DIV/0!</v>
      </c>
      <c r="T314" s="21" t="e">
        <f t="shared" si="96"/>
        <v>#DIV/0!</v>
      </c>
      <c r="U314" s="87" t="e">
        <f t="shared" si="97"/>
        <v>#DIV/0!</v>
      </c>
      <c r="V314" s="22" t="e">
        <f t="shared" si="98"/>
        <v>#DIV/0!</v>
      </c>
    </row>
    <row r="315" spans="1:22" x14ac:dyDescent="0.25">
      <c r="A315" s="84" t="s">
        <v>633</v>
      </c>
      <c r="B315" s="85" t="s">
        <v>42</v>
      </c>
      <c r="C315" s="85" t="s">
        <v>342</v>
      </c>
      <c r="D315" s="85" t="s">
        <v>710</v>
      </c>
      <c r="E315" s="86" t="s">
        <v>473</v>
      </c>
      <c r="F315" s="85" t="s">
        <v>353</v>
      </c>
      <c r="G315" s="85" t="s">
        <v>257</v>
      </c>
      <c r="H315" s="85" t="s">
        <v>12</v>
      </c>
      <c r="I315" s="85" t="s">
        <v>258</v>
      </c>
      <c r="J315" s="86" t="s">
        <v>259</v>
      </c>
      <c r="K315" s="85" t="s">
        <v>365</v>
      </c>
      <c r="L315" s="87">
        <v>7.1</v>
      </c>
      <c r="M315" s="87">
        <f t="shared" si="93"/>
        <v>4.3664999999999994</v>
      </c>
      <c r="N315" s="88">
        <f>prodnorm5</f>
        <v>0</v>
      </c>
      <c r="O315" s="33">
        <f>dagwerk5</f>
        <v>0</v>
      </c>
      <c r="P315" s="85" t="s">
        <v>109</v>
      </c>
      <c r="Q315" s="21">
        <f>uurtarief5</f>
        <v>0</v>
      </c>
      <c r="R315" s="87" t="e">
        <f t="shared" si="94"/>
        <v>#DIV/0!</v>
      </c>
      <c r="S315" s="87" t="e">
        <f t="shared" si="95"/>
        <v>#DIV/0!</v>
      </c>
      <c r="T315" s="21" t="e">
        <f t="shared" si="96"/>
        <v>#DIV/0!</v>
      </c>
      <c r="U315" s="87" t="e">
        <f t="shared" si="97"/>
        <v>#DIV/0!</v>
      </c>
      <c r="V315" s="22" t="e">
        <f t="shared" si="98"/>
        <v>#DIV/0!</v>
      </c>
    </row>
    <row r="316" spans="1:22" x14ac:dyDescent="0.25">
      <c r="A316" s="84" t="s">
        <v>633</v>
      </c>
      <c r="B316" s="85" t="s">
        <v>42</v>
      </c>
      <c r="C316" s="85" t="s">
        <v>342</v>
      </c>
      <c r="D316" s="85" t="s">
        <v>710</v>
      </c>
      <c r="E316" s="86" t="s">
        <v>473</v>
      </c>
      <c r="F316" s="85" t="s">
        <v>353</v>
      </c>
      <c r="G316" s="85" t="s">
        <v>266</v>
      </c>
      <c r="H316" s="85" t="s">
        <v>14</v>
      </c>
      <c r="I316" s="85" t="s">
        <v>258</v>
      </c>
      <c r="J316" s="86" t="s">
        <v>267</v>
      </c>
      <c r="K316" s="85" t="s">
        <v>365</v>
      </c>
      <c r="L316" s="87">
        <v>7.1</v>
      </c>
      <c r="M316" s="87">
        <f t="shared" si="93"/>
        <v>2.9109999999999996</v>
      </c>
      <c r="N316" s="88">
        <f>prodnorm13</f>
        <v>0</v>
      </c>
      <c r="O316" s="33">
        <f>dagwerk13</f>
        <v>0</v>
      </c>
      <c r="P316" s="85" t="s">
        <v>109</v>
      </c>
      <c r="Q316" s="21">
        <f>uurtarief13</f>
        <v>0</v>
      </c>
      <c r="R316" s="87" t="e">
        <f t="shared" si="94"/>
        <v>#DIV/0!</v>
      </c>
      <c r="S316" s="87" t="e">
        <f t="shared" si="95"/>
        <v>#DIV/0!</v>
      </c>
      <c r="T316" s="21" t="e">
        <f t="shared" si="96"/>
        <v>#DIV/0!</v>
      </c>
      <c r="U316" s="87" t="e">
        <f t="shared" si="97"/>
        <v>#DIV/0!</v>
      </c>
      <c r="V316" s="22" t="e">
        <f t="shared" si="98"/>
        <v>#DIV/0!</v>
      </c>
    </row>
    <row r="317" spans="1:22" x14ac:dyDescent="0.25">
      <c r="A317" s="84" t="s">
        <v>633</v>
      </c>
      <c r="B317" s="85" t="s">
        <v>42</v>
      </c>
      <c r="C317" s="85" t="s">
        <v>342</v>
      </c>
      <c r="D317" s="85" t="s">
        <v>711</v>
      </c>
      <c r="E317" s="86" t="s">
        <v>473</v>
      </c>
      <c r="F317" s="85" t="s">
        <v>353</v>
      </c>
      <c r="G317" s="85" t="s">
        <v>257</v>
      </c>
      <c r="H317" s="85" t="s">
        <v>12</v>
      </c>
      <c r="I317" s="85" t="s">
        <v>258</v>
      </c>
      <c r="J317" s="86" t="s">
        <v>259</v>
      </c>
      <c r="K317" s="85" t="s">
        <v>365</v>
      </c>
      <c r="L317" s="87">
        <v>7.6</v>
      </c>
      <c r="M317" s="87">
        <f t="shared" si="93"/>
        <v>4.6739999999999995</v>
      </c>
      <c r="N317" s="88">
        <f>prodnorm5</f>
        <v>0</v>
      </c>
      <c r="O317" s="33">
        <f>dagwerk5</f>
        <v>0</v>
      </c>
      <c r="P317" s="85" t="s">
        <v>109</v>
      </c>
      <c r="Q317" s="21">
        <f>uurtarief5</f>
        <v>0</v>
      </c>
      <c r="R317" s="87" t="e">
        <f t="shared" si="94"/>
        <v>#DIV/0!</v>
      </c>
      <c r="S317" s="87" t="e">
        <f t="shared" si="95"/>
        <v>#DIV/0!</v>
      </c>
      <c r="T317" s="21" t="e">
        <f t="shared" si="96"/>
        <v>#DIV/0!</v>
      </c>
      <c r="U317" s="87" t="e">
        <f t="shared" si="97"/>
        <v>#DIV/0!</v>
      </c>
      <c r="V317" s="22" t="e">
        <f t="shared" si="98"/>
        <v>#DIV/0!</v>
      </c>
    </row>
    <row r="318" spans="1:22" x14ac:dyDescent="0.25">
      <c r="A318" s="84" t="s">
        <v>633</v>
      </c>
      <c r="B318" s="85" t="s">
        <v>42</v>
      </c>
      <c r="C318" s="85" t="s">
        <v>342</v>
      </c>
      <c r="D318" s="85" t="s">
        <v>711</v>
      </c>
      <c r="E318" s="86" t="s">
        <v>473</v>
      </c>
      <c r="F318" s="85" t="s">
        <v>353</v>
      </c>
      <c r="G318" s="85" t="s">
        <v>266</v>
      </c>
      <c r="H318" s="85" t="s">
        <v>14</v>
      </c>
      <c r="I318" s="85" t="s">
        <v>258</v>
      </c>
      <c r="J318" s="86" t="s">
        <v>267</v>
      </c>
      <c r="K318" s="85" t="s">
        <v>365</v>
      </c>
      <c r="L318" s="87">
        <v>7.6</v>
      </c>
      <c r="M318" s="87">
        <f t="shared" si="93"/>
        <v>3.1159999999999997</v>
      </c>
      <c r="N318" s="88">
        <f>prodnorm13</f>
        <v>0</v>
      </c>
      <c r="O318" s="33">
        <f>dagwerk13</f>
        <v>0</v>
      </c>
      <c r="P318" s="85" t="s">
        <v>109</v>
      </c>
      <c r="Q318" s="21">
        <f>uurtarief13</f>
        <v>0</v>
      </c>
      <c r="R318" s="87" t="e">
        <f t="shared" si="94"/>
        <v>#DIV/0!</v>
      </c>
      <c r="S318" s="87" t="e">
        <f t="shared" si="95"/>
        <v>#DIV/0!</v>
      </c>
      <c r="T318" s="21" t="e">
        <f t="shared" si="96"/>
        <v>#DIV/0!</v>
      </c>
      <c r="U318" s="87" t="e">
        <f t="shared" si="97"/>
        <v>#DIV/0!</v>
      </c>
      <c r="V318" s="22" t="e">
        <f t="shared" si="98"/>
        <v>#DIV/0!</v>
      </c>
    </row>
    <row r="319" spans="1:22" x14ac:dyDescent="0.25">
      <c r="A319" s="84" t="s">
        <v>633</v>
      </c>
      <c r="B319" s="85" t="s">
        <v>42</v>
      </c>
      <c r="C319" s="85" t="s">
        <v>342</v>
      </c>
      <c r="D319" s="85" t="s">
        <v>712</v>
      </c>
      <c r="E319" s="86" t="s">
        <v>590</v>
      </c>
      <c r="F319" s="85" t="s">
        <v>353</v>
      </c>
      <c r="G319" s="85" t="s">
        <v>257</v>
      </c>
      <c r="H319" s="85" t="s">
        <v>12</v>
      </c>
      <c r="I319" s="85" t="s">
        <v>258</v>
      </c>
      <c r="J319" s="86" t="s">
        <v>259</v>
      </c>
      <c r="K319" s="85" t="s">
        <v>365</v>
      </c>
      <c r="L319" s="87">
        <v>11.4</v>
      </c>
      <c r="M319" s="87">
        <f t="shared" si="93"/>
        <v>7.0110000000000001</v>
      </c>
      <c r="N319" s="88">
        <f>prodnorm5</f>
        <v>0</v>
      </c>
      <c r="O319" s="33">
        <f>dagwerk5</f>
        <v>0</v>
      </c>
      <c r="P319" s="85" t="s">
        <v>109</v>
      </c>
      <c r="Q319" s="21">
        <f>uurtarief5</f>
        <v>0</v>
      </c>
      <c r="R319" s="87" t="e">
        <f t="shared" si="94"/>
        <v>#DIV/0!</v>
      </c>
      <c r="S319" s="87" t="e">
        <f t="shared" si="95"/>
        <v>#DIV/0!</v>
      </c>
      <c r="T319" s="21" t="e">
        <f t="shared" si="96"/>
        <v>#DIV/0!</v>
      </c>
      <c r="U319" s="87" t="e">
        <f t="shared" si="97"/>
        <v>#DIV/0!</v>
      </c>
      <c r="V319" s="22" t="e">
        <f t="shared" si="98"/>
        <v>#DIV/0!</v>
      </c>
    </row>
    <row r="320" spans="1:22" x14ac:dyDescent="0.25">
      <c r="A320" s="84" t="s">
        <v>633</v>
      </c>
      <c r="B320" s="85" t="s">
        <v>42</v>
      </c>
      <c r="C320" s="85" t="s">
        <v>342</v>
      </c>
      <c r="D320" s="85" t="s">
        <v>712</v>
      </c>
      <c r="E320" s="86" t="s">
        <v>590</v>
      </c>
      <c r="F320" s="85" t="s">
        <v>353</v>
      </c>
      <c r="G320" s="85" t="s">
        <v>262</v>
      </c>
      <c r="H320" s="85" t="s">
        <v>14</v>
      </c>
      <c r="I320" s="85" t="s">
        <v>258</v>
      </c>
      <c r="J320" s="86" t="s">
        <v>263</v>
      </c>
      <c r="K320" s="85" t="s">
        <v>365</v>
      </c>
      <c r="L320" s="87">
        <v>11.4</v>
      </c>
      <c r="M320" s="87">
        <f t="shared" si="93"/>
        <v>4.6739999999999995</v>
      </c>
      <c r="N320" s="88">
        <f>prodnorm10</f>
        <v>0</v>
      </c>
      <c r="O320" s="33">
        <f>dagwerk10</f>
        <v>0</v>
      </c>
      <c r="P320" s="85" t="s">
        <v>109</v>
      </c>
      <c r="Q320" s="21">
        <f>uurtarief10</f>
        <v>0</v>
      </c>
      <c r="R320" s="87" t="e">
        <f t="shared" si="94"/>
        <v>#DIV/0!</v>
      </c>
      <c r="S320" s="87" t="e">
        <f t="shared" si="95"/>
        <v>#DIV/0!</v>
      </c>
      <c r="T320" s="21" t="e">
        <f t="shared" si="96"/>
        <v>#DIV/0!</v>
      </c>
      <c r="U320" s="87" t="e">
        <f t="shared" si="97"/>
        <v>#DIV/0!</v>
      </c>
      <c r="V320" s="22" t="e">
        <f t="shared" si="98"/>
        <v>#DIV/0!</v>
      </c>
    </row>
    <row r="321" spans="1:22" x14ac:dyDescent="0.25">
      <c r="A321" s="84" t="s">
        <v>633</v>
      </c>
      <c r="B321" s="85" t="s">
        <v>42</v>
      </c>
      <c r="C321" s="85" t="s">
        <v>342</v>
      </c>
      <c r="D321" s="85" t="s">
        <v>713</v>
      </c>
      <c r="E321" s="86" t="s">
        <v>698</v>
      </c>
      <c r="F321" s="85" t="s">
        <v>674</v>
      </c>
      <c r="G321" s="85" t="s">
        <v>310</v>
      </c>
      <c r="H321" s="85" t="s">
        <v>9</v>
      </c>
      <c r="I321" s="85" t="s">
        <v>258</v>
      </c>
      <c r="J321" s="86" t="s">
        <v>311</v>
      </c>
      <c r="K321" s="85" t="s">
        <v>417</v>
      </c>
      <c r="L321" s="87">
        <v>18</v>
      </c>
      <c r="M321" s="87">
        <f t="shared" si="93"/>
        <v>18.45</v>
      </c>
      <c r="N321" s="88">
        <f>prodnorm45</f>
        <v>0</v>
      </c>
      <c r="O321" s="33">
        <f>dagwerk45</f>
        <v>0</v>
      </c>
      <c r="P321" s="85" t="s">
        <v>109</v>
      </c>
      <c r="Q321" s="21">
        <f>uurtarief45</f>
        <v>0</v>
      </c>
      <c r="R321" s="87" t="e">
        <f t="shared" si="94"/>
        <v>#DIV/0!</v>
      </c>
      <c r="S321" s="87" t="e">
        <f t="shared" si="95"/>
        <v>#DIV/0!</v>
      </c>
      <c r="T321" s="21" t="e">
        <f t="shared" si="96"/>
        <v>#DIV/0!</v>
      </c>
      <c r="U321" s="87" t="e">
        <f t="shared" si="97"/>
        <v>#DIV/0!</v>
      </c>
      <c r="V321" s="22" t="e">
        <f t="shared" si="98"/>
        <v>#DIV/0!</v>
      </c>
    </row>
    <row r="322" spans="1:22" x14ac:dyDescent="0.25">
      <c r="A322" s="84" t="s">
        <v>633</v>
      </c>
      <c r="B322" s="85" t="s">
        <v>42</v>
      </c>
      <c r="C322" s="85" t="s">
        <v>342</v>
      </c>
      <c r="D322" s="85" t="s">
        <v>714</v>
      </c>
      <c r="E322" s="86" t="s">
        <v>698</v>
      </c>
      <c r="F322" s="85" t="s">
        <v>674</v>
      </c>
      <c r="G322" s="85" t="s">
        <v>310</v>
      </c>
      <c r="H322" s="85" t="s">
        <v>9</v>
      </c>
      <c r="I322" s="85" t="s">
        <v>258</v>
      </c>
      <c r="J322" s="86" t="s">
        <v>311</v>
      </c>
      <c r="K322" s="85" t="s">
        <v>417</v>
      </c>
      <c r="L322" s="87">
        <v>18</v>
      </c>
      <c r="M322" s="87">
        <f t="shared" si="93"/>
        <v>18.45</v>
      </c>
      <c r="N322" s="88">
        <f>prodnorm45</f>
        <v>0</v>
      </c>
      <c r="O322" s="33">
        <f>dagwerk45</f>
        <v>0</v>
      </c>
      <c r="P322" s="85" t="s">
        <v>109</v>
      </c>
      <c r="Q322" s="21">
        <f>uurtarief45</f>
        <v>0</v>
      </c>
      <c r="R322" s="87" t="e">
        <f t="shared" si="94"/>
        <v>#DIV/0!</v>
      </c>
      <c r="S322" s="87" t="e">
        <f t="shared" si="95"/>
        <v>#DIV/0!</v>
      </c>
      <c r="T322" s="21" t="e">
        <f t="shared" si="96"/>
        <v>#DIV/0!</v>
      </c>
      <c r="U322" s="87" t="e">
        <f t="shared" si="97"/>
        <v>#DIV/0!</v>
      </c>
      <c r="V322" s="22" t="e">
        <f t="shared" si="98"/>
        <v>#DIV/0!</v>
      </c>
    </row>
    <row r="323" spans="1:22" x14ac:dyDescent="0.25">
      <c r="A323" s="84" t="s">
        <v>633</v>
      </c>
      <c r="B323" s="85" t="s">
        <v>42</v>
      </c>
      <c r="C323" s="85" t="s">
        <v>342</v>
      </c>
      <c r="D323" s="85" t="s">
        <v>715</v>
      </c>
      <c r="E323" s="86" t="s">
        <v>590</v>
      </c>
      <c r="F323" s="85" t="s">
        <v>353</v>
      </c>
      <c r="G323" s="85" t="s">
        <v>257</v>
      </c>
      <c r="H323" s="85" t="s">
        <v>12</v>
      </c>
      <c r="I323" s="85" t="s">
        <v>258</v>
      </c>
      <c r="J323" s="86" t="s">
        <v>259</v>
      </c>
      <c r="K323" s="85" t="s">
        <v>365</v>
      </c>
      <c r="L323" s="87">
        <v>21.7</v>
      </c>
      <c r="M323" s="87">
        <f t="shared" si="93"/>
        <v>13.345499999999999</v>
      </c>
      <c r="N323" s="88">
        <f>prodnorm5</f>
        <v>0</v>
      </c>
      <c r="O323" s="33">
        <f>dagwerk5</f>
        <v>0</v>
      </c>
      <c r="P323" s="85" t="s">
        <v>109</v>
      </c>
      <c r="Q323" s="21">
        <f>uurtarief5</f>
        <v>0</v>
      </c>
      <c r="R323" s="87" t="e">
        <f t="shared" si="94"/>
        <v>#DIV/0!</v>
      </c>
      <c r="S323" s="87" t="e">
        <f t="shared" si="95"/>
        <v>#DIV/0!</v>
      </c>
      <c r="T323" s="21" t="e">
        <f t="shared" si="96"/>
        <v>#DIV/0!</v>
      </c>
      <c r="U323" s="87" t="e">
        <f t="shared" si="97"/>
        <v>#DIV/0!</v>
      </c>
      <c r="V323" s="22" t="e">
        <f t="shared" si="98"/>
        <v>#DIV/0!</v>
      </c>
    </row>
    <row r="324" spans="1:22" x14ac:dyDescent="0.25">
      <c r="A324" s="84" t="s">
        <v>633</v>
      </c>
      <c r="B324" s="85" t="s">
        <v>42</v>
      </c>
      <c r="C324" s="85" t="s">
        <v>342</v>
      </c>
      <c r="D324" s="85" t="s">
        <v>715</v>
      </c>
      <c r="E324" s="86" t="s">
        <v>590</v>
      </c>
      <c r="F324" s="85" t="s">
        <v>353</v>
      </c>
      <c r="G324" s="85" t="s">
        <v>262</v>
      </c>
      <c r="H324" s="85" t="s">
        <v>14</v>
      </c>
      <c r="I324" s="85" t="s">
        <v>258</v>
      </c>
      <c r="J324" s="86" t="s">
        <v>263</v>
      </c>
      <c r="K324" s="85" t="s">
        <v>365</v>
      </c>
      <c r="L324" s="87">
        <v>21.7</v>
      </c>
      <c r="M324" s="87">
        <f t="shared" si="93"/>
        <v>8.8969999999999985</v>
      </c>
      <c r="N324" s="88">
        <f>prodnorm10</f>
        <v>0</v>
      </c>
      <c r="O324" s="33">
        <f>dagwerk10</f>
        <v>0</v>
      </c>
      <c r="P324" s="85" t="s">
        <v>109</v>
      </c>
      <c r="Q324" s="21">
        <f>uurtarief10</f>
        <v>0</v>
      </c>
      <c r="R324" s="87" t="e">
        <f t="shared" si="94"/>
        <v>#DIV/0!</v>
      </c>
      <c r="S324" s="87" t="e">
        <f t="shared" si="95"/>
        <v>#DIV/0!</v>
      </c>
      <c r="T324" s="21" t="e">
        <f t="shared" si="96"/>
        <v>#DIV/0!</v>
      </c>
      <c r="U324" s="87" t="e">
        <f t="shared" si="97"/>
        <v>#DIV/0!</v>
      </c>
      <c r="V324" s="22" t="e">
        <f t="shared" si="98"/>
        <v>#DIV/0!</v>
      </c>
    </row>
    <row r="325" spans="1:22" x14ac:dyDescent="0.25">
      <c r="A325" s="84" t="s">
        <v>633</v>
      </c>
      <c r="B325" s="85" t="s">
        <v>42</v>
      </c>
      <c r="C325" s="85" t="s">
        <v>342</v>
      </c>
      <c r="D325" s="85" t="s">
        <v>716</v>
      </c>
      <c r="E325" s="86" t="s">
        <v>590</v>
      </c>
      <c r="F325" s="85" t="s">
        <v>353</v>
      </c>
      <c r="G325" s="85" t="s">
        <v>257</v>
      </c>
      <c r="H325" s="85" t="s">
        <v>12</v>
      </c>
      <c r="I325" s="85" t="s">
        <v>258</v>
      </c>
      <c r="J325" s="86" t="s">
        <v>259</v>
      </c>
      <c r="K325" s="85" t="s">
        <v>365</v>
      </c>
      <c r="L325" s="87">
        <v>21.7</v>
      </c>
      <c r="M325" s="87">
        <f t="shared" si="93"/>
        <v>13.345499999999999</v>
      </c>
      <c r="N325" s="88">
        <f>prodnorm5</f>
        <v>0</v>
      </c>
      <c r="O325" s="33">
        <f>dagwerk5</f>
        <v>0</v>
      </c>
      <c r="P325" s="85" t="s">
        <v>109</v>
      </c>
      <c r="Q325" s="21">
        <f>uurtarief5</f>
        <v>0</v>
      </c>
      <c r="R325" s="87" t="e">
        <f t="shared" si="94"/>
        <v>#DIV/0!</v>
      </c>
      <c r="S325" s="87" t="e">
        <f t="shared" si="95"/>
        <v>#DIV/0!</v>
      </c>
      <c r="T325" s="21" t="e">
        <f t="shared" si="96"/>
        <v>#DIV/0!</v>
      </c>
      <c r="U325" s="87" t="e">
        <f t="shared" si="97"/>
        <v>#DIV/0!</v>
      </c>
      <c r="V325" s="22" t="e">
        <f t="shared" si="98"/>
        <v>#DIV/0!</v>
      </c>
    </row>
    <row r="326" spans="1:22" x14ac:dyDescent="0.25">
      <c r="A326" s="84" t="s">
        <v>633</v>
      </c>
      <c r="B326" s="85" t="s">
        <v>42</v>
      </c>
      <c r="C326" s="85" t="s">
        <v>342</v>
      </c>
      <c r="D326" s="85" t="s">
        <v>716</v>
      </c>
      <c r="E326" s="86" t="s">
        <v>590</v>
      </c>
      <c r="F326" s="85" t="s">
        <v>353</v>
      </c>
      <c r="G326" s="85" t="s">
        <v>262</v>
      </c>
      <c r="H326" s="85" t="s">
        <v>14</v>
      </c>
      <c r="I326" s="85" t="s">
        <v>258</v>
      </c>
      <c r="J326" s="86" t="s">
        <v>263</v>
      </c>
      <c r="K326" s="85" t="s">
        <v>365</v>
      </c>
      <c r="L326" s="87">
        <v>21.7</v>
      </c>
      <c r="M326" s="87">
        <f t="shared" si="93"/>
        <v>8.8969999999999985</v>
      </c>
      <c r="N326" s="88">
        <f>prodnorm10</f>
        <v>0</v>
      </c>
      <c r="O326" s="33">
        <f>dagwerk10</f>
        <v>0</v>
      </c>
      <c r="P326" s="85" t="s">
        <v>109</v>
      </c>
      <c r="Q326" s="21">
        <f>uurtarief10</f>
        <v>0</v>
      </c>
      <c r="R326" s="87" t="e">
        <f t="shared" si="94"/>
        <v>#DIV/0!</v>
      </c>
      <c r="S326" s="87" t="e">
        <f t="shared" si="95"/>
        <v>#DIV/0!</v>
      </c>
      <c r="T326" s="21" t="e">
        <f t="shared" si="96"/>
        <v>#DIV/0!</v>
      </c>
      <c r="U326" s="87" t="e">
        <f t="shared" si="97"/>
        <v>#DIV/0!</v>
      </c>
      <c r="V326" s="22" t="e">
        <f t="shared" si="98"/>
        <v>#DIV/0!</v>
      </c>
    </row>
    <row r="327" spans="1:22" x14ac:dyDescent="0.25">
      <c r="A327" s="84" t="s">
        <v>633</v>
      </c>
      <c r="B327" s="85" t="s">
        <v>42</v>
      </c>
      <c r="C327" s="85" t="s">
        <v>342</v>
      </c>
      <c r="D327" s="85" t="s">
        <v>717</v>
      </c>
      <c r="E327" s="86" t="s">
        <v>718</v>
      </c>
      <c r="F327" s="85" t="s">
        <v>349</v>
      </c>
      <c r="G327" s="85" t="s">
        <v>257</v>
      </c>
      <c r="H327" s="85" t="s">
        <v>12</v>
      </c>
      <c r="I327" s="85" t="s">
        <v>258</v>
      </c>
      <c r="J327" s="86" t="s">
        <v>259</v>
      </c>
      <c r="K327" s="85" t="s">
        <v>346</v>
      </c>
      <c r="L327" s="87">
        <v>15.2</v>
      </c>
      <c r="M327" s="87">
        <f t="shared" si="93"/>
        <v>9.347999999999999</v>
      </c>
      <c r="N327" s="88">
        <f>prodnorm5</f>
        <v>0</v>
      </c>
      <c r="O327" s="33">
        <f>dagwerk5</f>
        <v>0</v>
      </c>
      <c r="P327" s="85" t="s">
        <v>109</v>
      </c>
      <c r="Q327" s="21">
        <f>uurtarief5</f>
        <v>0</v>
      </c>
      <c r="R327" s="87" t="e">
        <f t="shared" si="94"/>
        <v>#DIV/0!</v>
      </c>
      <c r="S327" s="87" t="e">
        <f t="shared" si="95"/>
        <v>#DIV/0!</v>
      </c>
      <c r="T327" s="21" t="e">
        <f t="shared" si="96"/>
        <v>#DIV/0!</v>
      </c>
      <c r="U327" s="87" t="e">
        <f t="shared" si="97"/>
        <v>#DIV/0!</v>
      </c>
      <c r="V327" s="22" t="e">
        <f t="shared" si="98"/>
        <v>#DIV/0!</v>
      </c>
    </row>
    <row r="328" spans="1:22" x14ac:dyDescent="0.25">
      <c r="A328" s="84" t="s">
        <v>633</v>
      </c>
      <c r="B328" s="85" t="s">
        <v>42</v>
      </c>
      <c r="C328" s="85" t="s">
        <v>342</v>
      </c>
      <c r="D328" s="85" t="s">
        <v>717</v>
      </c>
      <c r="E328" s="86" t="s">
        <v>718</v>
      </c>
      <c r="F328" s="85" t="s">
        <v>349</v>
      </c>
      <c r="G328" s="85" t="s">
        <v>260</v>
      </c>
      <c r="H328" s="85" t="s">
        <v>14</v>
      </c>
      <c r="I328" s="85" t="s">
        <v>258</v>
      </c>
      <c r="J328" s="86" t="s">
        <v>261</v>
      </c>
      <c r="K328" s="85" t="s">
        <v>346</v>
      </c>
      <c r="L328" s="87">
        <v>15.2</v>
      </c>
      <c r="M328" s="87">
        <f t="shared" si="93"/>
        <v>6.2319999999999993</v>
      </c>
      <c r="N328" s="88">
        <f>prodnorm7</f>
        <v>0</v>
      </c>
      <c r="O328" s="33">
        <f>dagwerk7</f>
        <v>0</v>
      </c>
      <c r="P328" s="85" t="s">
        <v>109</v>
      </c>
      <c r="Q328" s="21">
        <f>uurtarief7</f>
        <v>0</v>
      </c>
      <c r="R328" s="87" t="e">
        <f t="shared" si="94"/>
        <v>#DIV/0!</v>
      </c>
      <c r="S328" s="87" t="e">
        <f t="shared" si="95"/>
        <v>#DIV/0!</v>
      </c>
      <c r="T328" s="21" t="e">
        <f t="shared" si="96"/>
        <v>#DIV/0!</v>
      </c>
      <c r="U328" s="87" t="e">
        <f t="shared" si="97"/>
        <v>#DIV/0!</v>
      </c>
      <c r="V328" s="22" t="e">
        <f t="shared" si="98"/>
        <v>#DIV/0!</v>
      </c>
    </row>
    <row r="329" spans="1:22" x14ac:dyDescent="0.25">
      <c r="A329" s="84" t="s">
        <v>633</v>
      </c>
      <c r="B329" s="85" t="s">
        <v>42</v>
      </c>
      <c r="C329" s="85" t="s">
        <v>342</v>
      </c>
      <c r="D329" s="85" t="s">
        <v>719</v>
      </c>
      <c r="E329" s="86" t="s">
        <v>720</v>
      </c>
      <c r="F329" s="85" t="s">
        <v>349</v>
      </c>
      <c r="G329" s="85" t="s">
        <v>257</v>
      </c>
      <c r="H329" s="85" t="s">
        <v>12</v>
      </c>
      <c r="I329" s="85" t="s">
        <v>258</v>
      </c>
      <c r="J329" s="86" t="s">
        <v>259</v>
      </c>
      <c r="K329" s="85" t="s">
        <v>365</v>
      </c>
      <c r="L329" s="87">
        <v>21.7</v>
      </c>
      <c r="M329" s="87">
        <f t="shared" si="93"/>
        <v>13.345499999999999</v>
      </c>
      <c r="N329" s="88">
        <f>prodnorm5</f>
        <v>0</v>
      </c>
      <c r="O329" s="33">
        <f>dagwerk5</f>
        <v>0</v>
      </c>
      <c r="P329" s="85" t="s">
        <v>109</v>
      </c>
      <c r="Q329" s="21">
        <f>uurtarief5</f>
        <v>0</v>
      </c>
      <c r="R329" s="87" t="e">
        <f t="shared" si="94"/>
        <v>#DIV/0!</v>
      </c>
      <c r="S329" s="87" t="e">
        <f t="shared" si="95"/>
        <v>#DIV/0!</v>
      </c>
      <c r="T329" s="21" t="e">
        <f t="shared" si="96"/>
        <v>#DIV/0!</v>
      </c>
      <c r="U329" s="87" t="e">
        <f t="shared" si="97"/>
        <v>#DIV/0!</v>
      </c>
      <c r="V329" s="22" t="e">
        <f t="shared" si="98"/>
        <v>#DIV/0!</v>
      </c>
    </row>
    <row r="330" spans="1:22" x14ac:dyDescent="0.25">
      <c r="A330" s="84" t="s">
        <v>633</v>
      </c>
      <c r="B330" s="85" t="s">
        <v>42</v>
      </c>
      <c r="C330" s="85" t="s">
        <v>342</v>
      </c>
      <c r="D330" s="85" t="s">
        <v>719</v>
      </c>
      <c r="E330" s="86" t="s">
        <v>720</v>
      </c>
      <c r="F330" s="85" t="s">
        <v>349</v>
      </c>
      <c r="G330" s="85" t="s">
        <v>260</v>
      </c>
      <c r="H330" s="85" t="s">
        <v>14</v>
      </c>
      <c r="I330" s="85" t="s">
        <v>258</v>
      </c>
      <c r="J330" s="86" t="s">
        <v>261</v>
      </c>
      <c r="K330" s="85" t="s">
        <v>365</v>
      </c>
      <c r="L330" s="87">
        <v>21.7</v>
      </c>
      <c r="M330" s="87">
        <f t="shared" si="93"/>
        <v>8.8969999999999985</v>
      </c>
      <c r="N330" s="88">
        <f>prodnorm7</f>
        <v>0</v>
      </c>
      <c r="O330" s="33">
        <f>dagwerk7</f>
        <v>0</v>
      </c>
      <c r="P330" s="85" t="s">
        <v>109</v>
      </c>
      <c r="Q330" s="21">
        <f>uurtarief7</f>
        <v>0</v>
      </c>
      <c r="R330" s="87" t="e">
        <f t="shared" si="94"/>
        <v>#DIV/0!</v>
      </c>
      <c r="S330" s="87" t="e">
        <f t="shared" si="95"/>
        <v>#DIV/0!</v>
      </c>
      <c r="T330" s="21" t="e">
        <f t="shared" si="96"/>
        <v>#DIV/0!</v>
      </c>
      <c r="U330" s="87" t="e">
        <f t="shared" si="97"/>
        <v>#DIV/0!</v>
      </c>
      <c r="V330" s="22" t="e">
        <f t="shared" si="98"/>
        <v>#DIV/0!</v>
      </c>
    </row>
    <row r="331" spans="1:22" x14ac:dyDescent="0.25">
      <c r="A331" s="84" t="s">
        <v>633</v>
      </c>
      <c r="B331" s="85" t="s">
        <v>42</v>
      </c>
      <c r="C331" s="85" t="s">
        <v>342</v>
      </c>
      <c r="D331" s="85" t="s">
        <v>721</v>
      </c>
      <c r="E331" s="86" t="s">
        <v>722</v>
      </c>
      <c r="F331" s="85" t="s">
        <v>691</v>
      </c>
      <c r="G331" s="85" t="s">
        <v>316</v>
      </c>
      <c r="H331" s="85" t="s">
        <v>9</v>
      </c>
      <c r="I331" s="85" t="s">
        <v>258</v>
      </c>
      <c r="J331" s="86" t="s">
        <v>317</v>
      </c>
      <c r="K331" s="85" t="s">
        <v>346</v>
      </c>
      <c r="L331" s="87">
        <v>20.5</v>
      </c>
      <c r="M331" s="87">
        <f t="shared" si="93"/>
        <v>21.012499999999999</v>
      </c>
      <c r="N331" s="88">
        <f>prodnorm48</f>
        <v>0</v>
      </c>
      <c r="O331" s="33">
        <f>dagwerk48</f>
        <v>0</v>
      </c>
      <c r="P331" s="85" t="s">
        <v>109</v>
      </c>
      <c r="Q331" s="21">
        <f>uurtarief48</f>
        <v>0</v>
      </c>
      <c r="R331" s="87" t="e">
        <f t="shared" si="94"/>
        <v>#DIV/0!</v>
      </c>
      <c r="S331" s="87" t="e">
        <f t="shared" si="95"/>
        <v>#DIV/0!</v>
      </c>
      <c r="T331" s="21" t="e">
        <f t="shared" si="96"/>
        <v>#DIV/0!</v>
      </c>
      <c r="U331" s="87" t="e">
        <f t="shared" si="97"/>
        <v>#DIV/0!</v>
      </c>
      <c r="V331" s="22" t="e">
        <f t="shared" si="98"/>
        <v>#DIV/0!</v>
      </c>
    </row>
    <row r="332" spans="1:22" x14ac:dyDescent="0.25">
      <c r="A332" s="84" t="s">
        <v>633</v>
      </c>
      <c r="B332" s="85" t="s">
        <v>42</v>
      </c>
      <c r="C332" s="85" t="s">
        <v>342</v>
      </c>
      <c r="D332" s="85" t="s">
        <v>723</v>
      </c>
      <c r="E332" s="86" t="s">
        <v>406</v>
      </c>
      <c r="F332" s="85" t="s">
        <v>349</v>
      </c>
      <c r="G332" s="85" t="s">
        <v>292</v>
      </c>
      <c r="H332" s="85" t="s">
        <v>20</v>
      </c>
      <c r="I332" s="85" t="s">
        <v>258</v>
      </c>
      <c r="J332" s="86" t="s">
        <v>293</v>
      </c>
      <c r="K332" s="85" t="s">
        <v>365</v>
      </c>
      <c r="L332" s="87">
        <v>5.6</v>
      </c>
      <c r="M332" s="87">
        <f t="shared" si="93"/>
        <v>0.33599999999999997</v>
      </c>
      <c r="N332" s="88">
        <f>prodnorm30</f>
        <v>0</v>
      </c>
      <c r="O332" s="33">
        <f>dagwerk30</f>
        <v>0</v>
      </c>
      <c r="P332" s="85" t="s">
        <v>109</v>
      </c>
      <c r="Q332" s="21">
        <f>uurtarief30</f>
        <v>0</v>
      </c>
      <c r="R332" s="87" t="e">
        <f t="shared" si="94"/>
        <v>#DIV/0!</v>
      </c>
      <c r="S332" s="87" t="e">
        <f t="shared" si="95"/>
        <v>#DIV/0!</v>
      </c>
      <c r="T332" s="21" t="e">
        <f t="shared" si="96"/>
        <v>#DIV/0!</v>
      </c>
      <c r="U332" s="87" t="e">
        <f t="shared" si="97"/>
        <v>#DIV/0!</v>
      </c>
      <c r="V332" s="22" t="e">
        <f t="shared" si="98"/>
        <v>#DIV/0!</v>
      </c>
    </row>
    <row r="333" spans="1:22" x14ac:dyDescent="0.25">
      <c r="A333" s="84" t="s">
        <v>633</v>
      </c>
      <c r="B333" s="85" t="s">
        <v>42</v>
      </c>
      <c r="C333" s="85" t="s">
        <v>342</v>
      </c>
      <c r="D333" s="85" t="s">
        <v>724</v>
      </c>
      <c r="E333" s="86" t="s">
        <v>725</v>
      </c>
      <c r="F333" s="85" t="s">
        <v>349</v>
      </c>
      <c r="G333" s="85" t="s">
        <v>350</v>
      </c>
      <c r="H333" s="85"/>
      <c r="I333" s="85"/>
      <c r="J333" s="85"/>
      <c r="K333" s="85" t="s">
        <v>42</v>
      </c>
      <c r="L333" s="87">
        <v>41.6</v>
      </c>
      <c r="M333" s="87"/>
      <c r="N333" s="88"/>
      <c r="O333" s="33"/>
      <c r="P333" s="85"/>
      <c r="Q333" s="21"/>
      <c r="R333" s="87"/>
      <c r="S333" s="87"/>
      <c r="T333" s="21"/>
      <c r="U333" s="89"/>
      <c r="V333" s="22"/>
    </row>
    <row r="334" spans="1:22" x14ac:dyDescent="0.25">
      <c r="A334" s="84" t="s">
        <v>633</v>
      </c>
      <c r="B334" s="85" t="s">
        <v>42</v>
      </c>
      <c r="C334" s="85" t="s">
        <v>342</v>
      </c>
      <c r="D334" s="85" t="s">
        <v>726</v>
      </c>
      <c r="E334" s="86" t="s">
        <v>722</v>
      </c>
      <c r="F334" s="85" t="s">
        <v>691</v>
      </c>
      <c r="G334" s="85" t="s">
        <v>316</v>
      </c>
      <c r="H334" s="85" t="s">
        <v>9</v>
      </c>
      <c r="I334" s="85" t="s">
        <v>258</v>
      </c>
      <c r="J334" s="86" t="s">
        <v>317</v>
      </c>
      <c r="K334" s="85" t="s">
        <v>346</v>
      </c>
      <c r="L334" s="87">
        <v>39.700000000000003</v>
      </c>
      <c r="M334" s="87">
        <f>L334*VLOOKUP(H334,dagsoorttabel1,2,FALSE)</f>
        <v>40.692500000000003</v>
      </c>
      <c r="N334" s="88">
        <f>prodnorm48</f>
        <v>0</v>
      </c>
      <c r="O334" s="33">
        <f>dagwerk48</f>
        <v>0</v>
      </c>
      <c r="P334" s="85" t="s">
        <v>109</v>
      </c>
      <c r="Q334" s="21">
        <f>uurtarief48</f>
        <v>0</v>
      </c>
      <c r="R334" s="87" t="e">
        <f>IF(ISBLANK(N334),0,M334/ROUND(N334,4))</f>
        <v>#DIV/0!</v>
      </c>
      <c r="S334" s="87" t="e">
        <f>IF(ISBLANK(N334),0,R334*ROUND(O334,2))</f>
        <v>#DIV/0!</v>
      </c>
      <c r="T334" s="21" t="e">
        <f>ROUND(Q334,2)*R334</f>
        <v>#DIV/0!</v>
      </c>
      <c r="U334" s="87" t="e">
        <f>R334*dagenperjaar1</f>
        <v>#DIV/0!</v>
      </c>
      <c r="V334" s="22" t="e">
        <f>U334*ROUND(Q334,2)</f>
        <v>#DIV/0!</v>
      </c>
    </row>
    <row r="335" spans="1:22" x14ac:dyDescent="0.25">
      <c r="A335" s="84" t="s">
        <v>633</v>
      </c>
      <c r="B335" s="85" t="s">
        <v>42</v>
      </c>
      <c r="C335" s="85" t="s">
        <v>342</v>
      </c>
      <c r="D335" s="85" t="s">
        <v>727</v>
      </c>
      <c r="E335" s="86" t="s">
        <v>728</v>
      </c>
      <c r="F335" s="85" t="s">
        <v>349</v>
      </c>
      <c r="G335" s="85" t="s">
        <v>312</v>
      </c>
      <c r="H335" s="85" t="s">
        <v>9</v>
      </c>
      <c r="I335" s="85" t="s">
        <v>258</v>
      </c>
      <c r="J335" s="86" t="s">
        <v>313</v>
      </c>
      <c r="K335" s="85" t="s">
        <v>346</v>
      </c>
      <c r="L335" s="87">
        <v>169.1</v>
      </c>
      <c r="M335" s="87">
        <f>L335*VLOOKUP(H335,dagsoorttabel1,2,FALSE)</f>
        <v>173.32749999999999</v>
      </c>
      <c r="N335" s="88">
        <f>prodnorm46</f>
        <v>0</v>
      </c>
      <c r="O335" s="33">
        <f>dagwerk46</f>
        <v>0</v>
      </c>
      <c r="P335" s="85" t="s">
        <v>109</v>
      </c>
      <c r="Q335" s="21">
        <f>uurtarief46</f>
        <v>0</v>
      </c>
      <c r="R335" s="87" t="e">
        <f>IF(ISBLANK(N335),0,M335/ROUND(N335,4))</f>
        <v>#DIV/0!</v>
      </c>
      <c r="S335" s="87" t="e">
        <f>IF(ISBLANK(N335),0,R335*ROUND(O335,2))</f>
        <v>#DIV/0!</v>
      </c>
      <c r="T335" s="21" t="e">
        <f>ROUND(Q335,2)*R335</f>
        <v>#DIV/0!</v>
      </c>
      <c r="U335" s="87" t="e">
        <f>R335*dagenperjaar1</f>
        <v>#DIV/0!</v>
      </c>
      <c r="V335" s="22" t="e">
        <f>U335*ROUND(Q335,2)</f>
        <v>#DIV/0!</v>
      </c>
    </row>
    <row r="336" spans="1:22" x14ac:dyDescent="0.25">
      <c r="A336" s="84" t="s">
        <v>633</v>
      </c>
      <c r="B336" s="85" t="s">
        <v>42</v>
      </c>
      <c r="C336" s="85" t="s">
        <v>342</v>
      </c>
      <c r="D336" s="85" t="s">
        <v>729</v>
      </c>
      <c r="E336" s="86" t="s">
        <v>730</v>
      </c>
      <c r="F336" s="85" t="s">
        <v>349</v>
      </c>
      <c r="G336" s="85" t="s">
        <v>350</v>
      </c>
      <c r="H336" s="85"/>
      <c r="I336" s="85"/>
      <c r="J336" s="85"/>
      <c r="K336" s="85" t="s">
        <v>346</v>
      </c>
      <c r="L336" s="87">
        <v>23.3</v>
      </c>
      <c r="M336" s="87"/>
      <c r="N336" s="88"/>
      <c r="O336" s="33"/>
      <c r="P336" s="85"/>
      <c r="Q336" s="21"/>
      <c r="R336" s="87"/>
      <c r="S336" s="87"/>
      <c r="T336" s="21"/>
      <c r="U336" s="89"/>
      <c r="V336" s="22"/>
    </row>
    <row r="337" spans="1:22" x14ac:dyDescent="0.25">
      <c r="A337" s="84" t="s">
        <v>633</v>
      </c>
      <c r="B337" s="85" t="s">
        <v>42</v>
      </c>
      <c r="C337" s="85" t="s">
        <v>342</v>
      </c>
      <c r="D337" s="85" t="s">
        <v>731</v>
      </c>
      <c r="E337" s="86" t="s">
        <v>570</v>
      </c>
      <c r="F337" s="85" t="s">
        <v>349</v>
      </c>
      <c r="G337" s="85" t="s">
        <v>292</v>
      </c>
      <c r="H337" s="85" t="s">
        <v>20</v>
      </c>
      <c r="I337" s="85" t="s">
        <v>258</v>
      </c>
      <c r="J337" s="86" t="s">
        <v>293</v>
      </c>
      <c r="K337" s="85" t="s">
        <v>346</v>
      </c>
      <c r="L337" s="87">
        <v>14.4</v>
      </c>
      <c r="M337" s="87">
        <f>L337*VLOOKUP(H337,dagsoorttabel1,2,FALSE)</f>
        <v>0.86399999999999999</v>
      </c>
      <c r="N337" s="88">
        <f>prodnorm30</f>
        <v>0</v>
      </c>
      <c r="O337" s="33">
        <f>dagwerk30</f>
        <v>0</v>
      </c>
      <c r="P337" s="85" t="s">
        <v>109</v>
      </c>
      <c r="Q337" s="21">
        <f>uurtarief30</f>
        <v>0</v>
      </c>
      <c r="R337" s="87" t="e">
        <f>IF(ISBLANK(N337),0,M337/ROUND(N337,4))</f>
        <v>#DIV/0!</v>
      </c>
      <c r="S337" s="87" t="e">
        <f>IF(ISBLANK(N337),0,R337*ROUND(O337,2))</f>
        <v>#DIV/0!</v>
      </c>
      <c r="T337" s="21" t="e">
        <f>ROUND(Q337,2)*R337</f>
        <v>#DIV/0!</v>
      </c>
      <c r="U337" s="87" t="e">
        <f>R337*dagenperjaar1</f>
        <v>#DIV/0!</v>
      </c>
      <c r="V337" s="22" t="e">
        <f>U337*ROUND(Q337,2)</f>
        <v>#DIV/0!</v>
      </c>
    </row>
    <row r="338" spans="1:22" x14ac:dyDescent="0.25">
      <c r="A338" s="84" t="s">
        <v>633</v>
      </c>
      <c r="B338" s="85" t="s">
        <v>42</v>
      </c>
      <c r="C338" s="85" t="s">
        <v>342</v>
      </c>
      <c r="D338" s="85" t="s">
        <v>732</v>
      </c>
      <c r="E338" s="86" t="s">
        <v>570</v>
      </c>
      <c r="F338" s="85" t="s">
        <v>349</v>
      </c>
      <c r="G338" s="85" t="s">
        <v>350</v>
      </c>
      <c r="H338" s="85"/>
      <c r="I338" s="85"/>
      <c r="J338" s="85"/>
      <c r="K338" s="85" t="s">
        <v>42</v>
      </c>
      <c r="L338" s="87">
        <v>16.899999999999999</v>
      </c>
      <c r="M338" s="87"/>
      <c r="N338" s="88"/>
      <c r="O338" s="33"/>
      <c r="P338" s="85"/>
      <c r="Q338" s="21"/>
      <c r="R338" s="87"/>
      <c r="S338" s="87"/>
      <c r="T338" s="21"/>
      <c r="U338" s="89"/>
      <c r="V338" s="22"/>
    </row>
    <row r="339" spans="1:22" x14ac:dyDescent="0.25">
      <c r="A339" s="84" t="s">
        <v>633</v>
      </c>
      <c r="B339" s="85" t="s">
        <v>42</v>
      </c>
      <c r="C339" s="85" t="s">
        <v>342</v>
      </c>
      <c r="D339" s="85" t="s">
        <v>733</v>
      </c>
      <c r="E339" s="86" t="s">
        <v>698</v>
      </c>
      <c r="F339" s="85" t="s">
        <v>674</v>
      </c>
      <c r="G339" s="85" t="s">
        <v>310</v>
      </c>
      <c r="H339" s="85" t="s">
        <v>9</v>
      </c>
      <c r="I339" s="85" t="s">
        <v>258</v>
      </c>
      <c r="J339" s="86" t="s">
        <v>311</v>
      </c>
      <c r="K339" s="85" t="s">
        <v>417</v>
      </c>
      <c r="L339" s="87">
        <v>10</v>
      </c>
      <c r="M339" s="87">
        <f>L339*VLOOKUP(H339,dagsoorttabel1,2,FALSE)</f>
        <v>10.25</v>
      </c>
      <c r="N339" s="88">
        <f>prodnorm45</f>
        <v>0</v>
      </c>
      <c r="O339" s="33">
        <f>dagwerk45</f>
        <v>0</v>
      </c>
      <c r="P339" s="85" t="s">
        <v>109</v>
      </c>
      <c r="Q339" s="21">
        <f>uurtarief45</f>
        <v>0</v>
      </c>
      <c r="R339" s="87" t="e">
        <f>IF(ISBLANK(N339),0,M339/ROUND(N339,4))</f>
        <v>#DIV/0!</v>
      </c>
      <c r="S339" s="87" t="e">
        <f>IF(ISBLANK(N339),0,R339*ROUND(O339,2))</f>
        <v>#DIV/0!</v>
      </c>
      <c r="T339" s="21" t="e">
        <f>ROUND(Q339,2)*R339</f>
        <v>#DIV/0!</v>
      </c>
      <c r="U339" s="87" t="e">
        <f>R339*dagenperjaar1</f>
        <v>#DIV/0!</v>
      </c>
      <c r="V339" s="22" t="e">
        <f>U339*ROUND(Q339,2)</f>
        <v>#DIV/0!</v>
      </c>
    </row>
    <row r="340" spans="1:22" x14ac:dyDescent="0.25">
      <c r="A340" s="84" t="s">
        <v>633</v>
      </c>
      <c r="B340" s="85" t="s">
        <v>42</v>
      </c>
      <c r="C340" s="85" t="s">
        <v>342</v>
      </c>
      <c r="D340" s="85" t="s">
        <v>734</v>
      </c>
      <c r="E340" s="86" t="s">
        <v>698</v>
      </c>
      <c r="F340" s="85" t="s">
        <v>674</v>
      </c>
      <c r="G340" s="85" t="s">
        <v>310</v>
      </c>
      <c r="H340" s="85" t="s">
        <v>9</v>
      </c>
      <c r="I340" s="85" t="s">
        <v>258</v>
      </c>
      <c r="J340" s="86" t="s">
        <v>311</v>
      </c>
      <c r="K340" s="85" t="s">
        <v>417</v>
      </c>
      <c r="L340" s="87">
        <v>13</v>
      </c>
      <c r="M340" s="87">
        <f>L340*VLOOKUP(H340,dagsoorttabel1,2,FALSE)</f>
        <v>13.324999999999999</v>
      </c>
      <c r="N340" s="88">
        <f>prodnorm45</f>
        <v>0</v>
      </c>
      <c r="O340" s="33">
        <f>dagwerk45</f>
        <v>0</v>
      </c>
      <c r="P340" s="85" t="s">
        <v>109</v>
      </c>
      <c r="Q340" s="21">
        <f>uurtarief45</f>
        <v>0</v>
      </c>
      <c r="R340" s="87" t="e">
        <f>IF(ISBLANK(N340),0,M340/ROUND(N340,4))</f>
        <v>#DIV/0!</v>
      </c>
      <c r="S340" s="87" t="e">
        <f>IF(ISBLANK(N340),0,R340*ROUND(O340,2))</f>
        <v>#DIV/0!</v>
      </c>
      <c r="T340" s="21" t="e">
        <f>ROUND(Q340,2)*R340</f>
        <v>#DIV/0!</v>
      </c>
      <c r="U340" s="87" t="e">
        <f>R340*dagenperjaar1</f>
        <v>#DIV/0!</v>
      </c>
      <c r="V340" s="22" t="e">
        <f>U340*ROUND(Q340,2)</f>
        <v>#DIV/0!</v>
      </c>
    </row>
    <row r="341" spans="1:22" x14ac:dyDescent="0.25">
      <c r="A341" s="84" t="s">
        <v>633</v>
      </c>
      <c r="B341" s="85" t="s">
        <v>42</v>
      </c>
      <c r="C341" s="85" t="s">
        <v>342</v>
      </c>
      <c r="D341" s="85" t="s">
        <v>735</v>
      </c>
      <c r="E341" s="86" t="s">
        <v>736</v>
      </c>
      <c r="F341" s="85" t="s">
        <v>349</v>
      </c>
      <c r="G341" s="85" t="s">
        <v>350</v>
      </c>
      <c r="H341" s="85"/>
      <c r="I341" s="85"/>
      <c r="J341" s="85"/>
      <c r="K341" s="85" t="s">
        <v>42</v>
      </c>
      <c r="L341" s="87">
        <v>49.1</v>
      </c>
      <c r="M341" s="87"/>
      <c r="N341" s="88"/>
      <c r="O341" s="33"/>
      <c r="P341" s="85"/>
      <c r="Q341" s="21"/>
      <c r="R341" s="87"/>
      <c r="S341" s="87"/>
      <c r="T341" s="21"/>
      <c r="U341" s="89"/>
      <c r="V341" s="22"/>
    </row>
    <row r="342" spans="1:22" x14ac:dyDescent="0.25">
      <c r="A342" s="84" t="s">
        <v>633</v>
      </c>
      <c r="B342" s="85" t="s">
        <v>42</v>
      </c>
      <c r="C342" s="85" t="s">
        <v>342</v>
      </c>
      <c r="D342" s="85" t="s">
        <v>737</v>
      </c>
      <c r="E342" s="86" t="s">
        <v>736</v>
      </c>
      <c r="F342" s="85" t="s">
        <v>349</v>
      </c>
      <c r="G342" s="85" t="s">
        <v>350</v>
      </c>
      <c r="H342" s="85"/>
      <c r="I342" s="85"/>
      <c r="J342" s="85"/>
      <c r="K342" s="85" t="s">
        <v>42</v>
      </c>
      <c r="L342" s="87">
        <v>5</v>
      </c>
      <c r="M342" s="87"/>
      <c r="N342" s="88"/>
      <c r="O342" s="33"/>
      <c r="P342" s="85"/>
      <c r="Q342" s="21"/>
      <c r="R342" s="87"/>
      <c r="S342" s="87"/>
      <c r="T342" s="21"/>
      <c r="U342" s="89"/>
      <c r="V342" s="22"/>
    </row>
    <row r="343" spans="1:22" x14ac:dyDescent="0.25">
      <c r="A343" s="84" t="s">
        <v>633</v>
      </c>
      <c r="B343" s="85" t="s">
        <v>42</v>
      </c>
      <c r="C343" s="85" t="s">
        <v>342</v>
      </c>
      <c r="D343" s="85" t="s">
        <v>738</v>
      </c>
      <c r="E343" s="86" t="s">
        <v>739</v>
      </c>
      <c r="F343" s="85" t="s">
        <v>349</v>
      </c>
      <c r="G343" s="85" t="s">
        <v>292</v>
      </c>
      <c r="H343" s="85" t="s">
        <v>9</v>
      </c>
      <c r="I343" s="85" t="s">
        <v>258</v>
      </c>
      <c r="J343" s="86" t="s">
        <v>293</v>
      </c>
      <c r="K343" s="85" t="s">
        <v>346</v>
      </c>
      <c r="L343" s="87">
        <v>32.200000000000003</v>
      </c>
      <c r="M343" s="87">
        <f>L343*VLOOKUP(H343,dagsoorttabel1,2,FALSE)</f>
        <v>33.005000000000003</v>
      </c>
      <c r="N343" s="88">
        <f>prodnorm31</f>
        <v>0</v>
      </c>
      <c r="O343" s="33">
        <f>dagwerk31</f>
        <v>0</v>
      </c>
      <c r="P343" s="85" t="s">
        <v>109</v>
      </c>
      <c r="Q343" s="21">
        <f>uurtarief31</f>
        <v>0</v>
      </c>
      <c r="R343" s="87" t="e">
        <f>IF(ISBLANK(N343),0,M343/ROUND(N343,4))</f>
        <v>#DIV/0!</v>
      </c>
      <c r="S343" s="87" t="e">
        <f>IF(ISBLANK(N343),0,R343*ROUND(O343,2))</f>
        <v>#DIV/0!</v>
      </c>
      <c r="T343" s="21" t="e">
        <f>ROUND(Q343,2)*R343</f>
        <v>#DIV/0!</v>
      </c>
      <c r="U343" s="87" t="e">
        <f>R343*dagenperjaar1</f>
        <v>#DIV/0!</v>
      </c>
      <c r="V343" s="22" t="e">
        <f>U343*ROUND(Q343,2)</f>
        <v>#DIV/0!</v>
      </c>
    </row>
    <row r="344" spans="1:22" x14ac:dyDescent="0.25">
      <c r="A344" s="84" t="s">
        <v>633</v>
      </c>
      <c r="B344" s="85" t="s">
        <v>42</v>
      </c>
      <c r="C344" s="85" t="s">
        <v>342</v>
      </c>
      <c r="D344" s="85" t="s">
        <v>740</v>
      </c>
      <c r="E344" s="86" t="s">
        <v>373</v>
      </c>
      <c r="F344" s="85" t="s">
        <v>349</v>
      </c>
      <c r="G344" s="85" t="s">
        <v>312</v>
      </c>
      <c r="H344" s="85" t="s">
        <v>9</v>
      </c>
      <c r="I344" s="85" t="s">
        <v>258</v>
      </c>
      <c r="J344" s="86" t="s">
        <v>313</v>
      </c>
      <c r="K344" s="85" t="s">
        <v>346</v>
      </c>
      <c r="L344" s="87">
        <v>58</v>
      </c>
      <c r="M344" s="87">
        <f>L344*VLOOKUP(H344,dagsoorttabel1,2,FALSE)</f>
        <v>59.449999999999996</v>
      </c>
      <c r="N344" s="88">
        <f>prodnorm46</f>
        <v>0</v>
      </c>
      <c r="O344" s="33">
        <f>dagwerk46</f>
        <v>0</v>
      </c>
      <c r="P344" s="85" t="s">
        <v>109</v>
      </c>
      <c r="Q344" s="21">
        <f>uurtarief46</f>
        <v>0</v>
      </c>
      <c r="R344" s="87" t="e">
        <f>IF(ISBLANK(N344),0,M344/ROUND(N344,4))</f>
        <v>#DIV/0!</v>
      </c>
      <c r="S344" s="87" t="e">
        <f>IF(ISBLANK(N344),0,R344*ROUND(O344,2))</f>
        <v>#DIV/0!</v>
      </c>
      <c r="T344" s="21" t="e">
        <f>ROUND(Q344,2)*R344</f>
        <v>#DIV/0!</v>
      </c>
      <c r="U344" s="87" t="e">
        <f>R344*dagenperjaar1</f>
        <v>#DIV/0!</v>
      </c>
      <c r="V344" s="22" t="e">
        <f>U344*ROUND(Q344,2)</f>
        <v>#DIV/0!</v>
      </c>
    </row>
    <row r="345" spans="1:22" x14ac:dyDescent="0.25">
      <c r="A345" s="84" t="s">
        <v>633</v>
      </c>
      <c r="B345" s="85" t="s">
        <v>42</v>
      </c>
      <c r="C345" s="85" t="s">
        <v>342</v>
      </c>
      <c r="D345" s="85" t="s">
        <v>741</v>
      </c>
      <c r="E345" s="86" t="s">
        <v>730</v>
      </c>
      <c r="F345" s="85" t="s">
        <v>349</v>
      </c>
      <c r="G345" s="85" t="s">
        <v>292</v>
      </c>
      <c r="H345" s="85" t="s">
        <v>9</v>
      </c>
      <c r="I345" s="85" t="s">
        <v>258</v>
      </c>
      <c r="J345" s="86" t="s">
        <v>293</v>
      </c>
      <c r="K345" s="85" t="s">
        <v>346</v>
      </c>
      <c r="L345" s="87">
        <v>22.3</v>
      </c>
      <c r="M345" s="87">
        <f>L345*VLOOKUP(H345,dagsoorttabel1,2,FALSE)</f>
        <v>22.857499999999998</v>
      </c>
      <c r="N345" s="88">
        <f>prodnorm31</f>
        <v>0</v>
      </c>
      <c r="O345" s="33">
        <f>dagwerk31</f>
        <v>0</v>
      </c>
      <c r="P345" s="85" t="s">
        <v>109</v>
      </c>
      <c r="Q345" s="21">
        <f>uurtarief31</f>
        <v>0</v>
      </c>
      <c r="R345" s="87" t="e">
        <f>IF(ISBLANK(N345),0,M345/ROUND(N345,4))</f>
        <v>#DIV/0!</v>
      </c>
      <c r="S345" s="87" t="e">
        <f>IF(ISBLANK(N345),0,R345*ROUND(O345,2))</f>
        <v>#DIV/0!</v>
      </c>
      <c r="T345" s="21" t="e">
        <f>ROUND(Q345,2)*R345</f>
        <v>#DIV/0!</v>
      </c>
      <c r="U345" s="87" t="e">
        <f>R345*dagenperjaar1</f>
        <v>#DIV/0!</v>
      </c>
      <c r="V345" s="22" t="e">
        <f>U345*ROUND(Q345,2)</f>
        <v>#DIV/0!</v>
      </c>
    </row>
    <row r="346" spans="1:22" x14ac:dyDescent="0.25">
      <c r="A346" s="84" t="s">
        <v>633</v>
      </c>
      <c r="B346" s="85" t="s">
        <v>42</v>
      </c>
      <c r="C346" s="85" t="s">
        <v>342</v>
      </c>
      <c r="D346" s="85" t="s">
        <v>742</v>
      </c>
      <c r="E346" s="86" t="s">
        <v>373</v>
      </c>
      <c r="F346" s="85" t="s">
        <v>349</v>
      </c>
      <c r="G346" s="85" t="s">
        <v>312</v>
      </c>
      <c r="H346" s="85" t="s">
        <v>9</v>
      </c>
      <c r="I346" s="85" t="s">
        <v>258</v>
      </c>
      <c r="J346" s="86" t="s">
        <v>313</v>
      </c>
      <c r="K346" s="85" t="s">
        <v>346</v>
      </c>
      <c r="L346" s="87">
        <v>140.5</v>
      </c>
      <c r="M346" s="87">
        <f>L346*VLOOKUP(H346,dagsoorttabel1,2,FALSE)</f>
        <v>144.01249999999999</v>
      </c>
      <c r="N346" s="88">
        <f>prodnorm46</f>
        <v>0</v>
      </c>
      <c r="O346" s="33">
        <f>dagwerk46</f>
        <v>0</v>
      </c>
      <c r="P346" s="85" t="s">
        <v>109</v>
      </c>
      <c r="Q346" s="21">
        <f>uurtarief46</f>
        <v>0</v>
      </c>
      <c r="R346" s="87" t="e">
        <f>IF(ISBLANK(N346),0,M346/ROUND(N346,4))</f>
        <v>#DIV/0!</v>
      </c>
      <c r="S346" s="87" t="e">
        <f>IF(ISBLANK(N346),0,R346*ROUND(O346,2))</f>
        <v>#DIV/0!</v>
      </c>
      <c r="T346" s="21" t="e">
        <f>ROUND(Q346,2)*R346</f>
        <v>#DIV/0!</v>
      </c>
      <c r="U346" s="87" t="e">
        <f>R346*dagenperjaar1</f>
        <v>#DIV/0!</v>
      </c>
      <c r="V346" s="22" t="e">
        <f>U346*ROUND(Q346,2)</f>
        <v>#DIV/0!</v>
      </c>
    </row>
    <row r="347" spans="1:22" x14ac:dyDescent="0.25">
      <c r="A347" s="84" t="s">
        <v>633</v>
      </c>
      <c r="B347" s="85" t="s">
        <v>42</v>
      </c>
      <c r="C347" s="85" t="s">
        <v>342</v>
      </c>
      <c r="D347" s="85" t="s">
        <v>743</v>
      </c>
      <c r="E347" s="86" t="s">
        <v>736</v>
      </c>
      <c r="F347" s="85" t="s">
        <v>349</v>
      </c>
      <c r="G347" s="85" t="s">
        <v>350</v>
      </c>
      <c r="H347" s="85"/>
      <c r="I347" s="85"/>
      <c r="J347" s="85"/>
      <c r="K347" s="85" t="s">
        <v>42</v>
      </c>
      <c r="L347" s="87">
        <v>21.4</v>
      </c>
      <c r="M347" s="87"/>
      <c r="N347" s="88"/>
      <c r="O347" s="33"/>
      <c r="P347" s="85"/>
      <c r="Q347" s="21"/>
      <c r="R347" s="87"/>
      <c r="S347" s="87"/>
      <c r="T347" s="21"/>
      <c r="U347" s="89"/>
      <c r="V347" s="22"/>
    </row>
    <row r="348" spans="1:22" x14ac:dyDescent="0.25">
      <c r="A348" s="84" t="s">
        <v>633</v>
      </c>
      <c r="B348" s="85" t="s">
        <v>42</v>
      </c>
      <c r="C348" s="85" t="s">
        <v>342</v>
      </c>
      <c r="D348" s="85" t="s">
        <v>744</v>
      </c>
      <c r="E348" s="86" t="s">
        <v>736</v>
      </c>
      <c r="F348" s="85" t="s">
        <v>349</v>
      </c>
      <c r="G348" s="85" t="s">
        <v>350</v>
      </c>
      <c r="H348" s="85"/>
      <c r="I348" s="85"/>
      <c r="J348" s="85"/>
      <c r="K348" s="85" t="s">
        <v>42</v>
      </c>
      <c r="L348" s="87">
        <v>10.1</v>
      </c>
      <c r="M348" s="87"/>
      <c r="N348" s="88"/>
      <c r="O348" s="33"/>
      <c r="P348" s="85"/>
      <c r="Q348" s="21"/>
      <c r="R348" s="87"/>
      <c r="S348" s="87"/>
      <c r="T348" s="21"/>
      <c r="U348" s="89"/>
      <c r="V348" s="22"/>
    </row>
    <row r="349" spans="1:22" x14ac:dyDescent="0.25">
      <c r="A349" s="84" t="s">
        <v>633</v>
      </c>
      <c r="B349" s="85" t="s">
        <v>42</v>
      </c>
      <c r="C349" s="85" t="s">
        <v>342</v>
      </c>
      <c r="D349" s="85" t="s">
        <v>745</v>
      </c>
      <c r="E349" s="86" t="s">
        <v>736</v>
      </c>
      <c r="F349" s="85" t="s">
        <v>349</v>
      </c>
      <c r="G349" s="85" t="s">
        <v>350</v>
      </c>
      <c r="H349" s="85"/>
      <c r="I349" s="85"/>
      <c r="J349" s="85"/>
      <c r="K349" s="85" t="s">
        <v>42</v>
      </c>
      <c r="L349" s="87">
        <v>9.4</v>
      </c>
      <c r="M349" s="87"/>
      <c r="N349" s="88"/>
      <c r="O349" s="33"/>
      <c r="P349" s="85"/>
      <c r="Q349" s="21"/>
      <c r="R349" s="87"/>
      <c r="S349" s="87"/>
      <c r="T349" s="21"/>
      <c r="U349" s="89"/>
      <c r="V349" s="22"/>
    </row>
    <row r="350" spans="1:22" x14ac:dyDescent="0.25">
      <c r="A350" s="84" t="s">
        <v>633</v>
      </c>
      <c r="B350" s="85" t="s">
        <v>42</v>
      </c>
      <c r="C350" s="85" t="s">
        <v>342</v>
      </c>
      <c r="D350" s="85" t="s">
        <v>746</v>
      </c>
      <c r="E350" s="86" t="s">
        <v>736</v>
      </c>
      <c r="F350" s="85" t="s">
        <v>349</v>
      </c>
      <c r="G350" s="85" t="s">
        <v>350</v>
      </c>
      <c r="H350" s="85"/>
      <c r="I350" s="85"/>
      <c r="J350" s="85"/>
      <c r="K350" s="85" t="s">
        <v>42</v>
      </c>
      <c r="L350" s="87">
        <v>10.199999999999999</v>
      </c>
      <c r="M350" s="87"/>
      <c r="N350" s="88"/>
      <c r="O350" s="33"/>
      <c r="P350" s="85"/>
      <c r="Q350" s="21"/>
      <c r="R350" s="87"/>
      <c r="S350" s="87"/>
      <c r="T350" s="21"/>
      <c r="U350" s="89"/>
      <c r="V350" s="22"/>
    </row>
    <row r="351" spans="1:22" x14ac:dyDescent="0.25">
      <c r="A351" s="84" t="s">
        <v>633</v>
      </c>
      <c r="B351" s="85" t="s">
        <v>42</v>
      </c>
      <c r="C351" s="85" t="s">
        <v>342</v>
      </c>
      <c r="D351" s="85" t="s">
        <v>747</v>
      </c>
      <c r="E351" s="86" t="s">
        <v>406</v>
      </c>
      <c r="F351" s="85" t="s">
        <v>349</v>
      </c>
      <c r="G351" s="85" t="s">
        <v>292</v>
      </c>
      <c r="H351" s="85" t="s">
        <v>20</v>
      </c>
      <c r="I351" s="85" t="s">
        <v>258</v>
      </c>
      <c r="J351" s="86" t="s">
        <v>293</v>
      </c>
      <c r="K351" s="85" t="s">
        <v>346</v>
      </c>
      <c r="L351" s="87">
        <v>28.3</v>
      </c>
      <c r="M351" s="87">
        <f t="shared" ref="M351:M356" si="99">L351*VLOOKUP(H351,dagsoorttabel1,2,FALSE)</f>
        <v>1.698</v>
      </c>
      <c r="N351" s="88">
        <f>prodnorm30</f>
        <v>0</v>
      </c>
      <c r="O351" s="33">
        <f>dagwerk30</f>
        <v>0</v>
      </c>
      <c r="P351" s="85" t="s">
        <v>109</v>
      </c>
      <c r="Q351" s="21">
        <f>uurtarief30</f>
        <v>0</v>
      </c>
      <c r="R351" s="87" t="e">
        <f t="shared" ref="R351:R356" si="100">IF(ISBLANK(N351),0,M351/ROUND(N351,4))</f>
        <v>#DIV/0!</v>
      </c>
      <c r="S351" s="87" t="e">
        <f t="shared" ref="S351:S356" si="101">IF(ISBLANK(N351),0,R351*ROUND(O351,2))</f>
        <v>#DIV/0!</v>
      </c>
      <c r="T351" s="21" t="e">
        <f t="shared" ref="T351:T356" si="102">ROUND(Q351,2)*R351</f>
        <v>#DIV/0!</v>
      </c>
      <c r="U351" s="87" t="e">
        <f t="shared" ref="U351:U356" si="103">R351*dagenperjaar1</f>
        <v>#DIV/0!</v>
      </c>
      <c r="V351" s="22" t="e">
        <f t="shared" ref="V351:V356" si="104">U351*ROUND(Q351,2)</f>
        <v>#DIV/0!</v>
      </c>
    </row>
    <row r="352" spans="1:22" x14ac:dyDescent="0.25">
      <c r="A352" s="84" t="s">
        <v>633</v>
      </c>
      <c r="B352" s="85" t="s">
        <v>42</v>
      </c>
      <c r="C352" s="85" t="s">
        <v>342</v>
      </c>
      <c r="D352" s="85" t="s">
        <v>748</v>
      </c>
      <c r="E352" s="86" t="s">
        <v>590</v>
      </c>
      <c r="F352" s="85" t="s">
        <v>353</v>
      </c>
      <c r="G352" s="85" t="s">
        <v>257</v>
      </c>
      <c r="H352" s="85" t="s">
        <v>12</v>
      </c>
      <c r="I352" s="85" t="s">
        <v>258</v>
      </c>
      <c r="J352" s="86" t="s">
        <v>259</v>
      </c>
      <c r="K352" s="85" t="s">
        <v>365</v>
      </c>
      <c r="L352" s="87">
        <v>33.1</v>
      </c>
      <c r="M352" s="87">
        <f t="shared" si="99"/>
        <v>20.3565</v>
      </c>
      <c r="N352" s="88">
        <f>prodnorm5</f>
        <v>0</v>
      </c>
      <c r="O352" s="33">
        <f>dagwerk5</f>
        <v>0</v>
      </c>
      <c r="P352" s="85" t="s">
        <v>109</v>
      </c>
      <c r="Q352" s="21">
        <f>uurtarief5</f>
        <v>0</v>
      </c>
      <c r="R352" s="87" t="e">
        <f t="shared" si="100"/>
        <v>#DIV/0!</v>
      </c>
      <c r="S352" s="87" t="e">
        <f t="shared" si="101"/>
        <v>#DIV/0!</v>
      </c>
      <c r="T352" s="21" t="e">
        <f t="shared" si="102"/>
        <v>#DIV/0!</v>
      </c>
      <c r="U352" s="87" t="e">
        <f t="shared" si="103"/>
        <v>#DIV/0!</v>
      </c>
      <c r="V352" s="22" t="e">
        <f t="shared" si="104"/>
        <v>#DIV/0!</v>
      </c>
    </row>
    <row r="353" spans="1:22" x14ac:dyDescent="0.25">
      <c r="A353" s="84" t="s">
        <v>633</v>
      </c>
      <c r="B353" s="85" t="s">
        <v>42</v>
      </c>
      <c r="C353" s="85" t="s">
        <v>342</v>
      </c>
      <c r="D353" s="85" t="s">
        <v>748</v>
      </c>
      <c r="E353" s="86" t="s">
        <v>590</v>
      </c>
      <c r="F353" s="85" t="s">
        <v>353</v>
      </c>
      <c r="G353" s="85" t="s">
        <v>262</v>
      </c>
      <c r="H353" s="85" t="s">
        <v>14</v>
      </c>
      <c r="I353" s="85" t="s">
        <v>258</v>
      </c>
      <c r="J353" s="86" t="s">
        <v>263</v>
      </c>
      <c r="K353" s="85" t="s">
        <v>365</v>
      </c>
      <c r="L353" s="87">
        <v>33.1</v>
      </c>
      <c r="M353" s="87">
        <f t="shared" si="99"/>
        <v>13.571</v>
      </c>
      <c r="N353" s="88">
        <f>prodnorm10</f>
        <v>0</v>
      </c>
      <c r="O353" s="33">
        <f>dagwerk10</f>
        <v>0</v>
      </c>
      <c r="P353" s="85" t="s">
        <v>109</v>
      </c>
      <c r="Q353" s="21">
        <f>uurtarief10</f>
        <v>0</v>
      </c>
      <c r="R353" s="87" t="e">
        <f t="shared" si="100"/>
        <v>#DIV/0!</v>
      </c>
      <c r="S353" s="87" t="e">
        <f t="shared" si="101"/>
        <v>#DIV/0!</v>
      </c>
      <c r="T353" s="21" t="e">
        <f t="shared" si="102"/>
        <v>#DIV/0!</v>
      </c>
      <c r="U353" s="87" t="e">
        <f t="shared" si="103"/>
        <v>#DIV/0!</v>
      </c>
      <c r="V353" s="22" t="e">
        <f t="shared" si="104"/>
        <v>#DIV/0!</v>
      </c>
    </row>
    <row r="354" spans="1:22" x14ac:dyDescent="0.25">
      <c r="A354" s="84" t="s">
        <v>633</v>
      </c>
      <c r="B354" s="85" t="s">
        <v>42</v>
      </c>
      <c r="C354" s="85" t="s">
        <v>342</v>
      </c>
      <c r="D354" s="85" t="s">
        <v>749</v>
      </c>
      <c r="E354" s="86" t="s">
        <v>698</v>
      </c>
      <c r="F354" s="85" t="s">
        <v>674</v>
      </c>
      <c r="G354" s="85" t="s">
        <v>310</v>
      </c>
      <c r="H354" s="85" t="s">
        <v>9</v>
      </c>
      <c r="I354" s="85" t="s">
        <v>258</v>
      </c>
      <c r="J354" s="86" t="s">
        <v>311</v>
      </c>
      <c r="K354" s="85" t="s">
        <v>417</v>
      </c>
      <c r="L354" s="87">
        <v>10</v>
      </c>
      <c r="M354" s="87">
        <f t="shared" si="99"/>
        <v>10.25</v>
      </c>
      <c r="N354" s="88">
        <f>prodnorm45</f>
        <v>0</v>
      </c>
      <c r="O354" s="33">
        <f>dagwerk45</f>
        <v>0</v>
      </c>
      <c r="P354" s="85" t="s">
        <v>109</v>
      </c>
      <c r="Q354" s="21">
        <f>uurtarief45</f>
        <v>0</v>
      </c>
      <c r="R354" s="87" t="e">
        <f t="shared" si="100"/>
        <v>#DIV/0!</v>
      </c>
      <c r="S354" s="87" t="e">
        <f t="shared" si="101"/>
        <v>#DIV/0!</v>
      </c>
      <c r="T354" s="21" t="e">
        <f t="shared" si="102"/>
        <v>#DIV/0!</v>
      </c>
      <c r="U354" s="87" t="e">
        <f t="shared" si="103"/>
        <v>#DIV/0!</v>
      </c>
      <c r="V354" s="22" t="e">
        <f t="shared" si="104"/>
        <v>#DIV/0!</v>
      </c>
    </row>
    <row r="355" spans="1:22" x14ac:dyDescent="0.25">
      <c r="A355" s="84" t="s">
        <v>633</v>
      </c>
      <c r="B355" s="85" t="s">
        <v>42</v>
      </c>
      <c r="C355" s="85" t="s">
        <v>342</v>
      </c>
      <c r="D355" s="85" t="s">
        <v>750</v>
      </c>
      <c r="E355" s="86" t="s">
        <v>698</v>
      </c>
      <c r="F355" s="85" t="s">
        <v>674</v>
      </c>
      <c r="G355" s="85" t="s">
        <v>310</v>
      </c>
      <c r="H355" s="85" t="s">
        <v>9</v>
      </c>
      <c r="I355" s="85" t="s">
        <v>258</v>
      </c>
      <c r="J355" s="86" t="s">
        <v>311</v>
      </c>
      <c r="K355" s="85" t="s">
        <v>417</v>
      </c>
      <c r="L355" s="87">
        <v>10</v>
      </c>
      <c r="M355" s="87">
        <f t="shared" si="99"/>
        <v>10.25</v>
      </c>
      <c r="N355" s="88">
        <f>prodnorm45</f>
        <v>0</v>
      </c>
      <c r="O355" s="33">
        <f>dagwerk45</f>
        <v>0</v>
      </c>
      <c r="P355" s="85" t="s">
        <v>109</v>
      </c>
      <c r="Q355" s="21">
        <f>uurtarief45</f>
        <v>0</v>
      </c>
      <c r="R355" s="87" t="e">
        <f t="shared" si="100"/>
        <v>#DIV/0!</v>
      </c>
      <c r="S355" s="87" t="e">
        <f t="shared" si="101"/>
        <v>#DIV/0!</v>
      </c>
      <c r="T355" s="21" t="e">
        <f t="shared" si="102"/>
        <v>#DIV/0!</v>
      </c>
      <c r="U355" s="87" t="e">
        <f t="shared" si="103"/>
        <v>#DIV/0!</v>
      </c>
      <c r="V355" s="22" t="e">
        <f t="shared" si="104"/>
        <v>#DIV/0!</v>
      </c>
    </row>
    <row r="356" spans="1:22" ht="23" x14ac:dyDescent="0.25">
      <c r="A356" s="84" t="s">
        <v>633</v>
      </c>
      <c r="B356" s="85" t="s">
        <v>42</v>
      </c>
      <c r="C356" s="85" t="s">
        <v>342</v>
      </c>
      <c r="D356" s="85" t="s">
        <v>751</v>
      </c>
      <c r="E356" s="86" t="s">
        <v>752</v>
      </c>
      <c r="F356" s="85" t="s">
        <v>349</v>
      </c>
      <c r="G356" s="85" t="s">
        <v>286</v>
      </c>
      <c r="H356" s="85" t="s">
        <v>9</v>
      </c>
      <c r="I356" s="85" t="s">
        <v>258</v>
      </c>
      <c r="J356" s="86" t="s">
        <v>287</v>
      </c>
      <c r="K356" s="85" t="s">
        <v>386</v>
      </c>
      <c r="L356" s="87">
        <v>162.5</v>
      </c>
      <c r="M356" s="87">
        <f t="shared" si="99"/>
        <v>166.56249999999997</v>
      </c>
      <c r="N356" s="88">
        <f>prodnorm26</f>
        <v>0</v>
      </c>
      <c r="O356" s="33">
        <f>dagwerk26</f>
        <v>0</v>
      </c>
      <c r="P356" s="85" t="s">
        <v>109</v>
      </c>
      <c r="Q356" s="21">
        <f>uurtarief26</f>
        <v>0</v>
      </c>
      <c r="R356" s="87" t="e">
        <f t="shared" si="100"/>
        <v>#DIV/0!</v>
      </c>
      <c r="S356" s="87" t="e">
        <f t="shared" si="101"/>
        <v>#DIV/0!</v>
      </c>
      <c r="T356" s="21" t="e">
        <f t="shared" si="102"/>
        <v>#DIV/0!</v>
      </c>
      <c r="U356" s="87" t="e">
        <f t="shared" si="103"/>
        <v>#DIV/0!</v>
      </c>
      <c r="V356" s="22" t="e">
        <f t="shared" si="104"/>
        <v>#DIV/0!</v>
      </c>
    </row>
    <row r="357" spans="1:22" x14ac:dyDescent="0.25">
      <c r="A357" s="84" t="s">
        <v>633</v>
      </c>
      <c r="B357" s="85" t="s">
        <v>42</v>
      </c>
      <c r="C357" s="85" t="s">
        <v>342</v>
      </c>
      <c r="D357" s="85" t="s">
        <v>753</v>
      </c>
      <c r="E357" s="86" t="s">
        <v>725</v>
      </c>
      <c r="F357" s="85" t="s">
        <v>349</v>
      </c>
      <c r="G357" s="85" t="s">
        <v>350</v>
      </c>
      <c r="H357" s="85"/>
      <c r="I357" s="85"/>
      <c r="J357" s="85"/>
      <c r="K357" s="85" t="s">
        <v>42</v>
      </c>
      <c r="L357" s="87">
        <v>16.899999999999999</v>
      </c>
      <c r="M357" s="87"/>
      <c r="N357" s="88"/>
      <c r="O357" s="33"/>
      <c r="P357" s="85"/>
      <c r="Q357" s="21"/>
      <c r="R357" s="87"/>
      <c r="S357" s="87"/>
      <c r="T357" s="21"/>
      <c r="U357" s="89"/>
      <c r="V357" s="22"/>
    </row>
    <row r="358" spans="1:22" x14ac:dyDescent="0.25">
      <c r="A358" s="84" t="s">
        <v>633</v>
      </c>
      <c r="B358" s="85" t="s">
        <v>42</v>
      </c>
      <c r="C358" s="85" t="s">
        <v>342</v>
      </c>
      <c r="D358" s="85" t="s">
        <v>754</v>
      </c>
      <c r="E358" s="86" t="s">
        <v>698</v>
      </c>
      <c r="F358" s="85" t="s">
        <v>674</v>
      </c>
      <c r="G358" s="85" t="s">
        <v>310</v>
      </c>
      <c r="H358" s="85" t="s">
        <v>9</v>
      </c>
      <c r="I358" s="85" t="s">
        <v>258</v>
      </c>
      <c r="J358" s="86" t="s">
        <v>311</v>
      </c>
      <c r="K358" s="85" t="s">
        <v>417</v>
      </c>
      <c r="L358" s="87">
        <v>15.9</v>
      </c>
      <c r="M358" s="87">
        <f t="shared" ref="M358:M368" si="105">L358*VLOOKUP(H358,dagsoorttabel1,2,FALSE)</f>
        <v>16.297499999999999</v>
      </c>
      <c r="N358" s="88">
        <f>prodnorm45</f>
        <v>0</v>
      </c>
      <c r="O358" s="33">
        <f>dagwerk45</f>
        <v>0</v>
      </c>
      <c r="P358" s="85" t="s">
        <v>109</v>
      </c>
      <c r="Q358" s="21">
        <f>uurtarief45</f>
        <v>0</v>
      </c>
      <c r="R358" s="87" t="e">
        <f t="shared" ref="R358:R368" si="106">IF(ISBLANK(N358),0,M358/ROUND(N358,4))</f>
        <v>#DIV/0!</v>
      </c>
      <c r="S358" s="87" t="e">
        <f t="shared" ref="S358:S368" si="107">IF(ISBLANK(N358),0,R358*ROUND(O358,2))</f>
        <v>#DIV/0!</v>
      </c>
      <c r="T358" s="21" t="e">
        <f t="shared" ref="T358:T368" si="108">ROUND(Q358,2)*R358</f>
        <v>#DIV/0!</v>
      </c>
      <c r="U358" s="87" t="e">
        <f t="shared" ref="U358:U368" si="109">R358*dagenperjaar1</f>
        <v>#DIV/0!</v>
      </c>
      <c r="V358" s="22" t="e">
        <f t="shared" ref="V358:V368" si="110">U358*ROUND(Q358,2)</f>
        <v>#DIV/0!</v>
      </c>
    </row>
    <row r="359" spans="1:22" x14ac:dyDescent="0.25">
      <c r="A359" s="84" t="s">
        <v>633</v>
      </c>
      <c r="B359" s="85" t="s">
        <v>42</v>
      </c>
      <c r="C359" s="85" t="s">
        <v>342</v>
      </c>
      <c r="D359" s="85" t="s">
        <v>755</v>
      </c>
      <c r="E359" s="86" t="s">
        <v>590</v>
      </c>
      <c r="F359" s="85" t="s">
        <v>353</v>
      </c>
      <c r="G359" s="85" t="s">
        <v>257</v>
      </c>
      <c r="H359" s="85" t="s">
        <v>12</v>
      </c>
      <c r="I359" s="85" t="s">
        <v>258</v>
      </c>
      <c r="J359" s="86" t="s">
        <v>259</v>
      </c>
      <c r="K359" s="85" t="s">
        <v>365</v>
      </c>
      <c r="L359" s="87">
        <v>24.2</v>
      </c>
      <c r="M359" s="87">
        <f t="shared" si="105"/>
        <v>14.882999999999999</v>
      </c>
      <c r="N359" s="88">
        <f>prodnorm5</f>
        <v>0</v>
      </c>
      <c r="O359" s="33">
        <f>dagwerk5</f>
        <v>0</v>
      </c>
      <c r="P359" s="85" t="s">
        <v>109</v>
      </c>
      <c r="Q359" s="21">
        <f>uurtarief5</f>
        <v>0</v>
      </c>
      <c r="R359" s="87" t="e">
        <f t="shared" si="106"/>
        <v>#DIV/0!</v>
      </c>
      <c r="S359" s="87" t="e">
        <f t="shared" si="107"/>
        <v>#DIV/0!</v>
      </c>
      <c r="T359" s="21" t="e">
        <f t="shared" si="108"/>
        <v>#DIV/0!</v>
      </c>
      <c r="U359" s="87" t="e">
        <f t="shared" si="109"/>
        <v>#DIV/0!</v>
      </c>
      <c r="V359" s="22" t="e">
        <f t="shared" si="110"/>
        <v>#DIV/0!</v>
      </c>
    </row>
    <row r="360" spans="1:22" x14ac:dyDescent="0.25">
      <c r="A360" s="84" t="s">
        <v>633</v>
      </c>
      <c r="B360" s="85" t="s">
        <v>42</v>
      </c>
      <c r="C360" s="85" t="s">
        <v>342</v>
      </c>
      <c r="D360" s="85" t="s">
        <v>755</v>
      </c>
      <c r="E360" s="86" t="s">
        <v>590</v>
      </c>
      <c r="F360" s="85" t="s">
        <v>353</v>
      </c>
      <c r="G360" s="85" t="s">
        <v>262</v>
      </c>
      <c r="H360" s="85" t="s">
        <v>14</v>
      </c>
      <c r="I360" s="85" t="s">
        <v>258</v>
      </c>
      <c r="J360" s="86" t="s">
        <v>263</v>
      </c>
      <c r="K360" s="85" t="s">
        <v>365</v>
      </c>
      <c r="L360" s="87">
        <v>24.2</v>
      </c>
      <c r="M360" s="87">
        <f t="shared" si="105"/>
        <v>9.9219999999999988</v>
      </c>
      <c r="N360" s="88">
        <f>prodnorm10</f>
        <v>0</v>
      </c>
      <c r="O360" s="33">
        <f>dagwerk10</f>
        <v>0</v>
      </c>
      <c r="P360" s="85" t="s">
        <v>109</v>
      </c>
      <c r="Q360" s="21">
        <f>uurtarief10</f>
        <v>0</v>
      </c>
      <c r="R360" s="87" t="e">
        <f t="shared" si="106"/>
        <v>#DIV/0!</v>
      </c>
      <c r="S360" s="87" t="e">
        <f t="shared" si="107"/>
        <v>#DIV/0!</v>
      </c>
      <c r="T360" s="21" t="e">
        <f t="shared" si="108"/>
        <v>#DIV/0!</v>
      </c>
      <c r="U360" s="87" t="e">
        <f t="shared" si="109"/>
        <v>#DIV/0!</v>
      </c>
      <c r="V360" s="22" t="e">
        <f t="shared" si="110"/>
        <v>#DIV/0!</v>
      </c>
    </row>
    <row r="361" spans="1:22" x14ac:dyDescent="0.25">
      <c r="A361" s="84" t="s">
        <v>633</v>
      </c>
      <c r="B361" s="85" t="s">
        <v>42</v>
      </c>
      <c r="C361" s="85" t="s">
        <v>342</v>
      </c>
      <c r="D361" s="85" t="s">
        <v>756</v>
      </c>
      <c r="E361" s="86" t="s">
        <v>757</v>
      </c>
      <c r="F361" s="85" t="s">
        <v>349</v>
      </c>
      <c r="G361" s="85" t="s">
        <v>260</v>
      </c>
      <c r="H361" s="85" t="s">
        <v>9</v>
      </c>
      <c r="I361" s="85" t="s">
        <v>258</v>
      </c>
      <c r="J361" s="86" t="s">
        <v>261</v>
      </c>
      <c r="K361" s="85" t="s">
        <v>365</v>
      </c>
      <c r="L361" s="87">
        <v>14.1</v>
      </c>
      <c r="M361" s="87">
        <f t="shared" si="105"/>
        <v>14.452499999999999</v>
      </c>
      <c r="N361" s="88">
        <f>prodnorm6</f>
        <v>0</v>
      </c>
      <c r="O361" s="33">
        <f>dagwerk6</f>
        <v>0</v>
      </c>
      <c r="P361" s="85" t="s">
        <v>109</v>
      </c>
      <c r="Q361" s="21">
        <f>uurtarief6</f>
        <v>0</v>
      </c>
      <c r="R361" s="87" t="e">
        <f t="shared" si="106"/>
        <v>#DIV/0!</v>
      </c>
      <c r="S361" s="87" t="e">
        <f t="shared" si="107"/>
        <v>#DIV/0!</v>
      </c>
      <c r="T361" s="21" t="e">
        <f t="shared" si="108"/>
        <v>#DIV/0!</v>
      </c>
      <c r="U361" s="87" t="e">
        <f t="shared" si="109"/>
        <v>#DIV/0!</v>
      </c>
      <c r="V361" s="22" t="e">
        <f t="shared" si="110"/>
        <v>#DIV/0!</v>
      </c>
    </row>
    <row r="362" spans="1:22" x14ac:dyDescent="0.25">
      <c r="A362" s="84" t="s">
        <v>633</v>
      </c>
      <c r="B362" s="85" t="s">
        <v>42</v>
      </c>
      <c r="C362" s="85" t="s">
        <v>342</v>
      </c>
      <c r="D362" s="85" t="s">
        <v>758</v>
      </c>
      <c r="E362" s="86" t="s">
        <v>590</v>
      </c>
      <c r="F362" s="85" t="s">
        <v>353</v>
      </c>
      <c r="G362" s="85" t="s">
        <v>257</v>
      </c>
      <c r="H362" s="85" t="s">
        <v>12</v>
      </c>
      <c r="I362" s="85" t="s">
        <v>258</v>
      </c>
      <c r="J362" s="86" t="s">
        <v>259</v>
      </c>
      <c r="K362" s="85" t="s">
        <v>365</v>
      </c>
      <c r="L362" s="87">
        <v>15.2</v>
      </c>
      <c r="M362" s="87">
        <f t="shared" si="105"/>
        <v>9.347999999999999</v>
      </c>
      <c r="N362" s="88">
        <f>prodnorm5</f>
        <v>0</v>
      </c>
      <c r="O362" s="33">
        <f>dagwerk5</f>
        <v>0</v>
      </c>
      <c r="P362" s="85" t="s">
        <v>109</v>
      </c>
      <c r="Q362" s="21">
        <f>uurtarief5</f>
        <v>0</v>
      </c>
      <c r="R362" s="87" t="e">
        <f t="shared" si="106"/>
        <v>#DIV/0!</v>
      </c>
      <c r="S362" s="87" t="e">
        <f t="shared" si="107"/>
        <v>#DIV/0!</v>
      </c>
      <c r="T362" s="21" t="e">
        <f t="shared" si="108"/>
        <v>#DIV/0!</v>
      </c>
      <c r="U362" s="87" t="e">
        <f t="shared" si="109"/>
        <v>#DIV/0!</v>
      </c>
      <c r="V362" s="22" t="e">
        <f t="shared" si="110"/>
        <v>#DIV/0!</v>
      </c>
    </row>
    <row r="363" spans="1:22" x14ac:dyDescent="0.25">
      <c r="A363" s="84" t="s">
        <v>633</v>
      </c>
      <c r="B363" s="85" t="s">
        <v>42</v>
      </c>
      <c r="C363" s="85" t="s">
        <v>342</v>
      </c>
      <c r="D363" s="85" t="s">
        <v>758</v>
      </c>
      <c r="E363" s="86" t="s">
        <v>590</v>
      </c>
      <c r="F363" s="85" t="s">
        <v>353</v>
      </c>
      <c r="G363" s="85" t="s">
        <v>262</v>
      </c>
      <c r="H363" s="85" t="s">
        <v>14</v>
      </c>
      <c r="I363" s="85" t="s">
        <v>258</v>
      </c>
      <c r="J363" s="86" t="s">
        <v>263</v>
      </c>
      <c r="K363" s="85" t="s">
        <v>365</v>
      </c>
      <c r="L363" s="87">
        <v>15.2</v>
      </c>
      <c r="M363" s="87">
        <f t="shared" si="105"/>
        <v>6.2319999999999993</v>
      </c>
      <c r="N363" s="88">
        <f>prodnorm10</f>
        <v>0</v>
      </c>
      <c r="O363" s="33">
        <f>dagwerk10</f>
        <v>0</v>
      </c>
      <c r="P363" s="85" t="s">
        <v>109</v>
      </c>
      <c r="Q363" s="21">
        <f>uurtarief10</f>
        <v>0</v>
      </c>
      <c r="R363" s="87" t="e">
        <f t="shared" si="106"/>
        <v>#DIV/0!</v>
      </c>
      <c r="S363" s="87" t="e">
        <f t="shared" si="107"/>
        <v>#DIV/0!</v>
      </c>
      <c r="T363" s="21" t="e">
        <f t="shared" si="108"/>
        <v>#DIV/0!</v>
      </c>
      <c r="U363" s="87" t="e">
        <f t="shared" si="109"/>
        <v>#DIV/0!</v>
      </c>
      <c r="V363" s="22" t="e">
        <f t="shared" si="110"/>
        <v>#DIV/0!</v>
      </c>
    </row>
    <row r="364" spans="1:22" x14ac:dyDescent="0.25">
      <c r="A364" s="84" t="s">
        <v>633</v>
      </c>
      <c r="B364" s="85" t="s">
        <v>42</v>
      </c>
      <c r="C364" s="85" t="s">
        <v>342</v>
      </c>
      <c r="D364" s="85" t="s">
        <v>759</v>
      </c>
      <c r="E364" s="86" t="s">
        <v>722</v>
      </c>
      <c r="F364" s="85" t="s">
        <v>691</v>
      </c>
      <c r="G364" s="85" t="s">
        <v>316</v>
      </c>
      <c r="H364" s="85" t="s">
        <v>9</v>
      </c>
      <c r="I364" s="85" t="s">
        <v>258</v>
      </c>
      <c r="J364" s="86" t="s">
        <v>317</v>
      </c>
      <c r="K364" s="85" t="s">
        <v>346</v>
      </c>
      <c r="L364" s="87">
        <v>16</v>
      </c>
      <c r="M364" s="87">
        <f t="shared" si="105"/>
        <v>16.399999999999999</v>
      </c>
      <c r="N364" s="88">
        <f>prodnorm48</f>
        <v>0</v>
      </c>
      <c r="O364" s="33">
        <f>dagwerk48</f>
        <v>0</v>
      </c>
      <c r="P364" s="85" t="s">
        <v>109</v>
      </c>
      <c r="Q364" s="21">
        <f>uurtarief48</f>
        <v>0</v>
      </c>
      <c r="R364" s="87" t="e">
        <f t="shared" si="106"/>
        <v>#DIV/0!</v>
      </c>
      <c r="S364" s="87" t="e">
        <f t="shared" si="107"/>
        <v>#DIV/0!</v>
      </c>
      <c r="T364" s="21" t="e">
        <f t="shared" si="108"/>
        <v>#DIV/0!</v>
      </c>
      <c r="U364" s="87" t="e">
        <f t="shared" si="109"/>
        <v>#DIV/0!</v>
      </c>
      <c r="V364" s="22" t="e">
        <f t="shared" si="110"/>
        <v>#DIV/0!</v>
      </c>
    </row>
    <row r="365" spans="1:22" x14ac:dyDescent="0.25">
      <c r="A365" s="84" t="s">
        <v>633</v>
      </c>
      <c r="B365" s="85" t="s">
        <v>42</v>
      </c>
      <c r="C365" s="85" t="s">
        <v>342</v>
      </c>
      <c r="D365" s="85" t="s">
        <v>760</v>
      </c>
      <c r="E365" s="86" t="s">
        <v>761</v>
      </c>
      <c r="F365" s="85" t="s">
        <v>353</v>
      </c>
      <c r="G365" s="85" t="s">
        <v>262</v>
      </c>
      <c r="H365" s="85" t="s">
        <v>9</v>
      </c>
      <c r="I365" s="85" t="s">
        <v>258</v>
      </c>
      <c r="J365" s="86" t="s">
        <v>263</v>
      </c>
      <c r="K365" s="85" t="s">
        <v>365</v>
      </c>
      <c r="L365" s="87">
        <v>23.7</v>
      </c>
      <c r="M365" s="87">
        <f t="shared" si="105"/>
        <v>24.292499999999997</v>
      </c>
      <c r="N365" s="88">
        <f>prodnorm8</f>
        <v>0</v>
      </c>
      <c r="O365" s="33">
        <f>dagwerk8</f>
        <v>0</v>
      </c>
      <c r="P365" s="85" t="s">
        <v>109</v>
      </c>
      <c r="Q365" s="21">
        <f>uurtarief8</f>
        <v>0</v>
      </c>
      <c r="R365" s="87" t="e">
        <f t="shared" si="106"/>
        <v>#DIV/0!</v>
      </c>
      <c r="S365" s="87" t="e">
        <f t="shared" si="107"/>
        <v>#DIV/0!</v>
      </c>
      <c r="T365" s="21" t="e">
        <f t="shared" si="108"/>
        <v>#DIV/0!</v>
      </c>
      <c r="U365" s="87" t="e">
        <f t="shared" si="109"/>
        <v>#DIV/0!</v>
      </c>
      <c r="V365" s="22" t="e">
        <f t="shared" si="110"/>
        <v>#DIV/0!</v>
      </c>
    </row>
    <row r="366" spans="1:22" x14ac:dyDescent="0.25">
      <c r="A366" s="84" t="s">
        <v>633</v>
      </c>
      <c r="B366" s="85" t="s">
        <v>42</v>
      </c>
      <c r="C366" s="85" t="s">
        <v>342</v>
      </c>
      <c r="D366" s="85" t="s">
        <v>762</v>
      </c>
      <c r="E366" s="86" t="s">
        <v>590</v>
      </c>
      <c r="F366" s="85" t="s">
        <v>353</v>
      </c>
      <c r="G366" s="85" t="s">
        <v>257</v>
      </c>
      <c r="H366" s="85" t="s">
        <v>12</v>
      </c>
      <c r="I366" s="85" t="s">
        <v>258</v>
      </c>
      <c r="J366" s="86" t="s">
        <v>259</v>
      </c>
      <c r="K366" s="85" t="s">
        <v>365</v>
      </c>
      <c r="L366" s="87">
        <v>32.1</v>
      </c>
      <c r="M366" s="87">
        <f t="shared" si="105"/>
        <v>19.741500000000002</v>
      </c>
      <c r="N366" s="88">
        <f>prodnorm5</f>
        <v>0</v>
      </c>
      <c r="O366" s="33">
        <f>dagwerk5</f>
        <v>0</v>
      </c>
      <c r="P366" s="85" t="s">
        <v>109</v>
      </c>
      <c r="Q366" s="21">
        <f>uurtarief5</f>
        <v>0</v>
      </c>
      <c r="R366" s="87" t="e">
        <f t="shared" si="106"/>
        <v>#DIV/0!</v>
      </c>
      <c r="S366" s="87" t="e">
        <f t="shared" si="107"/>
        <v>#DIV/0!</v>
      </c>
      <c r="T366" s="21" t="e">
        <f t="shared" si="108"/>
        <v>#DIV/0!</v>
      </c>
      <c r="U366" s="87" t="e">
        <f t="shared" si="109"/>
        <v>#DIV/0!</v>
      </c>
      <c r="V366" s="22" t="e">
        <f t="shared" si="110"/>
        <v>#DIV/0!</v>
      </c>
    </row>
    <row r="367" spans="1:22" x14ac:dyDescent="0.25">
      <c r="A367" s="84" t="s">
        <v>633</v>
      </c>
      <c r="B367" s="85" t="s">
        <v>42</v>
      </c>
      <c r="C367" s="85" t="s">
        <v>342</v>
      </c>
      <c r="D367" s="85" t="s">
        <v>762</v>
      </c>
      <c r="E367" s="86" t="s">
        <v>590</v>
      </c>
      <c r="F367" s="85" t="s">
        <v>353</v>
      </c>
      <c r="G367" s="85" t="s">
        <v>262</v>
      </c>
      <c r="H367" s="85" t="s">
        <v>14</v>
      </c>
      <c r="I367" s="85" t="s">
        <v>258</v>
      </c>
      <c r="J367" s="86" t="s">
        <v>263</v>
      </c>
      <c r="K367" s="85" t="s">
        <v>365</v>
      </c>
      <c r="L367" s="87">
        <v>32.1</v>
      </c>
      <c r="M367" s="87">
        <f t="shared" si="105"/>
        <v>13.161</v>
      </c>
      <c r="N367" s="88">
        <f>prodnorm10</f>
        <v>0</v>
      </c>
      <c r="O367" s="33">
        <f>dagwerk10</f>
        <v>0</v>
      </c>
      <c r="P367" s="85" t="s">
        <v>109</v>
      </c>
      <c r="Q367" s="21">
        <f>uurtarief10</f>
        <v>0</v>
      </c>
      <c r="R367" s="87" t="e">
        <f t="shared" si="106"/>
        <v>#DIV/0!</v>
      </c>
      <c r="S367" s="87" t="e">
        <f t="shared" si="107"/>
        <v>#DIV/0!</v>
      </c>
      <c r="T367" s="21" t="e">
        <f t="shared" si="108"/>
        <v>#DIV/0!</v>
      </c>
      <c r="U367" s="87" t="e">
        <f t="shared" si="109"/>
        <v>#DIV/0!</v>
      </c>
      <c r="V367" s="22" t="e">
        <f t="shared" si="110"/>
        <v>#DIV/0!</v>
      </c>
    </row>
    <row r="368" spans="1:22" x14ac:dyDescent="0.25">
      <c r="A368" s="84" t="s">
        <v>633</v>
      </c>
      <c r="B368" s="85" t="s">
        <v>42</v>
      </c>
      <c r="C368" s="85" t="s">
        <v>342</v>
      </c>
      <c r="D368" s="85" t="s">
        <v>763</v>
      </c>
      <c r="E368" s="86" t="s">
        <v>698</v>
      </c>
      <c r="F368" s="85" t="s">
        <v>674</v>
      </c>
      <c r="G368" s="85" t="s">
        <v>310</v>
      </c>
      <c r="H368" s="85" t="s">
        <v>9</v>
      </c>
      <c r="I368" s="85" t="s">
        <v>258</v>
      </c>
      <c r="J368" s="86" t="s">
        <v>311</v>
      </c>
      <c r="K368" s="85" t="s">
        <v>417</v>
      </c>
      <c r="L368" s="87">
        <v>22.8</v>
      </c>
      <c r="M368" s="87">
        <f t="shared" si="105"/>
        <v>23.369999999999997</v>
      </c>
      <c r="N368" s="88">
        <f>prodnorm45</f>
        <v>0</v>
      </c>
      <c r="O368" s="33">
        <f>dagwerk45</f>
        <v>0</v>
      </c>
      <c r="P368" s="85" t="s">
        <v>109</v>
      </c>
      <c r="Q368" s="21">
        <f>uurtarief45</f>
        <v>0</v>
      </c>
      <c r="R368" s="87" t="e">
        <f t="shared" si="106"/>
        <v>#DIV/0!</v>
      </c>
      <c r="S368" s="87" t="e">
        <f t="shared" si="107"/>
        <v>#DIV/0!</v>
      </c>
      <c r="T368" s="21" t="e">
        <f t="shared" si="108"/>
        <v>#DIV/0!</v>
      </c>
      <c r="U368" s="87" t="e">
        <f t="shared" si="109"/>
        <v>#DIV/0!</v>
      </c>
      <c r="V368" s="22" t="e">
        <f t="shared" si="110"/>
        <v>#DIV/0!</v>
      </c>
    </row>
    <row r="369" spans="1:22" x14ac:dyDescent="0.25">
      <c r="A369" s="84" t="s">
        <v>633</v>
      </c>
      <c r="B369" s="85" t="s">
        <v>42</v>
      </c>
      <c r="C369" s="85" t="s">
        <v>342</v>
      </c>
      <c r="D369" s="85" t="s">
        <v>764</v>
      </c>
      <c r="E369" s="86" t="s">
        <v>570</v>
      </c>
      <c r="F369" s="85" t="s">
        <v>349</v>
      </c>
      <c r="G369" s="85" t="s">
        <v>350</v>
      </c>
      <c r="H369" s="85"/>
      <c r="I369" s="85"/>
      <c r="J369" s="85"/>
      <c r="K369" s="85" t="s">
        <v>42</v>
      </c>
      <c r="L369" s="87">
        <v>9.3000000000000007</v>
      </c>
      <c r="M369" s="87"/>
      <c r="N369" s="88"/>
      <c r="O369" s="33"/>
      <c r="P369" s="85"/>
      <c r="Q369" s="21"/>
      <c r="R369" s="87"/>
      <c r="S369" s="87"/>
      <c r="T369" s="21"/>
      <c r="U369" s="89"/>
      <c r="V369" s="22"/>
    </row>
    <row r="370" spans="1:22" x14ac:dyDescent="0.25">
      <c r="A370" s="84" t="s">
        <v>633</v>
      </c>
      <c r="B370" s="85" t="s">
        <v>42</v>
      </c>
      <c r="C370" s="85" t="s">
        <v>342</v>
      </c>
      <c r="D370" s="85" t="s">
        <v>765</v>
      </c>
      <c r="E370" s="86" t="s">
        <v>590</v>
      </c>
      <c r="F370" s="85" t="s">
        <v>353</v>
      </c>
      <c r="G370" s="85" t="s">
        <v>257</v>
      </c>
      <c r="H370" s="85" t="s">
        <v>12</v>
      </c>
      <c r="I370" s="85" t="s">
        <v>258</v>
      </c>
      <c r="J370" s="86" t="s">
        <v>259</v>
      </c>
      <c r="K370" s="85" t="s">
        <v>365</v>
      </c>
      <c r="L370" s="87">
        <v>16.100000000000001</v>
      </c>
      <c r="M370" s="87">
        <f>L370*VLOOKUP(H370,dagsoorttabel1,2,FALSE)</f>
        <v>9.9015000000000004</v>
      </c>
      <c r="N370" s="88">
        <f>prodnorm5</f>
        <v>0</v>
      </c>
      <c r="O370" s="33">
        <f>dagwerk5</f>
        <v>0</v>
      </c>
      <c r="P370" s="85" t="s">
        <v>109</v>
      </c>
      <c r="Q370" s="21">
        <f>uurtarief5</f>
        <v>0</v>
      </c>
      <c r="R370" s="87" t="e">
        <f>IF(ISBLANK(N370),0,M370/ROUND(N370,4))</f>
        <v>#DIV/0!</v>
      </c>
      <c r="S370" s="87" t="e">
        <f>IF(ISBLANK(N370),0,R370*ROUND(O370,2))</f>
        <v>#DIV/0!</v>
      </c>
      <c r="T370" s="21" t="e">
        <f>ROUND(Q370,2)*R370</f>
        <v>#DIV/0!</v>
      </c>
      <c r="U370" s="87" t="e">
        <f>R370*dagenperjaar1</f>
        <v>#DIV/0!</v>
      </c>
      <c r="V370" s="22" t="e">
        <f>U370*ROUND(Q370,2)</f>
        <v>#DIV/0!</v>
      </c>
    </row>
    <row r="371" spans="1:22" x14ac:dyDescent="0.25">
      <c r="A371" s="84" t="s">
        <v>633</v>
      </c>
      <c r="B371" s="85" t="s">
        <v>42</v>
      </c>
      <c r="C371" s="85" t="s">
        <v>342</v>
      </c>
      <c r="D371" s="85" t="s">
        <v>765</v>
      </c>
      <c r="E371" s="86" t="s">
        <v>590</v>
      </c>
      <c r="F371" s="85" t="s">
        <v>353</v>
      </c>
      <c r="G371" s="85" t="s">
        <v>262</v>
      </c>
      <c r="H371" s="85" t="s">
        <v>14</v>
      </c>
      <c r="I371" s="85" t="s">
        <v>258</v>
      </c>
      <c r="J371" s="86" t="s">
        <v>263</v>
      </c>
      <c r="K371" s="85" t="s">
        <v>365</v>
      </c>
      <c r="L371" s="87">
        <v>16.100000000000001</v>
      </c>
      <c r="M371" s="87">
        <f>L371*VLOOKUP(H371,dagsoorttabel1,2,FALSE)</f>
        <v>6.601</v>
      </c>
      <c r="N371" s="88">
        <f>prodnorm10</f>
        <v>0</v>
      </c>
      <c r="O371" s="33">
        <f>dagwerk10</f>
        <v>0</v>
      </c>
      <c r="P371" s="85" t="s">
        <v>109</v>
      </c>
      <c r="Q371" s="21">
        <f>uurtarief10</f>
        <v>0</v>
      </c>
      <c r="R371" s="87" t="e">
        <f>IF(ISBLANK(N371),0,M371/ROUND(N371,4))</f>
        <v>#DIV/0!</v>
      </c>
      <c r="S371" s="87" t="e">
        <f>IF(ISBLANK(N371),0,R371*ROUND(O371,2))</f>
        <v>#DIV/0!</v>
      </c>
      <c r="T371" s="21" t="e">
        <f>ROUND(Q371,2)*R371</f>
        <v>#DIV/0!</v>
      </c>
      <c r="U371" s="87" t="e">
        <f>R371*dagenperjaar1</f>
        <v>#DIV/0!</v>
      </c>
      <c r="V371" s="22" t="e">
        <f>U371*ROUND(Q371,2)</f>
        <v>#DIV/0!</v>
      </c>
    </row>
    <row r="372" spans="1:22" x14ac:dyDescent="0.25">
      <c r="A372" s="84" t="s">
        <v>633</v>
      </c>
      <c r="B372" s="85" t="s">
        <v>42</v>
      </c>
      <c r="C372" s="85" t="s">
        <v>342</v>
      </c>
      <c r="D372" s="85" t="s">
        <v>766</v>
      </c>
      <c r="E372" s="86" t="s">
        <v>590</v>
      </c>
      <c r="F372" s="85" t="s">
        <v>353</v>
      </c>
      <c r="G372" s="85" t="s">
        <v>257</v>
      </c>
      <c r="H372" s="85" t="s">
        <v>12</v>
      </c>
      <c r="I372" s="85" t="s">
        <v>258</v>
      </c>
      <c r="J372" s="86" t="s">
        <v>259</v>
      </c>
      <c r="K372" s="85" t="s">
        <v>365</v>
      </c>
      <c r="L372" s="87">
        <v>15.6</v>
      </c>
      <c r="M372" s="87">
        <f>L372*VLOOKUP(H372,dagsoorttabel1,2,FALSE)</f>
        <v>9.5939999999999994</v>
      </c>
      <c r="N372" s="88">
        <f>prodnorm5</f>
        <v>0</v>
      </c>
      <c r="O372" s="33">
        <f>dagwerk5</f>
        <v>0</v>
      </c>
      <c r="P372" s="85" t="s">
        <v>109</v>
      </c>
      <c r="Q372" s="21">
        <f>uurtarief5</f>
        <v>0</v>
      </c>
      <c r="R372" s="87" t="e">
        <f>IF(ISBLANK(N372),0,M372/ROUND(N372,4))</f>
        <v>#DIV/0!</v>
      </c>
      <c r="S372" s="87" t="e">
        <f>IF(ISBLANK(N372),0,R372*ROUND(O372,2))</f>
        <v>#DIV/0!</v>
      </c>
      <c r="T372" s="21" t="e">
        <f>ROUND(Q372,2)*R372</f>
        <v>#DIV/0!</v>
      </c>
      <c r="U372" s="87" t="e">
        <f>R372*dagenperjaar1</f>
        <v>#DIV/0!</v>
      </c>
      <c r="V372" s="22" t="e">
        <f>U372*ROUND(Q372,2)</f>
        <v>#DIV/0!</v>
      </c>
    </row>
    <row r="373" spans="1:22" x14ac:dyDescent="0.25">
      <c r="A373" s="84" t="s">
        <v>633</v>
      </c>
      <c r="B373" s="85" t="s">
        <v>42</v>
      </c>
      <c r="C373" s="85" t="s">
        <v>342</v>
      </c>
      <c r="D373" s="85" t="s">
        <v>766</v>
      </c>
      <c r="E373" s="86" t="s">
        <v>590</v>
      </c>
      <c r="F373" s="85" t="s">
        <v>353</v>
      </c>
      <c r="G373" s="85" t="s">
        <v>262</v>
      </c>
      <c r="H373" s="85" t="s">
        <v>14</v>
      </c>
      <c r="I373" s="85" t="s">
        <v>258</v>
      </c>
      <c r="J373" s="86" t="s">
        <v>263</v>
      </c>
      <c r="K373" s="85" t="s">
        <v>365</v>
      </c>
      <c r="L373" s="87">
        <v>15.6</v>
      </c>
      <c r="M373" s="87">
        <f>L373*VLOOKUP(H373,dagsoorttabel1,2,FALSE)</f>
        <v>6.3959999999999999</v>
      </c>
      <c r="N373" s="88">
        <f>prodnorm10</f>
        <v>0</v>
      </c>
      <c r="O373" s="33">
        <f>dagwerk10</f>
        <v>0</v>
      </c>
      <c r="P373" s="85" t="s">
        <v>109</v>
      </c>
      <c r="Q373" s="21">
        <f>uurtarief10</f>
        <v>0</v>
      </c>
      <c r="R373" s="87" t="e">
        <f>IF(ISBLANK(N373),0,M373/ROUND(N373,4))</f>
        <v>#DIV/0!</v>
      </c>
      <c r="S373" s="87" t="e">
        <f>IF(ISBLANK(N373),0,R373*ROUND(O373,2))</f>
        <v>#DIV/0!</v>
      </c>
      <c r="T373" s="21" t="e">
        <f>ROUND(Q373,2)*R373</f>
        <v>#DIV/0!</v>
      </c>
      <c r="U373" s="87" t="e">
        <f>R373*dagenperjaar1</f>
        <v>#DIV/0!</v>
      </c>
      <c r="V373" s="22" t="e">
        <f>U373*ROUND(Q373,2)</f>
        <v>#DIV/0!</v>
      </c>
    </row>
    <row r="374" spans="1:22" x14ac:dyDescent="0.25">
      <c r="A374" s="84" t="s">
        <v>633</v>
      </c>
      <c r="B374" s="85" t="s">
        <v>42</v>
      </c>
      <c r="C374" s="85" t="s">
        <v>342</v>
      </c>
      <c r="D374" s="85" t="s">
        <v>767</v>
      </c>
      <c r="E374" s="86" t="s">
        <v>725</v>
      </c>
      <c r="F374" s="85" t="s">
        <v>349</v>
      </c>
      <c r="G374" s="85" t="s">
        <v>350</v>
      </c>
      <c r="H374" s="85"/>
      <c r="I374" s="85"/>
      <c r="J374" s="85"/>
      <c r="K374" s="85" t="s">
        <v>42</v>
      </c>
      <c r="L374" s="87">
        <v>27.1</v>
      </c>
      <c r="M374" s="87"/>
      <c r="N374" s="88"/>
      <c r="O374" s="33"/>
      <c r="P374" s="85"/>
      <c r="Q374" s="21"/>
      <c r="R374" s="87"/>
      <c r="S374" s="87"/>
      <c r="T374" s="21"/>
      <c r="U374" s="89"/>
      <c r="V374" s="22"/>
    </row>
    <row r="375" spans="1:22" x14ac:dyDescent="0.25">
      <c r="A375" s="84" t="s">
        <v>633</v>
      </c>
      <c r="B375" s="85" t="s">
        <v>42</v>
      </c>
      <c r="C375" s="85" t="s">
        <v>342</v>
      </c>
      <c r="D375" s="85" t="s">
        <v>768</v>
      </c>
      <c r="E375" s="86" t="s">
        <v>373</v>
      </c>
      <c r="F375" s="85" t="s">
        <v>349</v>
      </c>
      <c r="G375" s="85" t="s">
        <v>312</v>
      </c>
      <c r="H375" s="85" t="s">
        <v>9</v>
      </c>
      <c r="I375" s="85" t="s">
        <v>258</v>
      </c>
      <c r="J375" s="86" t="s">
        <v>313</v>
      </c>
      <c r="K375" s="85" t="s">
        <v>346</v>
      </c>
      <c r="L375" s="87">
        <v>66.3</v>
      </c>
      <c r="M375" s="87">
        <f>L375*VLOOKUP(H375,dagsoorttabel1,2,FALSE)</f>
        <v>67.957499999999996</v>
      </c>
      <c r="N375" s="88">
        <f>prodnorm46</f>
        <v>0</v>
      </c>
      <c r="O375" s="33">
        <f>dagwerk46</f>
        <v>0</v>
      </c>
      <c r="P375" s="85" t="s">
        <v>109</v>
      </c>
      <c r="Q375" s="21">
        <f>uurtarief46</f>
        <v>0</v>
      </c>
      <c r="R375" s="87" t="e">
        <f>IF(ISBLANK(N375),0,M375/ROUND(N375,4))</f>
        <v>#DIV/0!</v>
      </c>
      <c r="S375" s="87" t="e">
        <f>IF(ISBLANK(N375),0,R375*ROUND(O375,2))</f>
        <v>#DIV/0!</v>
      </c>
      <c r="T375" s="21" t="e">
        <f>ROUND(Q375,2)*R375</f>
        <v>#DIV/0!</v>
      </c>
      <c r="U375" s="87" t="e">
        <f>R375*dagenperjaar1</f>
        <v>#DIV/0!</v>
      </c>
      <c r="V375" s="22" t="e">
        <f>U375*ROUND(Q375,2)</f>
        <v>#DIV/0!</v>
      </c>
    </row>
    <row r="376" spans="1:22" x14ac:dyDescent="0.25">
      <c r="A376" s="84" t="s">
        <v>633</v>
      </c>
      <c r="B376" s="85" t="s">
        <v>42</v>
      </c>
      <c r="C376" s="85" t="s">
        <v>342</v>
      </c>
      <c r="D376" s="85" t="s">
        <v>769</v>
      </c>
      <c r="E376" s="86" t="s">
        <v>770</v>
      </c>
      <c r="F376" s="85" t="s">
        <v>349</v>
      </c>
      <c r="G376" s="85" t="s">
        <v>350</v>
      </c>
      <c r="H376" s="85"/>
      <c r="I376" s="85"/>
      <c r="J376" s="85"/>
      <c r="K376" s="85" t="s">
        <v>42</v>
      </c>
      <c r="L376" s="87">
        <v>28.1</v>
      </c>
      <c r="M376" s="87"/>
      <c r="N376" s="88"/>
      <c r="O376" s="33"/>
      <c r="P376" s="85"/>
      <c r="Q376" s="21"/>
      <c r="R376" s="87"/>
      <c r="S376" s="87"/>
      <c r="T376" s="21"/>
      <c r="U376" s="89"/>
      <c r="V376" s="22"/>
    </row>
    <row r="377" spans="1:22" x14ac:dyDescent="0.25">
      <c r="A377" s="84" t="s">
        <v>633</v>
      </c>
      <c r="B377" s="85" t="s">
        <v>42</v>
      </c>
      <c r="C377" s="85" t="s">
        <v>342</v>
      </c>
      <c r="D377" s="85" t="s">
        <v>771</v>
      </c>
      <c r="E377" s="86" t="s">
        <v>772</v>
      </c>
      <c r="F377" s="85" t="s">
        <v>674</v>
      </c>
      <c r="G377" s="85" t="s">
        <v>308</v>
      </c>
      <c r="H377" s="85" t="s">
        <v>9</v>
      </c>
      <c r="I377" s="85" t="s">
        <v>258</v>
      </c>
      <c r="J377" s="86" t="s">
        <v>309</v>
      </c>
      <c r="K377" s="85" t="s">
        <v>417</v>
      </c>
      <c r="L377" s="87">
        <v>28.3</v>
      </c>
      <c r="M377" s="87">
        <f>L377*VLOOKUP(H377,dagsoorttabel1,2,FALSE)</f>
        <v>29.007499999999997</v>
      </c>
      <c r="N377" s="88">
        <f>prodnorm43</f>
        <v>0</v>
      </c>
      <c r="O377" s="33">
        <f>dagwerk43</f>
        <v>0</v>
      </c>
      <c r="P377" s="85" t="s">
        <v>109</v>
      </c>
      <c r="Q377" s="21">
        <f>uurtarief43</f>
        <v>0</v>
      </c>
      <c r="R377" s="87" t="e">
        <f>IF(ISBLANK(N377),0,M377/ROUND(N377,4))</f>
        <v>#DIV/0!</v>
      </c>
      <c r="S377" s="87" t="e">
        <f>IF(ISBLANK(N377),0,R377*ROUND(O377,2))</f>
        <v>#DIV/0!</v>
      </c>
      <c r="T377" s="21" t="e">
        <f>ROUND(Q377,2)*R377</f>
        <v>#DIV/0!</v>
      </c>
      <c r="U377" s="87" t="e">
        <f>R377*dagenperjaar1</f>
        <v>#DIV/0!</v>
      </c>
      <c r="V377" s="22" t="e">
        <f>U377*ROUND(Q377,2)</f>
        <v>#DIV/0!</v>
      </c>
    </row>
    <row r="378" spans="1:22" x14ac:dyDescent="0.25">
      <c r="A378" s="84" t="s">
        <v>633</v>
      </c>
      <c r="B378" s="85" t="s">
        <v>42</v>
      </c>
      <c r="C378" s="85" t="s">
        <v>342</v>
      </c>
      <c r="D378" s="85" t="s">
        <v>773</v>
      </c>
      <c r="E378" s="86" t="s">
        <v>736</v>
      </c>
      <c r="F378" s="85" t="s">
        <v>674</v>
      </c>
      <c r="G378" s="85" t="s">
        <v>350</v>
      </c>
      <c r="H378" s="85"/>
      <c r="I378" s="85"/>
      <c r="J378" s="85"/>
      <c r="K378" s="85" t="s">
        <v>42</v>
      </c>
      <c r="L378" s="87">
        <v>17.600000000000001</v>
      </c>
      <c r="M378" s="87"/>
      <c r="N378" s="88"/>
      <c r="O378" s="33"/>
      <c r="P378" s="85"/>
      <c r="Q378" s="21"/>
      <c r="R378" s="87"/>
      <c r="S378" s="87"/>
      <c r="T378" s="21"/>
      <c r="U378" s="89"/>
      <c r="V378" s="22"/>
    </row>
    <row r="379" spans="1:22" x14ac:dyDescent="0.25">
      <c r="A379" s="84" t="s">
        <v>633</v>
      </c>
      <c r="B379" s="85" t="s">
        <v>42</v>
      </c>
      <c r="C379" s="85" t="s">
        <v>342</v>
      </c>
      <c r="D379" s="85" t="s">
        <v>774</v>
      </c>
      <c r="E379" s="86" t="s">
        <v>775</v>
      </c>
      <c r="F379" s="85" t="s">
        <v>674</v>
      </c>
      <c r="G379" s="85" t="s">
        <v>350</v>
      </c>
      <c r="H379" s="85"/>
      <c r="I379" s="85"/>
      <c r="J379" s="85"/>
      <c r="K379" s="85" t="s">
        <v>42</v>
      </c>
      <c r="L379" s="87">
        <v>34.799999999999997</v>
      </c>
      <c r="M379" s="87"/>
      <c r="N379" s="88"/>
      <c r="O379" s="33"/>
      <c r="P379" s="85"/>
      <c r="Q379" s="21"/>
      <c r="R379" s="87"/>
      <c r="S379" s="87"/>
      <c r="T379" s="21"/>
      <c r="U379" s="89"/>
      <c r="V379" s="22"/>
    </row>
    <row r="380" spans="1:22" x14ac:dyDescent="0.25">
      <c r="A380" s="84" t="s">
        <v>633</v>
      </c>
      <c r="B380" s="85" t="s">
        <v>42</v>
      </c>
      <c r="C380" s="85" t="s">
        <v>342</v>
      </c>
      <c r="D380" s="85" t="s">
        <v>776</v>
      </c>
      <c r="E380" s="86" t="s">
        <v>777</v>
      </c>
      <c r="F380" s="85" t="s">
        <v>670</v>
      </c>
      <c r="G380" s="85" t="s">
        <v>350</v>
      </c>
      <c r="H380" s="85"/>
      <c r="I380" s="85"/>
      <c r="J380" s="85"/>
      <c r="K380" s="85" t="s">
        <v>42</v>
      </c>
      <c r="L380" s="87">
        <v>36</v>
      </c>
      <c r="M380" s="87"/>
      <c r="N380" s="88"/>
      <c r="O380" s="33"/>
      <c r="P380" s="85"/>
      <c r="Q380" s="21"/>
      <c r="R380" s="87"/>
      <c r="S380" s="87"/>
      <c r="T380" s="21"/>
      <c r="U380" s="89"/>
      <c r="V380" s="22"/>
    </row>
    <row r="381" spans="1:22" x14ac:dyDescent="0.25">
      <c r="A381" s="84" t="s">
        <v>633</v>
      </c>
      <c r="B381" s="85" t="s">
        <v>42</v>
      </c>
      <c r="C381" s="85" t="s">
        <v>342</v>
      </c>
      <c r="D381" s="85" t="s">
        <v>778</v>
      </c>
      <c r="E381" s="86" t="s">
        <v>777</v>
      </c>
      <c r="F381" s="85" t="s">
        <v>670</v>
      </c>
      <c r="G381" s="85" t="s">
        <v>350</v>
      </c>
      <c r="H381" s="85"/>
      <c r="I381" s="85"/>
      <c r="J381" s="85"/>
      <c r="K381" s="85" t="s">
        <v>42</v>
      </c>
      <c r="L381" s="87">
        <v>36</v>
      </c>
      <c r="M381" s="87"/>
      <c r="N381" s="88"/>
      <c r="O381" s="33"/>
      <c r="P381" s="85"/>
      <c r="Q381" s="21"/>
      <c r="R381" s="87"/>
      <c r="S381" s="87"/>
      <c r="T381" s="21"/>
      <c r="U381" s="89"/>
      <c r="V381" s="22"/>
    </row>
    <row r="382" spans="1:22" x14ac:dyDescent="0.25">
      <c r="A382" s="84" t="s">
        <v>633</v>
      </c>
      <c r="B382" s="85" t="s">
        <v>42</v>
      </c>
      <c r="C382" s="85" t="s">
        <v>342</v>
      </c>
      <c r="D382" s="85" t="s">
        <v>779</v>
      </c>
      <c r="E382" s="86" t="s">
        <v>736</v>
      </c>
      <c r="F382" s="85" t="s">
        <v>349</v>
      </c>
      <c r="G382" s="85" t="s">
        <v>350</v>
      </c>
      <c r="H382" s="85"/>
      <c r="I382" s="85"/>
      <c r="J382" s="85"/>
      <c r="K382" s="85" t="s">
        <v>42</v>
      </c>
      <c r="L382" s="87">
        <v>28.3</v>
      </c>
      <c r="M382" s="87"/>
      <c r="N382" s="88"/>
      <c r="O382" s="33"/>
      <c r="P382" s="85"/>
      <c r="Q382" s="21"/>
      <c r="R382" s="87"/>
      <c r="S382" s="87"/>
      <c r="T382" s="21"/>
      <c r="U382" s="89"/>
      <c r="V382" s="22"/>
    </row>
    <row r="383" spans="1:22" x14ac:dyDescent="0.25">
      <c r="A383" s="84" t="s">
        <v>633</v>
      </c>
      <c r="B383" s="85" t="s">
        <v>42</v>
      </c>
      <c r="C383" s="85" t="s">
        <v>342</v>
      </c>
      <c r="D383" s="85" t="s">
        <v>780</v>
      </c>
      <c r="E383" s="86" t="s">
        <v>698</v>
      </c>
      <c r="F383" s="85" t="s">
        <v>674</v>
      </c>
      <c r="G383" s="85" t="s">
        <v>310</v>
      </c>
      <c r="H383" s="85" t="s">
        <v>9</v>
      </c>
      <c r="I383" s="85" t="s">
        <v>258</v>
      </c>
      <c r="J383" s="86" t="s">
        <v>311</v>
      </c>
      <c r="K383" s="85" t="s">
        <v>417</v>
      </c>
      <c r="L383" s="87">
        <v>10</v>
      </c>
      <c r="M383" s="87">
        <f>L383*VLOOKUP(H383,dagsoorttabel1,2,FALSE)</f>
        <v>10.25</v>
      </c>
      <c r="N383" s="88">
        <f>prodnorm45</f>
        <v>0</v>
      </c>
      <c r="O383" s="33">
        <f>dagwerk45</f>
        <v>0</v>
      </c>
      <c r="P383" s="85" t="s">
        <v>109</v>
      </c>
      <c r="Q383" s="21">
        <f>uurtarief45</f>
        <v>0</v>
      </c>
      <c r="R383" s="87" t="e">
        <f>IF(ISBLANK(N383),0,M383/ROUND(N383,4))</f>
        <v>#DIV/0!</v>
      </c>
      <c r="S383" s="87" t="e">
        <f>IF(ISBLANK(N383),0,R383*ROUND(O383,2))</f>
        <v>#DIV/0!</v>
      </c>
      <c r="T383" s="21" t="e">
        <f>ROUND(Q383,2)*R383</f>
        <v>#DIV/0!</v>
      </c>
      <c r="U383" s="87" t="e">
        <f>R383*dagenperjaar1</f>
        <v>#DIV/0!</v>
      </c>
      <c r="V383" s="22" t="e">
        <f>U383*ROUND(Q383,2)</f>
        <v>#DIV/0!</v>
      </c>
    </row>
    <row r="384" spans="1:22" x14ac:dyDescent="0.25">
      <c r="A384" s="84" t="s">
        <v>633</v>
      </c>
      <c r="B384" s="85" t="s">
        <v>42</v>
      </c>
      <c r="C384" s="85" t="s">
        <v>342</v>
      </c>
      <c r="D384" s="85" t="s">
        <v>781</v>
      </c>
      <c r="E384" s="86" t="s">
        <v>736</v>
      </c>
      <c r="F384" s="85" t="s">
        <v>349</v>
      </c>
      <c r="G384" s="85" t="s">
        <v>350</v>
      </c>
      <c r="H384" s="85"/>
      <c r="I384" s="85"/>
      <c r="J384" s="85"/>
      <c r="K384" s="85" t="s">
        <v>42</v>
      </c>
      <c r="L384" s="87">
        <v>12.6</v>
      </c>
      <c r="M384" s="87"/>
      <c r="N384" s="88"/>
      <c r="O384" s="33"/>
      <c r="P384" s="85"/>
      <c r="Q384" s="21"/>
      <c r="R384" s="87"/>
      <c r="S384" s="87"/>
      <c r="T384" s="21"/>
      <c r="U384" s="89"/>
      <c r="V384" s="22"/>
    </row>
    <row r="385" spans="1:22" x14ac:dyDescent="0.25">
      <c r="A385" s="84" t="s">
        <v>633</v>
      </c>
      <c r="B385" s="85" t="s">
        <v>42</v>
      </c>
      <c r="C385" s="85" t="s">
        <v>342</v>
      </c>
      <c r="D385" s="85" t="s">
        <v>782</v>
      </c>
      <c r="E385" s="86" t="s">
        <v>772</v>
      </c>
      <c r="F385" s="85" t="s">
        <v>674</v>
      </c>
      <c r="G385" s="85" t="s">
        <v>308</v>
      </c>
      <c r="H385" s="85" t="s">
        <v>9</v>
      </c>
      <c r="I385" s="85" t="s">
        <v>258</v>
      </c>
      <c r="J385" s="86" t="s">
        <v>309</v>
      </c>
      <c r="K385" s="85" t="s">
        <v>417</v>
      </c>
      <c r="L385" s="87">
        <v>28.3</v>
      </c>
      <c r="M385" s="87">
        <f>L385*VLOOKUP(H385,dagsoorttabel1,2,FALSE)</f>
        <v>29.007499999999997</v>
      </c>
      <c r="N385" s="88">
        <f>prodnorm43</f>
        <v>0</v>
      </c>
      <c r="O385" s="33">
        <f>dagwerk43</f>
        <v>0</v>
      </c>
      <c r="P385" s="85" t="s">
        <v>109</v>
      </c>
      <c r="Q385" s="21">
        <f>uurtarief43</f>
        <v>0</v>
      </c>
      <c r="R385" s="87" t="e">
        <f>IF(ISBLANK(N385),0,M385/ROUND(N385,4))</f>
        <v>#DIV/0!</v>
      </c>
      <c r="S385" s="87" t="e">
        <f>IF(ISBLANK(N385),0,R385*ROUND(O385,2))</f>
        <v>#DIV/0!</v>
      </c>
      <c r="T385" s="21" t="e">
        <f>ROUND(Q385,2)*R385</f>
        <v>#DIV/0!</v>
      </c>
      <c r="U385" s="87" t="e">
        <f>R385*dagenperjaar1</f>
        <v>#DIV/0!</v>
      </c>
      <c r="V385" s="22" t="e">
        <f>U385*ROUND(Q385,2)</f>
        <v>#DIV/0!</v>
      </c>
    </row>
    <row r="386" spans="1:22" x14ac:dyDescent="0.25">
      <c r="A386" s="84" t="s">
        <v>633</v>
      </c>
      <c r="B386" s="85" t="s">
        <v>42</v>
      </c>
      <c r="C386" s="85" t="s">
        <v>342</v>
      </c>
      <c r="D386" s="85" t="s">
        <v>783</v>
      </c>
      <c r="E386" s="86" t="s">
        <v>784</v>
      </c>
      <c r="F386" s="85" t="s">
        <v>674</v>
      </c>
      <c r="G386" s="85" t="s">
        <v>274</v>
      </c>
      <c r="H386" s="85" t="s">
        <v>9</v>
      </c>
      <c r="I386" s="85" t="s">
        <v>258</v>
      </c>
      <c r="J386" s="86" t="s">
        <v>275</v>
      </c>
      <c r="K386" s="85" t="s">
        <v>365</v>
      </c>
      <c r="L386" s="87">
        <v>9.8000000000000007</v>
      </c>
      <c r="M386" s="87">
        <f>L386*VLOOKUP(H386,dagsoorttabel1,2,FALSE)</f>
        <v>10.045</v>
      </c>
      <c r="N386" s="88">
        <f>prodnorm20</f>
        <v>0</v>
      </c>
      <c r="O386" s="33">
        <f>dagwerk20</f>
        <v>0</v>
      </c>
      <c r="P386" s="85" t="s">
        <v>109</v>
      </c>
      <c r="Q386" s="21">
        <f>uurtarief20</f>
        <v>0</v>
      </c>
      <c r="R386" s="87" t="e">
        <f>IF(ISBLANK(N386),0,M386/ROUND(N386,4))</f>
        <v>#DIV/0!</v>
      </c>
      <c r="S386" s="87" t="e">
        <f>IF(ISBLANK(N386),0,R386*ROUND(O386,2))</f>
        <v>#DIV/0!</v>
      </c>
      <c r="T386" s="21" t="e">
        <f>ROUND(Q386,2)*R386</f>
        <v>#DIV/0!</v>
      </c>
      <c r="U386" s="87" t="e">
        <f>R386*dagenperjaar1</f>
        <v>#DIV/0!</v>
      </c>
      <c r="V386" s="22" t="e">
        <f>U386*ROUND(Q386,2)</f>
        <v>#DIV/0!</v>
      </c>
    </row>
    <row r="387" spans="1:22" x14ac:dyDescent="0.25">
      <c r="A387" s="84" t="s">
        <v>633</v>
      </c>
      <c r="B387" s="85" t="s">
        <v>42</v>
      </c>
      <c r="C387" s="85" t="s">
        <v>342</v>
      </c>
      <c r="D387" s="85" t="s">
        <v>785</v>
      </c>
      <c r="E387" s="86" t="s">
        <v>784</v>
      </c>
      <c r="F387" s="85" t="s">
        <v>674</v>
      </c>
      <c r="G387" s="85" t="s">
        <v>350</v>
      </c>
      <c r="H387" s="85"/>
      <c r="I387" s="85"/>
      <c r="J387" s="85"/>
      <c r="K387" s="85" t="s">
        <v>42</v>
      </c>
      <c r="L387" s="87">
        <v>6.7</v>
      </c>
      <c r="M387" s="87"/>
      <c r="N387" s="88"/>
      <c r="O387" s="33"/>
      <c r="P387" s="85"/>
      <c r="Q387" s="21"/>
      <c r="R387" s="87"/>
      <c r="S387" s="87"/>
      <c r="T387" s="21"/>
      <c r="U387" s="89"/>
      <c r="V387" s="22"/>
    </row>
    <row r="388" spans="1:22" x14ac:dyDescent="0.25">
      <c r="A388" s="84" t="s">
        <v>633</v>
      </c>
      <c r="B388" s="85" t="s">
        <v>42</v>
      </c>
      <c r="C388" s="85" t="s">
        <v>342</v>
      </c>
      <c r="D388" s="85" t="s">
        <v>786</v>
      </c>
      <c r="E388" s="86" t="s">
        <v>784</v>
      </c>
      <c r="F388" s="85" t="s">
        <v>674</v>
      </c>
      <c r="G388" s="85" t="s">
        <v>274</v>
      </c>
      <c r="H388" s="85" t="s">
        <v>9</v>
      </c>
      <c r="I388" s="85" t="s">
        <v>258</v>
      </c>
      <c r="J388" s="86" t="s">
        <v>275</v>
      </c>
      <c r="K388" s="85" t="s">
        <v>365</v>
      </c>
      <c r="L388" s="87">
        <v>9.8000000000000007</v>
      </c>
      <c r="M388" s="87">
        <f>L388*VLOOKUP(H388,dagsoorttabel1,2,FALSE)</f>
        <v>10.045</v>
      </c>
      <c r="N388" s="88">
        <f>prodnorm20</f>
        <v>0</v>
      </c>
      <c r="O388" s="33">
        <f>dagwerk20</f>
        <v>0</v>
      </c>
      <c r="P388" s="85" t="s">
        <v>109</v>
      </c>
      <c r="Q388" s="21">
        <f>uurtarief20</f>
        <v>0</v>
      </c>
      <c r="R388" s="87" t="e">
        <f>IF(ISBLANK(N388),0,M388/ROUND(N388,4))</f>
        <v>#DIV/0!</v>
      </c>
      <c r="S388" s="87" t="e">
        <f>IF(ISBLANK(N388),0,R388*ROUND(O388,2))</f>
        <v>#DIV/0!</v>
      </c>
      <c r="T388" s="21" t="e">
        <f>ROUND(Q388,2)*R388</f>
        <v>#DIV/0!</v>
      </c>
      <c r="U388" s="87" t="e">
        <f>R388*dagenperjaar1</f>
        <v>#DIV/0!</v>
      </c>
      <c r="V388" s="22" t="e">
        <f>U388*ROUND(Q388,2)</f>
        <v>#DIV/0!</v>
      </c>
    </row>
    <row r="389" spans="1:22" x14ac:dyDescent="0.25">
      <c r="A389" s="84" t="s">
        <v>633</v>
      </c>
      <c r="B389" s="85" t="s">
        <v>42</v>
      </c>
      <c r="C389" s="85" t="s">
        <v>342</v>
      </c>
      <c r="D389" s="85" t="s">
        <v>787</v>
      </c>
      <c r="E389" s="86" t="s">
        <v>680</v>
      </c>
      <c r="F389" s="85" t="s">
        <v>788</v>
      </c>
      <c r="G389" s="85" t="s">
        <v>320</v>
      </c>
      <c r="H389" s="85" t="s">
        <v>9</v>
      </c>
      <c r="I389" s="85" t="s">
        <v>258</v>
      </c>
      <c r="J389" s="86" t="s">
        <v>321</v>
      </c>
      <c r="K389" s="85" t="s">
        <v>346</v>
      </c>
      <c r="L389" s="87">
        <v>38</v>
      </c>
      <c r="M389" s="87">
        <f>L389*VLOOKUP(H389,dagsoorttabel1,2,FALSE)</f>
        <v>38.949999999999996</v>
      </c>
      <c r="N389" s="88">
        <f>prodnorm51</f>
        <v>0</v>
      </c>
      <c r="O389" s="33">
        <f>dagwerk51</f>
        <v>0</v>
      </c>
      <c r="P389" s="85" t="s">
        <v>109</v>
      </c>
      <c r="Q389" s="21">
        <f>uurtarief51</f>
        <v>0</v>
      </c>
      <c r="R389" s="87" t="e">
        <f>IF(ISBLANK(N389),0,M389/ROUND(N389,4))</f>
        <v>#DIV/0!</v>
      </c>
      <c r="S389" s="87" t="e">
        <f>IF(ISBLANK(N389),0,R389*ROUND(O389,2))</f>
        <v>#DIV/0!</v>
      </c>
      <c r="T389" s="21" t="e">
        <f>ROUND(Q389,2)*R389</f>
        <v>#DIV/0!</v>
      </c>
      <c r="U389" s="87" t="e">
        <f>R389*dagenperjaar1</f>
        <v>#DIV/0!</v>
      </c>
      <c r="V389" s="22" t="e">
        <f>U389*ROUND(Q389,2)</f>
        <v>#DIV/0!</v>
      </c>
    </row>
    <row r="390" spans="1:22" x14ac:dyDescent="0.25">
      <c r="A390" s="84" t="s">
        <v>633</v>
      </c>
      <c r="B390" s="85" t="s">
        <v>42</v>
      </c>
      <c r="C390" s="85" t="s">
        <v>342</v>
      </c>
      <c r="D390" s="85" t="s">
        <v>789</v>
      </c>
      <c r="E390" s="86" t="s">
        <v>790</v>
      </c>
      <c r="F390" s="85" t="s">
        <v>349</v>
      </c>
      <c r="G390" s="85" t="s">
        <v>320</v>
      </c>
      <c r="H390" s="85" t="s">
        <v>9</v>
      </c>
      <c r="I390" s="85" t="s">
        <v>258</v>
      </c>
      <c r="J390" s="86" t="s">
        <v>321</v>
      </c>
      <c r="K390" s="85" t="s">
        <v>346</v>
      </c>
      <c r="L390" s="87">
        <v>173.1</v>
      </c>
      <c r="M390" s="87">
        <f>L390*VLOOKUP(H390,dagsoorttabel1,2,FALSE)</f>
        <v>177.42749999999998</v>
      </c>
      <c r="N390" s="88">
        <f>prodnorm51</f>
        <v>0</v>
      </c>
      <c r="O390" s="33">
        <f>dagwerk51</f>
        <v>0</v>
      </c>
      <c r="P390" s="85" t="s">
        <v>109</v>
      </c>
      <c r="Q390" s="21">
        <f>uurtarief51</f>
        <v>0</v>
      </c>
      <c r="R390" s="87" t="e">
        <f>IF(ISBLANK(N390),0,M390/ROUND(N390,4))</f>
        <v>#DIV/0!</v>
      </c>
      <c r="S390" s="87" t="e">
        <f>IF(ISBLANK(N390),0,R390*ROUND(O390,2))</f>
        <v>#DIV/0!</v>
      </c>
      <c r="T390" s="21" t="e">
        <f>ROUND(Q390,2)*R390</f>
        <v>#DIV/0!</v>
      </c>
      <c r="U390" s="87" t="e">
        <f>R390*dagenperjaar1</f>
        <v>#DIV/0!</v>
      </c>
      <c r="V390" s="22" t="e">
        <f>U390*ROUND(Q390,2)</f>
        <v>#DIV/0!</v>
      </c>
    </row>
    <row r="391" spans="1:22" x14ac:dyDescent="0.25">
      <c r="A391" s="84" t="s">
        <v>633</v>
      </c>
      <c r="B391" s="85" t="s">
        <v>42</v>
      </c>
      <c r="C391" s="85" t="s">
        <v>342</v>
      </c>
      <c r="D391" s="85" t="s">
        <v>791</v>
      </c>
      <c r="E391" s="86" t="s">
        <v>665</v>
      </c>
      <c r="F391" s="85" t="s">
        <v>666</v>
      </c>
      <c r="G391" s="85" t="s">
        <v>304</v>
      </c>
      <c r="H391" s="85" t="s">
        <v>9</v>
      </c>
      <c r="I391" s="85" t="s">
        <v>258</v>
      </c>
      <c r="J391" s="86" t="s">
        <v>305</v>
      </c>
      <c r="K391" s="85" t="s">
        <v>386</v>
      </c>
      <c r="L391" s="87">
        <v>48.2</v>
      </c>
      <c r="M391" s="87">
        <f>L391*VLOOKUP(H391,dagsoorttabel1,2,FALSE)</f>
        <v>49.405000000000001</v>
      </c>
      <c r="N391" s="88">
        <f>prodnorm39</f>
        <v>0</v>
      </c>
      <c r="O391" s="33">
        <f>dagwerk39</f>
        <v>0</v>
      </c>
      <c r="P391" s="85" t="s">
        <v>109</v>
      </c>
      <c r="Q391" s="21">
        <f>uurtarief39</f>
        <v>0</v>
      </c>
      <c r="R391" s="87" t="e">
        <f>IF(ISBLANK(N391),0,M391/ROUND(N391,4))</f>
        <v>#DIV/0!</v>
      </c>
      <c r="S391" s="87" t="e">
        <f>IF(ISBLANK(N391),0,R391*ROUND(O391,2))</f>
        <v>#DIV/0!</v>
      </c>
      <c r="T391" s="21" t="e">
        <f>ROUND(Q391,2)*R391</f>
        <v>#DIV/0!</v>
      </c>
      <c r="U391" s="87" t="e">
        <f>R391*dagenperjaar1</f>
        <v>#DIV/0!</v>
      </c>
      <c r="V391" s="22" t="e">
        <f>U391*ROUND(Q391,2)</f>
        <v>#DIV/0!</v>
      </c>
    </row>
    <row r="392" spans="1:22" x14ac:dyDescent="0.25">
      <c r="A392" s="84" t="s">
        <v>633</v>
      </c>
      <c r="B392" s="85" t="s">
        <v>42</v>
      </c>
      <c r="C392" s="85" t="s">
        <v>342</v>
      </c>
      <c r="D392" s="85" t="s">
        <v>792</v>
      </c>
      <c r="E392" s="86" t="s">
        <v>793</v>
      </c>
      <c r="F392" s="85" t="s">
        <v>670</v>
      </c>
      <c r="G392" s="85" t="s">
        <v>350</v>
      </c>
      <c r="H392" s="85"/>
      <c r="I392" s="85"/>
      <c r="J392" s="85"/>
      <c r="K392" s="85" t="s">
        <v>42</v>
      </c>
      <c r="L392" s="87">
        <v>36</v>
      </c>
      <c r="M392" s="87"/>
      <c r="N392" s="88"/>
      <c r="O392" s="33"/>
      <c r="P392" s="85"/>
      <c r="Q392" s="21"/>
      <c r="R392" s="87"/>
      <c r="S392" s="87"/>
      <c r="T392" s="21"/>
      <c r="U392" s="89"/>
      <c r="V392" s="22"/>
    </row>
    <row r="393" spans="1:22" x14ac:dyDescent="0.25">
      <c r="A393" s="84" t="s">
        <v>633</v>
      </c>
      <c r="B393" s="85" t="s">
        <v>42</v>
      </c>
      <c r="C393" s="85" t="s">
        <v>342</v>
      </c>
      <c r="D393" s="85" t="s">
        <v>794</v>
      </c>
      <c r="E393" s="86" t="s">
        <v>795</v>
      </c>
      <c r="F393" s="85" t="s">
        <v>674</v>
      </c>
      <c r="G393" s="85" t="s">
        <v>310</v>
      </c>
      <c r="H393" s="85" t="s">
        <v>9</v>
      </c>
      <c r="I393" s="85" t="s">
        <v>258</v>
      </c>
      <c r="J393" s="86" t="s">
        <v>311</v>
      </c>
      <c r="K393" s="85" t="s">
        <v>417</v>
      </c>
      <c r="L393" s="87">
        <v>5.2</v>
      </c>
      <c r="M393" s="87">
        <f t="shared" ref="M393:M398" si="111">L393*VLOOKUP(H393,dagsoorttabel1,2,FALSE)</f>
        <v>5.33</v>
      </c>
      <c r="N393" s="88">
        <f>prodnorm45</f>
        <v>0</v>
      </c>
      <c r="O393" s="33">
        <f>dagwerk45</f>
        <v>0</v>
      </c>
      <c r="P393" s="85" t="s">
        <v>109</v>
      </c>
      <c r="Q393" s="21">
        <f>uurtarief45</f>
        <v>0</v>
      </c>
      <c r="R393" s="87" t="e">
        <f t="shared" ref="R393:R398" si="112">IF(ISBLANK(N393),0,M393/ROUND(N393,4))</f>
        <v>#DIV/0!</v>
      </c>
      <c r="S393" s="87" t="e">
        <f t="shared" ref="S393:S398" si="113">IF(ISBLANK(N393),0,R393*ROUND(O393,2))</f>
        <v>#DIV/0!</v>
      </c>
      <c r="T393" s="21" t="e">
        <f t="shared" ref="T393:T398" si="114">ROUND(Q393,2)*R393</f>
        <v>#DIV/0!</v>
      </c>
      <c r="U393" s="87" t="e">
        <f t="shared" ref="U393:U398" si="115">R393*dagenperjaar1</f>
        <v>#DIV/0!</v>
      </c>
      <c r="V393" s="22" t="e">
        <f t="shared" ref="V393:V398" si="116">U393*ROUND(Q393,2)</f>
        <v>#DIV/0!</v>
      </c>
    </row>
    <row r="394" spans="1:22" x14ac:dyDescent="0.25">
      <c r="A394" s="84" t="s">
        <v>633</v>
      </c>
      <c r="B394" s="85" t="s">
        <v>42</v>
      </c>
      <c r="C394" s="85" t="s">
        <v>342</v>
      </c>
      <c r="D394" s="85" t="s">
        <v>796</v>
      </c>
      <c r="E394" s="86" t="s">
        <v>698</v>
      </c>
      <c r="F394" s="85" t="s">
        <v>674</v>
      </c>
      <c r="G394" s="85" t="s">
        <v>310</v>
      </c>
      <c r="H394" s="85" t="s">
        <v>9</v>
      </c>
      <c r="I394" s="85" t="s">
        <v>258</v>
      </c>
      <c r="J394" s="86" t="s">
        <v>311</v>
      </c>
      <c r="K394" s="85" t="s">
        <v>417</v>
      </c>
      <c r="L394" s="87">
        <v>3.1</v>
      </c>
      <c r="M394" s="87">
        <f t="shared" si="111"/>
        <v>3.1774999999999998</v>
      </c>
      <c r="N394" s="88">
        <f>prodnorm45</f>
        <v>0</v>
      </c>
      <c r="O394" s="33">
        <f>dagwerk45</f>
        <v>0</v>
      </c>
      <c r="P394" s="85" t="s">
        <v>109</v>
      </c>
      <c r="Q394" s="21">
        <f>uurtarief45</f>
        <v>0</v>
      </c>
      <c r="R394" s="87" t="e">
        <f t="shared" si="112"/>
        <v>#DIV/0!</v>
      </c>
      <c r="S394" s="87" t="e">
        <f t="shared" si="113"/>
        <v>#DIV/0!</v>
      </c>
      <c r="T394" s="21" t="e">
        <f t="shared" si="114"/>
        <v>#DIV/0!</v>
      </c>
      <c r="U394" s="87" t="e">
        <f t="shared" si="115"/>
        <v>#DIV/0!</v>
      </c>
      <c r="V394" s="22" t="e">
        <f t="shared" si="116"/>
        <v>#DIV/0!</v>
      </c>
    </row>
    <row r="395" spans="1:22" x14ac:dyDescent="0.25">
      <c r="A395" s="84" t="s">
        <v>633</v>
      </c>
      <c r="B395" s="85" t="s">
        <v>42</v>
      </c>
      <c r="C395" s="85" t="s">
        <v>342</v>
      </c>
      <c r="D395" s="85" t="s">
        <v>797</v>
      </c>
      <c r="E395" s="86" t="s">
        <v>373</v>
      </c>
      <c r="F395" s="85" t="s">
        <v>349</v>
      </c>
      <c r="G395" s="85" t="s">
        <v>312</v>
      </c>
      <c r="H395" s="85" t="s">
        <v>9</v>
      </c>
      <c r="I395" s="85" t="s">
        <v>258</v>
      </c>
      <c r="J395" s="86" t="s">
        <v>313</v>
      </c>
      <c r="K395" s="85" t="s">
        <v>346</v>
      </c>
      <c r="L395" s="87">
        <v>65.5</v>
      </c>
      <c r="M395" s="87">
        <f t="shared" si="111"/>
        <v>67.137499999999989</v>
      </c>
      <c r="N395" s="88">
        <f>prodnorm46</f>
        <v>0</v>
      </c>
      <c r="O395" s="33">
        <f>dagwerk46</f>
        <v>0</v>
      </c>
      <c r="P395" s="85" t="s">
        <v>109</v>
      </c>
      <c r="Q395" s="21">
        <f>uurtarief46</f>
        <v>0</v>
      </c>
      <c r="R395" s="87" t="e">
        <f t="shared" si="112"/>
        <v>#DIV/0!</v>
      </c>
      <c r="S395" s="87" t="e">
        <f t="shared" si="113"/>
        <v>#DIV/0!</v>
      </c>
      <c r="T395" s="21" t="e">
        <f t="shared" si="114"/>
        <v>#DIV/0!</v>
      </c>
      <c r="U395" s="87" t="e">
        <f t="shared" si="115"/>
        <v>#DIV/0!</v>
      </c>
      <c r="V395" s="22" t="e">
        <f t="shared" si="116"/>
        <v>#DIV/0!</v>
      </c>
    </row>
    <row r="396" spans="1:22" x14ac:dyDescent="0.25">
      <c r="A396" s="84" t="s">
        <v>633</v>
      </c>
      <c r="B396" s="85" t="s">
        <v>42</v>
      </c>
      <c r="C396" s="85" t="s">
        <v>342</v>
      </c>
      <c r="D396" s="85" t="s">
        <v>798</v>
      </c>
      <c r="E396" s="86" t="s">
        <v>383</v>
      </c>
      <c r="F396" s="85" t="s">
        <v>349</v>
      </c>
      <c r="G396" s="85" t="s">
        <v>292</v>
      </c>
      <c r="H396" s="85" t="s">
        <v>20</v>
      </c>
      <c r="I396" s="85" t="s">
        <v>258</v>
      </c>
      <c r="J396" s="86" t="s">
        <v>293</v>
      </c>
      <c r="K396" s="85" t="s">
        <v>346</v>
      </c>
      <c r="L396" s="87">
        <v>10.8</v>
      </c>
      <c r="M396" s="87">
        <f t="shared" si="111"/>
        <v>0.64800000000000002</v>
      </c>
      <c r="N396" s="88">
        <f>prodnorm30</f>
        <v>0</v>
      </c>
      <c r="O396" s="33">
        <f>dagwerk30</f>
        <v>0</v>
      </c>
      <c r="P396" s="85" t="s">
        <v>109</v>
      </c>
      <c r="Q396" s="21">
        <f>uurtarief30</f>
        <v>0</v>
      </c>
      <c r="R396" s="87" t="e">
        <f t="shared" si="112"/>
        <v>#DIV/0!</v>
      </c>
      <c r="S396" s="87" t="e">
        <f t="shared" si="113"/>
        <v>#DIV/0!</v>
      </c>
      <c r="T396" s="21" t="e">
        <f t="shared" si="114"/>
        <v>#DIV/0!</v>
      </c>
      <c r="U396" s="87" t="e">
        <f t="shared" si="115"/>
        <v>#DIV/0!</v>
      </c>
      <c r="V396" s="22" t="e">
        <f t="shared" si="116"/>
        <v>#DIV/0!</v>
      </c>
    </row>
    <row r="397" spans="1:22" x14ac:dyDescent="0.25">
      <c r="A397" s="84" t="s">
        <v>633</v>
      </c>
      <c r="B397" s="85" t="s">
        <v>42</v>
      </c>
      <c r="C397" s="85" t="s">
        <v>342</v>
      </c>
      <c r="D397" s="85" t="s">
        <v>799</v>
      </c>
      <c r="E397" s="86" t="s">
        <v>383</v>
      </c>
      <c r="F397" s="85" t="s">
        <v>349</v>
      </c>
      <c r="G397" s="85" t="s">
        <v>292</v>
      </c>
      <c r="H397" s="85" t="s">
        <v>20</v>
      </c>
      <c r="I397" s="85" t="s">
        <v>258</v>
      </c>
      <c r="J397" s="86" t="s">
        <v>293</v>
      </c>
      <c r="K397" s="85" t="s">
        <v>346</v>
      </c>
      <c r="L397" s="87">
        <v>13.1</v>
      </c>
      <c r="M397" s="87">
        <f t="shared" si="111"/>
        <v>0.78599999999999992</v>
      </c>
      <c r="N397" s="88">
        <f>prodnorm30</f>
        <v>0</v>
      </c>
      <c r="O397" s="33">
        <f>dagwerk30</f>
        <v>0</v>
      </c>
      <c r="P397" s="85" t="s">
        <v>109</v>
      </c>
      <c r="Q397" s="21">
        <f>uurtarief30</f>
        <v>0</v>
      </c>
      <c r="R397" s="87" t="e">
        <f t="shared" si="112"/>
        <v>#DIV/0!</v>
      </c>
      <c r="S397" s="87" t="e">
        <f t="shared" si="113"/>
        <v>#DIV/0!</v>
      </c>
      <c r="T397" s="21" t="e">
        <f t="shared" si="114"/>
        <v>#DIV/0!</v>
      </c>
      <c r="U397" s="87" t="e">
        <f t="shared" si="115"/>
        <v>#DIV/0!</v>
      </c>
      <c r="V397" s="22" t="e">
        <f t="shared" si="116"/>
        <v>#DIV/0!</v>
      </c>
    </row>
    <row r="398" spans="1:22" x14ac:dyDescent="0.25">
      <c r="A398" s="84" t="s">
        <v>633</v>
      </c>
      <c r="B398" s="85" t="s">
        <v>42</v>
      </c>
      <c r="C398" s="85" t="s">
        <v>342</v>
      </c>
      <c r="D398" s="85" t="s">
        <v>800</v>
      </c>
      <c r="E398" s="86" t="s">
        <v>680</v>
      </c>
      <c r="F398" s="85" t="s">
        <v>788</v>
      </c>
      <c r="G398" s="85" t="s">
        <v>320</v>
      </c>
      <c r="H398" s="85" t="s">
        <v>9</v>
      </c>
      <c r="I398" s="85" t="s">
        <v>258</v>
      </c>
      <c r="J398" s="86" t="s">
        <v>321</v>
      </c>
      <c r="K398" s="85" t="s">
        <v>346</v>
      </c>
      <c r="L398" s="87">
        <v>21.5</v>
      </c>
      <c r="M398" s="87">
        <f t="shared" si="111"/>
        <v>22.037499999999998</v>
      </c>
      <c r="N398" s="88">
        <f>prodnorm51</f>
        <v>0</v>
      </c>
      <c r="O398" s="33">
        <f>dagwerk51</f>
        <v>0</v>
      </c>
      <c r="P398" s="85" t="s">
        <v>109</v>
      </c>
      <c r="Q398" s="21">
        <f>uurtarief51</f>
        <v>0</v>
      </c>
      <c r="R398" s="87" t="e">
        <f t="shared" si="112"/>
        <v>#DIV/0!</v>
      </c>
      <c r="S398" s="87" t="e">
        <f t="shared" si="113"/>
        <v>#DIV/0!</v>
      </c>
      <c r="T398" s="21" t="e">
        <f t="shared" si="114"/>
        <v>#DIV/0!</v>
      </c>
      <c r="U398" s="87" t="e">
        <f t="shared" si="115"/>
        <v>#DIV/0!</v>
      </c>
      <c r="V398" s="22" t="e">
        <f t="shared" si="116"/>
        <v>#DIV/0!</v>
      </c>
    </row>
    <row r="399" spans="1:22" x14ac:dyDescent="0.25">
      <c r="A399" s="84" t="s">
        <v>633</v>
      </c>
      <c r="B399" s="85" t="s">
        <v>42</v>
      </c>
      <c r="C399" s="85" t="s">
        <v>342</v>
      </c>
      <c r="D399" s="85" t="s">
        <v>801</v>
      </c>
      <c r="E399" s="86" t="s">
        <v>570</v>
      </c>
      <c r="F399" s="85" t="s">
        <v>670</v>
      </c>
      <c r="G399" s="85" t="s">
        <v>350</v>
      </c>
      <c r="H399" s="85"/>
      <c r="I399" s="85"/>
      <c r="J399" s="85"/>
      <c r="K399" s="85" t="s">
        <v>42</v>
      </c>
      <c r="L399" s="87">
        <v>16.5</v>
      </c>
      <c r="M399" s="87"/>
      <c r="N399" s="88"/>
      <c r="O399" s="33"/>
      <c r="P399" s="85"/>
      <c r="Q399" s="21"/>
      <c r="R399" s="87"/>
      <c r="S399" s="87"/>
      <c r="T399" s="21"/>
      <c r="U399" s="89"/>
      <c r="V399" s="22"/>
    </row>
    <row r="400" spans="1:22" x14ac:dyDescent="0.25">
      <c r="A400" s="84" t="s">
        <v>633</v>
      </c>
      <c r="B400" s="85" t="s">
        <v>42</v>
      </c>
      <c r="C400" s="85" t="s">
        <v>342</v>
      </c>
      <c r="D400" s="85" t="s">
        <v>802</v>
      </c>
      <c r="E400" s="86" t="s">
        <v>793</v>
      </c>
      <c r="F400" s="85" t="s">
        <v>670</v>
      </c>
      <c r="G400" s="85" t="s">
        <v>350</v>
      </c>
      <c r="H400" s="85"/>
      <c r="I400" s="85"/>
      <c r="J400" s="85"/>
      <c r="K400" s="85" t="s">
        <v>42</v>
      </c>
      <c r="L400" s="87">
        <v>4.3</v>
      </c>
      <c r="M400" s="87"/>
      <c r="N400" s="88"/>
      <c r="O400" s="33"/>
      <c r="P400" s="85"/>
      <c r="Q400" s="21"/>
      <c r="R400" s="87"/>
      <c r="S400" s="87"/>
      <c r="T400" s="21"/>
      <c r="U400" s="89"/>
      <c r="V400" s="22"/>
    </row>
    <row r="401" spans="1:22" x14ac:dyDescent="0.25">
      <c r="A401" s="84" t="s">
        <v>633</v>
      </c>
      <c r="B401" s="85" t="s">
        <v>42</v>
      </c>
      <c r="C401" s="85" t="s">
        <v>342</v>
      </c>
      <c r="D401" s="85" t="s">
        <v>803</v>
      </c>
      <c r="E401" s="86" t="s">
        <v>793</v>
      </c>
      <c r="F401" s="85" t="s">
        <v>670</v>
      </c>
      <c r="G401" s="85" t="s">
        <v>350</v>
      </c>
      <c r="H401" s="85"/>
      <c r="I401" s="85"/>
      <c r="J401" s="85"/>
      <c r="K401" s="85" t="s">
        <v>42</v>
      </c>
      <c r="L401" s="87">
        <v>4.0999999999999996</v>
      </c>
      <c r="M401" s="87"/>
      <c r="N401" s="88"/>
      <c r="O401" s="33"/>
      <c r="P401" s="85"/>
      <c r="Q401" s="21"/>
      <c r="R401" s="87"/>
      <c r="S401" s="87"/>
      <c r="T401" s="21"/>
      <c r="U401" s="89"/>
      <c r="V401" s="22"/>
    </row>
    <row r="402" spans="1:22" x14ac:dyDescent="0.25">
      <c r="A402" s="84" t="s">
        <v>633</v>
      </c>
      <c r="B402" s="85" t="s">
        <v>42</v>
      </c>
      <c r="C402" s="85" t="s">
        <v>342</v>
      </c>
      <c r="D402" s="85" t="s">
        <v>804</v>
      </c>
      <c r="E402" s="86" t="s">
        <v>805</v>
      </c>
      <c r="F402" s="85" t="s">
        <v>349</v>
      </c>
      <c r="G402" s="85" t="s">
        <v>350</v>
      </c>
      <c r="H402" s="85"/>
      <c r="I402" s="85"/>
      <c r="J402" s="85"/>
      <c r="K402" s="85" t="s">
        <v>42</v>
      </c>
      <c r="L402" s="87">
        <v>8.5</v>
      </c>
      <c r="M402" s="87"/>
      <c r="N402" s="88"/>
      <c r="O402" s="33"/>
      <c r="P402" s="85"/>
      <c r="Q402" s="21"/>
      <c r="R402" s="87"/>
      <c r="S402" s="87"/>
      <c r="T402" s="21"/>
      <c r="U402" s="89"/>
      <c r="V402" s="22"/>
    </row>
    <row r="403" spans="1:22" x14ac:dyDescent="0.25">
      <c r="A403" s="84" t="s">
        <v>633</v>
      </c>
      <c r="B403" s="85" t="s">
        <v>42</v>
      </c>
      <c r="C403" s="85" t="s">
        <v>342</v>
      </c>
      <c r="D403" s="85" t="s">
        <v>806</v>
      </c>
      <c r="E403" s="86" t="s">
        <v>807</v>
      </c>
      <c r="F403" s="85" t="s">
        <v>349</v>
      </c>
      <c r="G403" s="85" t="s">
        <v>272</v>
      </c>
      <c r="H403" s="85" t="s">
        <v>9</v>
      </c>
      <c r="I403" s="85" t="s">
        <v>258</v>
      </c>
      <c r="J403" s="86" t="s">
        <v>273</v>
      </c>
      <c r="K403" s="85" t="s">
        <v>346</v>
      </c>
      <c r="L403" s="87">
        <v>757.4</v>
      </c>
      <c r="M403" s="87">
        <f t="shared" ref="M403:M447" si="117">L403*VLOOKUP(H403,dagsoorttabel1,2,FALSE)</f>
        <v>776.33499999999992</v>
      </c>
      <c r="N403" s="88">
        <f>prodnorm19</f>
        <v>0</v>
      </c>
      <c r="O403" s="33">
        <f>dagwerk19</f>
        <v>0</v>
      </c>
      <c r="P403" s="85" t="s">
        <v>109</v>
      </c>
      <c r="Q403" s="21">
        <f>uurtarief19</f>
        <v>0</v>
      </c>
      <c r="R403" s="87" t="e">
        <f t="shared" ref="R403:R447" si="118">IF(ISBLANK(N403),0,M403/ROUND(N403,4))</f>
        <v>#DIV/0!</v>
      </c>
      <c r="S403" s="87" t="e">
        <f t="shared" ref="S403:S447" si="119">IF(ISBLANK(N403),0,R403*ROUND(O403,2))</f>
        <v>#DIV/0!</v>
      </c>
      <c r="T403" s="21" t="e">
        <f t="shared" ref="T403:T447" si="120">ROUND(Q403,2)*R403</f>
        <v>#DIV/0!</v>
      </c>
      <c r="U403" s="87" t="e">
        <f t="shared" ref="U403:U447" si="121">R403*dagenperjaar1</f>
        <v>#DIV/0!</v>
      </c>
      <c r="V403" s="22" t="e">
        <f t="shared" ref="V403:V447" si="122">U403*ROUND(Q403,2)</f>
        <v>#DIV/0!</v>
      </c>
    </row>
    <row r="404" spans="1:22" x14ac:dyDescent="0.25">
      <c r="A404" s="84" t="s">
        <v>633</v>
      </c>
      <c r="B404" s="85" t="s">
        <v>42</v>
      </c>
      <c r="C404" s="85" t="s">
        <v>464</v>
      </c>
      <c r="D404" s="85" t="s">
        <v>808</v>
      </c>
      <c r="E404" s="86" t="s">
        <v>809</v>
      </c>
      <c r="F404" s="85" t="s">
        <v>810</v>
      </c>
      <c r="G404" s="85" t="s">
        <v>304</v>
      </c>
      <c r="H404" s="85" t="s">
        <v>9</v>
      </c>
      <c r="I404" s="85" t="s">
        <v>258</v>
      </c>
      <c r="J404" s="86" t="s">
        <v>305</v>
      </c>
      <c r="K404" s="85" t="s">
        <v>386</v>
      </c>
      <c r="L404" s="87">
        <v>277.89999999999998</v>
      </c>
      <c r="M404" s="87">
        <f t="shared" si="117"/>
        <v>284.84749999999997</v>
      </c>
      <c r="N404" s="88">
        <f>prodnorm39</f>
        <v>0</v>
      </c>
      <c r="O404" s="33">
        <f>dagwerk39</f>
        <v>0</v>
      </c>
      <c r="P404" s="85" t="s">
        <v>109</v>
      </c>
      <c r="Q404" s="21">
        <f>uurtarief39</f>
        <v>0</v>
      </c>
      <c r="R404" s="87" t="e">
        <f t="shared" si="118"/>
        <v>#DIV/0!</v>
      </c>
      <c r="S404" s="87" t="e">
        <f t="shared" si="119"/>
        <v>#DIV/0!</v>
      </c>
      <c r="T404" s="21" t="e">
        <f t="shared" si="120"/>
        <v>#DIV/0!</v>
      </c>
      <c r="U404" s="87" t="e">
        <f t="shared" si="121"/>
        <v>#DIV/0!</v>
      </c>
      <c r="V404" s="22" t="e">
        <f t="shared" si="122"/>
        <v>#DIV/0!</v>
      </c>
    </row>
    <row r="405" spans="1:22" x14ac:dyDescent="0.25">
      <c r="A405" s="84" t="s">
        <v>633</v>
      </c>
      <c r="B405" s="85" t="s">
        <v>42</v>
      </c>
      <c r="C405" s="85" t="s">
        <v>464</v>
      </c>
      <c r="D405" s="85" t="s">
        <v>811</v>
      </c>
      <c r="E405" s="86" t="s">
        <v>586</v>
      </c>
      <c r="F405" s="85" t="s">
        <v>349</v>
      </c>
      <c r="G405" s="85" t="s">
        <v>282</v>
      </c>
      <c r="H405" s="85" t="s">
        <v>9</v>
      </c>
      <c r="I405" s="85" t="s">
        <v>258</v>
      </c>
      <c r="J405" s="86" t="s">
        <v>283</v>
      </c>
      <c r="K405" s="85" t="s">
        <v>386</v>
      </c>
      <c r="L405" s="87">
        <v>57.9</v>
      </c>
      <c r="M405" s="87">
        <f t="shared" si="117"/>
        <v>59.347499999999997</v>
      </c>
      <c r="N405" s="88">
        <f t="shared" ref="N405:N427" si="123">prodnorm24</f>
        <v>0</v>
      </c>
      <c r="O405" s="33">
        <f t="shared" ref="O405:O427" si="124">dagwerk24</f>
        <v>0</v>
      </c>
      <c r="P405" s="85" t="s">
        <v>109</v>
      </c>
      <c r="Q405" s="21">
        <f t="shared" ref="Q405:Q427" si="125">uurtarief24</f>
        <v>0</v>
      </c>
      <c r="R405" s="87" t="e">
        <f t="shared" si="118"/>
        <v>#DIV/0!</v>
      </c>
      <c r="S405" s="87" t="e">
        <f t="shared" si="119"/>
        <v>#DIV/0!</v>
      </c>
      <c r="T405" s="21" t="e">
        <f t="shared" si="120"/>
        <v>#DIV/0!</v>
      </c>
      <c r="U405" s="87" t="e">
        <f t="shared" si="121"/>
        <v>#DIV/0!</v>
      </c>
      <c r="V405" s="22" t="e">
        <f t="shared" si="122"/>
        <v>#DIV/0!</v>
      </c>
    </row>
    <row r="406" spans="1:22" x14ac:dyDescent="0.25">
      <c r="A406" s="84" t="s">
        <v>633</v>
      </c>
      <c r="B406" s="85" t="s">
        <v>42</v>
      </c>
      <c r="C406" s="85" t="s">
        <v>464</v>
      </c>
      <c r="D406" s="85" t="s">
        <v>812</v>
      </c>
      <c r="E406" s="86" t="s">
        <v>586</v>
      </c>
      <c r="F406" s="85" t="s">
        <v>349</v>
      </c>
      <c r="G406" s="85" t="s">
        <v>282</v>
      </c>
      <c r="H406" s="85" t="s">
        <v>9</v>
      </c>
      <c r="I406" s="85" t="s">
        <v>258</v>
      </c>
      <c r="J406" s="86" t="s">
        <v>283</v>
      </c>
      <c r="K406" s="85" t="s">
        <v>386</v>
      </c>
      <c r="L406" s="87">
        <v>56.3</v>
      </c>
      <c r="M406" s="87">
        <f t="shared" si="117"/>
        <v>57.707499999999989</v>
      </c>
      <c r="N406" s="88">
        <f t="shared" si="123"/>
        <v>0</v>
      </c>
      <c r="O406" s="33">
        <f t="shared" si="124"/>
        <v>0</v>
      </c>
      <c r="P406" s="85" t="s">
        <v>109</v>
      </c>
      <c r="Q406" s="21">
        <f t="shared" si="125"/>
        <v>0</v>
      </c>
      <c r="R406" s="87" t="e">
        <f t="shared" si="118"/>
        <v>#DIV/0!</v>
      </c>
      <c r="S406" s="87" t="e">
        <f t="shared" si="119"/>
        <v>#DIV/0!</v>
      </c>
      <c r="T406" s="21" t="e">
        <f t="shared" si="120"/>
        <v>#DIV/0!</v>
      </c>
      <c r="U406" s="87" t="e">
        <f t="shared" si="121"/>
        <v>#DIV/0!</v>
      </c>
      <c r="V406" s="22" t="e">
        <f t="shared" si="122"/>
        <v>#DIV/0!</v>
      </c>
    </row>
    <row r="407" spans="1:22" x14ac:dyDescent="0.25">
      <c r="A407" s="84" t="s">
        <v>633</v>
      </c>
      <c r="B407" s="85" t="s">
        <v>42</v>
      </c>
      <c r="C407" s="85" t="s">
        <v>464</v>
      </c>
      <c r="D407" s="85" t="s">
        <v>813</v>
      </c>
      <c r="E407" s="86" t="s">
        <v>586</v>
      </c>
      <c r="F407" s="85" t="s">
        <v>349</v>
      </c>
      <c r="G407" s="85" t="s">
        <v>282</v>
      </c>
      <c r="H407" s="85" t="s">
        <v>9</v>
      </c>
      <c r="I407" s="85" t="s">
        <v>258</v>
      </c>
      <c r="J407" s="86" t="s">
        <v>283</v>
      </c>
      <c r="K407" s="85" t="s">
        <v>386</v>
      </c>
      <c r="L407" s="87">
        <v>54.6</v>
      </c>
      <c r="M407" s="87">
        <f t="shared" si="117"/>
        <v>55.964999999999996</v>
      </c>
      <c r="N407" s="88">
        <f t="shared" si="123"/>
        <v>0</v>
      </c>
      <c r="O407" s="33">
        <f t="shared" si="124"/>
        <v>0</v>
      </c>
      <c r="P407" s="85" t="s">
        <v>109</v>
      </c>
      <c r="Q407" s="21">
        <f t="shared" si="125"/>
        <v>0</v>
      </c>
      <c r="R407" s="87" t="e">
        <f t="shared" si="118"/>
        <v>#DIV/0!</v>
      </c>
      <c r="S407" s="87" t="e">
        <f t="shared" si="119"/>
        <v>#DIV/0!</v>
      </c>
      <c r="T407" s="21" t="e">
        <f t="shared" si="120"/>
        <v>#DIV/0!</v>
      </c>
      <c r="U407" s="87" t="e">
        <f t="shared" si="121"/>
        <v>#DIV/0!</v>
      </c>
      <c r="V407" s="22" t="e">
        <f t="shared" si="122"/>
        <v>#DIV/0!</v>
      </c>
    </row>
    <row r="408" spans="1:22" x14ac:dyDescent="0.25">
      <c r="A408" s="84" t="s">
        <v>633</v>
      </c>
      <c r="B408" s="85" t="s">
        <v>42</v>
      </c>
      <c r="C408" s="85" t="s">
        <v>464</v>
      </c>
      <c r="D408" s="85" t="s">
        <v>814</v>
      </c>
      <c r="E408" s="86" t="s">
        <v>586</v>
      </c>
      <c r="F408" s="85" t="s">
        <v>349</v>
      </c>
      <c r="G408" s="85" t="s">
        <v>282</v>
      </c>
      <c r="H408" s="85" t="s">
        <v>9</v>
      </c>
      <c r="I408" s="85" t="s">
        <v>258</v>
      </c>
      <c r="J408" s="86" t="s">
        <v>283</v>
      </c>
      <c r="K408" s="85" t="s">
        <v>386</v>
      </c>
      <c r="L408" s="87">
        <v>54.6</v>
      </c>
      <c r="M408" s="87">
        <f t="shared" si="117"/>
        <v>55.964999999999996</v>
      </c>
      <c r="N408" s="88">
        <f t="shared" si="123"/>
        <v>0</v>
      </c>
      <c r="O408" s="33">
        <f t="shared" si="124"/>
        <v>0</v>
      </c>
      <c r="P408" s="85" t="s">
        <v>109</v>
      </c>
      <c r="Q408" s="21">
        <f t="shared" si="125"/>
        <v>0</v>
      </c>
      <c r="R408" s="87" t="e">
        <f t="shared" si="118"/>
        <v>#DIV/0!</v>
      </c>
      <c r="S408" s="87" t="e">
        <f t="shared" si="119"/>
        <v>#DIV/0!</v>
      </c>
      <c r="T408" s="21" t="e">
        <f t="shared" si="120"/>
        <v>#DIV/0!</v>
      </c>
      <c r="U408" s="87" t="e">
        <f t="shared" si="121"/>
        <v>#DIV/0!</v>
      </c>
      <c r="V408" s="22" t="e">
        <f t="shared" si="122"/>
        <v>#DIV/0!</v>
      </c>
    </row>
    <row r="409" spans="1:22" x14ac:dyDescent="0.25">
      <c r="A409" s="84" t="s">
        <v>633</v>
      </c>
      <c r="B409" s="85" t="s">
        <v>42</v>
      </c>
      <c r="C409" s="85" t="s">
        <v>464</v>
      </c>
      <c r="D409" s="85" t="s">
        <v>815</v>
      </c>
      <c r="E409" s="86" t="s">
        <v>586</v>
      </c>
      <c r="F409" s="85" t="s">
        <v>349</v>
      </c>
      <c r="G409" s="85" t="s">
        <v>282</v>
      </c>
      <c r="H409" s="85" t="s">
        <v>9</v>
      </c>
      <c r="I409" s="85" t="s">
        <v>258</v>
      </c>
      <c r="J409" s="86" t="s">
        <v>283</v>
      </c>
      <c r="K409" s="85" t="s">
        <v>386</v>
      </c>
      <c r="L409" s="87">
        <v>58</v>
      </c>
      <c r="M409" s="87">
        <f t="shared" si="117"/>
        <v>59.449999999999996</v>
      </c>
      <c r="N409" s="88">
        <f t="shared" si="123"/>
        <v>0</v>
      </c>
      <c r="O409" s="33">
        <f t="shared" si="124"/>
        <v>0</v>
      </c>
      <c r="P409" s="85" t="s">
        <v>109</v>
      </c>
      <c r="Q409" s="21">
        <f t="shared" si="125"/>
        <v>0</v>
      </c>
      <c r="R409" s="87" t="e">
        <f t="shared" si="118"/>
        <v>#DIV/0!</v>
      </c>
      <c r="S409" s="87" t="e">
        <f t="shared" si="119"/>
        <v>#DIV/0!</v>
      </c>
      <c r="T409" s="21" t="e">
        <f t="shared" si="120"/>
        <v>#DIV/0!</v>
      </c>
      <c r="U409" s="87" t="e">
        <f t="shared" si="121"/>
        <v>#DIV/0!</v>
      </c>
      <c r="V409" s="22" t="e">
        <f t="shared" si="122"/>
        <v>#DIV/0!</v>
      </c>
    </row>
    <row r="410" spans="1:22" x14ac:dyDescent="0.25">
      <c r="A410" s="84" t="s">
        <v>633</v>
      </c>
      <c r="B410" s="85" t="s">
        <v>42</v>
      </c>
      <c r="C410" s="85" t="s">
        <v>464</v>
      </c>
      <c r="D410" s="85" t="s">
        <v>816</v>
      </c>
      <c r="E410" s="86" t="s">
        <v>586</v>
      </c>
      <c r="F410" s="85" t="s">
        <v>349</v>
      </c>
      <c r="G410" s="85" t="s">
        <v>282</v>
      </c>
      <c r="H410" s="85" t="s">
        <v>9</v>
      </c>
      <c r="I410" s="85" t="s">
        <v>258</v>
      </c>
      <c r="J410" s="86" t="s">
        <v>283</v>
      </c>
      <c r="K410" s="85" t="s">
        <v>386</v>
      </c>
      <c r="L410" s="87">
        <v>94.2</v>
      </c>
      <c r="M410" s="87">
        <f t="shared" si="117"/>
        <v>96.554999999999993</v>
      </c>
      <c r="N410" s="88">
        <f t="shared" si="123"/>
        <v>0</v>
      </c>
      <c r="O410" s="33">
        <f t="shared" si="124"/>
        <v>0</v>
      </c>
      <c r="P410" s="85" t="s">
        <v>109</v>
      </c>
      <c r="Q410" s="21">
        <f t="shared" si="125"/>
        <v>0</v>
      </c>
      <c r="R410" s="87" t="e">
        <f t="shared" si="118"/>
        <v>#DIV/0!</v>
      </c>
      <c r="S410" s="87" t="e">
        <f t="shared" si="119"/>
        <v>#DIV/0!</v>
      </c>
      <c r="T410" s="21" t="e">
        <f t="shared" si="120"/>
        <v>#DIV/0!</v>
      </c>
      <c r="U410" s="87" t="e">
        <f t="shared" si="121"/>
        <v>#DIV/0!</v>
      </c>
      <c r="V410" s="22" t="e">
        <f t="shared" si="122"/>
        <v>#DIV/0!</v>
      </c>
    </row>
    <row r="411" spans="1:22" x14ac:dyDescent="0.25">
      <c r="A411" s="84" t="s">
        <v>633</v>
      </c>
      <c r="B411" s="85" t="s">
        <v>42</v>
      </c>
      <c r="C411" s="85" t="s">
        <v>464</v>
      </c>
      <c r="D411" s="85" t="s">
        <v>817</v>
      </c>
      <c r="E411" s="86" t="s">
        <v>586</v>
      </c>
      <c r="F411" s="85" t="s">
        <v>349</v>
      </c>
      <c r="G411" s="85" t="s">
        <v>282</v>
      </c>
      <c r="H411" s="85" t="s">
        <v>9</v>
      </c>
      <c r="I411" s="85" t="s">
        <v>258</v>
      </c>
      <c r="J411" s="86" t="s">
        <v>283</v>
      </c>
      <c r="K411" s="85" t="s">
        <v>386</v>
      </c>
      <c r="L411" s="87">
        <v>76.8</v>
      </c>
      <c r="M411" s="87">
        <f t="shared" si="117"/>
        <v>78.719999999999985</v>
      </c>
      <c r="N411" s="88">
        <f t="shared" si="123"/>
        <v>0</v>
      </c>
      <c r="O411" s="33">
        <f t="shared" si="124"/>
        <v>0</v>
      </c>
      <c r="P411" s="85" t="s">
        <v>109</v>
      </c>
      <c r="Q411" s="21">
        <f t="shared" si="125"/>
        <v>0</v>
      </c>
      <c r="R411" s="87" t="e">
        <f t="shared" si="118"/>
        <v>#DIV/0!</v>
      </c>
      <c r="S411" s="87" t="e">
        <f t="shared" si="119"/>
        <v>#DIV/0!</v>
      </c>
      <c r="T411" s="21" t="e">
        <f t="shared" si="120"/>
        <v>#DIV/0!</v>
      </c>
      <c r="U411" s="87" t="e">
        <f t="shared" si="121"/>
        <v>#DIV/0!</v>
      </c>
      <c r="V411" s="22" t="e">
        <f t="shared" si="122"/>
        <v>#DIV/0!</v>
      </c>
    </row>
    <row r="412" spans="1:22" x14ac:dyDescent="0.25">
      <c r="A412" s="84" t="s">
        <v>633</v>
      </c>
      <c r="B412" s="85" t="s">
        <v>42</v>
      </c>
      <c r="C412" s="85" t="s">
        <v>464</v>
      </c>
      <c r="D412" s="85" t="s">
        <v>818</v>
      </c>
      <c r="E412" s="86" t="s">
        <v>586</v>
      </c>
      <c r="F412" s="85" t="s">
        <v>349</v>
      </c>
      <c r="G412" s="85" t="s">
        <v>282</v>
      </c>
      <c r="H412" s="85" t="s">
        <v>9</v>
      </c>
      <c r="I412" s="85" t="s">
        <v>258</v>
      </c>
      <c r="J412" s="86" t="s">
        <v>283</v>
      </c>
      <c r="K412" s="85" t="s">
        <v>386</v>
      </c>
      <c r="L412" s="87">
        <v>50.8</v>
      </c>
      <c r="M412" s="87">
        <f t="shared" si="117"/>
        <v>52.069999999999993</v>
      </c>
      <c r="N412" s="88">
        <f t="shared" si="123"/>
        <v>0</v>
      </c>
      <c r="O412" s="33">
        <f t="shared" si="124"/>
        <v>0</v>
      </c>
      <c r="P412" s="85" t="s">
        <v>109</v>
      </c>
      <c r="Q412" s="21">
        <f t="shared" si="125"/>
        <v>0</v>
      </c>
      <c r="R412" s="87" t="e">
        <f t="shared" si="118"/>
        <v>#DIV/0!</v>
      </c>
      <c r="S412" s="87" t="e">
        <f t="shared" si="119"/>
        <v>#DIV/0!</v>
      </c>
      <c r="T412" s="21" t="e">
        <f t="shared" si="120"/>
        <v>#DIV/0!</v>
      </c>
      <c r="U412" s="87" t="e">
        <f t="shared" si="121"/>
        <v>#DIV/0!</v>
      </c>
      <c r="V412" s="22" t="e">
        <f t="shared" si="122"/>
        <v>#DIV/0!</v>
      </c>
    </row>
    <row r="413" spans="1:22" x14ac:dyDescent="0.25">
      <c r="A413" s="84" t="s">
        <v>633</v>
      </c>
      <c r="B413" s="85" t="s">
        <v>42</v>
      </c>
      <c r="C413" s="85" t="s">
        <v>464</v>
      </c>
      <c r="D413" s="85" t="s">
        <v>819</v>
      </c>
      <c r="E413" s="86" t="s">
        <v>586</v>
      </c>
      <c r="F413" s="85" t="s">
        <v>349</v>
      </c>
      <c r="G413" s="85" t="s">
        <v>282</v>
      </c>
      <c r="H413" s="85" t="s">
        <v>9</v>
      </c>
      <c r="I413" s="85" t="s">
        <v>258</v>
      </c>
      <c r="J413" s="86" t="s">
        <v>283</v>
      </c>
      <c r="K413" s="85" t="s">
        <v>386</v>
      </c>
      <c r="L413" s="87">
        <v>77.900000000000006</v>
      </c>
      <c r="M413" s="87">
        <f t="shared" si="117"/>
        <v>79.847499999999997</v>
      </c>
      <c r="N413" s="88">
        <f t="shared" si="123"/>
        <v>0</v>
      </c>
      <c r="O413" s="33">
        <f t="shared" si="124"/>
        <v>0</v>
      </c>
      <c r="P413" s="85" t="s">
        <v>109</v>
      </c>
      <c r="Q413" s="21">
        <f t="shared" si="125"/>
        <v>0</v>
      </c>
      <c r="R413" s="87" t="e">
        <f t="shared" si="118"/>
        <v>#DIV/0!</v>
      </c>
      <c r="S413" s="87" t="e">
        <f t="shared" si="119"/>
        <v>#DIV/0!</v>
      </c>
      <c r="T413" s="21" t="e">
        <f t="shared" si="120"/>
        <v>#DIV/0!</v>
      </c>
      <c r="U413" s="87" t="e">
        <f t="shared" si="121"/>
        <v>#DIV/0!</v>
      </c>
      <c r="V413" s="22" t="e">
        <f t="shared" si="122"/>
        <v>#DIV/0!</v>
      </c>
    </row>
    <row r="414" spans="1:22" x14ac:dyDescent="0.25">
      <c r="A414" s="84" t="s">
        <v>633</v>
      </c>
      <c r="B414" s="85" t="s">
        <v>42</v>
      </c>
      <c r="C414" s="85" t="s">
        <v>464</v>
      </c>
      <c r="D414" s="85" t="s">
        <v>820</v>
      </c>
      <c r="E414" s="86" t="s">
        <v>586</v>
      </c>
      <c r="F414" s="85" t="s">
        <v>349</v>
      </c>
      <c r="G414" s="85" t="s">
        <v>282</v>
      </c>
      <c r="H414" s="85" t="s">
        <v>9</v>
      </c>
      <c r="I414" s="85" t="s">
        <v>258</v>
      </c>
      <c r="J414" s="86" t="s">
        <v>283</v>
      </c>
      <c r="K414" s="85" t="s">
        <v>386</v>
      </c>
      <c r="L414" s="87">
        <v>53.6</v>
      </c>
      <c r="M414" s="87">
        <f t="shared" si="117"/>
        <v>54.94</v>
      </c>
      <c r="N414" s="88">
        <f t="shared" si="123"/>
        <v>0</v>
      </c>
      <c r="O414" s="33">
        <f t="shared" si="124"/>
        <v>0</v>
      </c>
      <c r="P414" s="85" t="s">
        <v>109</v>
      </c>
      <c r="Q414" s="21">
        <f t="shared" si="125"/>
        <v>0</v>
      </c>
      <c r="R414" s="87" t="e">
        <f t="shared" si="118"/>
        <v>#DIV/0!</v>
      </c>
      <c r="S414" s="87" t="e">
        <f t="shared" si="119"/>
        <v>#DIV/0!</v>
      </c>
      <c r="T414" s="21" t="e">
        <f t="shared" si="120"/>
        <v>#DIV/0!</v>
      </c>
      <c r="U414" s="87" t="e">
        <f t="shared" si="121"/>
        <v>#DIV/0!</v>
      </c>
      <c r="V414" s="22" t="e">
        <f t="shared" si="122"/>
        <v>#DIV/0!</v>
      </c>
    </row>
    <row r="415" spans="1:22" x14ac:dyDescent="0.25">
      <c r="A415" s="84" t="s">
        <v>633</v>
      </c>
      <c r="B415" s="85" t="s">
        <v>42</v>
      </c>
      <c r="C415" s="85" t="s">
        <v>464</v>
      </c>
      <c r="D415" s="85" t="s">
        <v>821</v>
      </c>
      <c r="E415" s="86" t="s">
        <v>586</v>
      </c>
      <c r="F415" s="85" t="s">
        <v>349</v>
      </c>
      <c r="G415" s="85" t="s">
        <v>282</v>
      </c>
      <c r="H415" s="85" t="s">
        <v>9</v>
      </c>
      <c r="I415" s="85" t="s">
        <v>258</v>
      </c>
      <c r="J415" s="86" t="s">
        <v>283</v>
      </c>
      <c r="K415" s="85" t="s">
        <v>386</v>
      </c>
      <c r="L415" s="87">
        <v>53.4</v>
      </c>
      <c r="M415" s="87">
        <f t="shared" si="117"/>
        <v>54.734999999999992</v>
      </c>
      <c r="N415" s="88">
        <f t="shared" si="123"/>
        <v>0</v>
      </c>
      <c r="O415" s="33">
        <f t="shared" si="124"/>
        <v>0</v>
      </c>
      <c r="P415" s="85" t="s">
        <v>109</v>
      </c>
      <c r="Q415" s="21">
        <f t="shared" si="125"/>
        <v>0</v>
      </c>
      <c r="R415" s="87" t="e">
        <f t="shared" si="118"/>
        <v>#DIV/0!</v>
      </c>
      <c r="S415" s="87" t="e">
        <f t="shared" si="119"/>
        <v>#DIV/0!</v>
      </c>
      <c r="T415" s="21" t="e">
        <f t="shared" si="120"/>
        <v>#DIV/0!</v>
      </c>
      <c r="U415" s="87" t="e">
        <f t="shared" si="121"/>
        <v>#DIV/0!</v>
      </c>
      <c r="V415" s="22" t="e">
        <f t="shared" si="122"/>
        <v>#DIV/0!</v>
      </c>
    </row>
    <row r="416" spans="1:22" x14ac:dyDescent="0.25">
      <c r="A416" s="84" t="s">
        <v>633</v>
      </c>
      <c r="B416" s="85" t="s">
        <v>42</v>
      </c>
      <c r="C416" s="85" t="s">
        <v>464</v>
      </c>
      <c r="D416" s="85" t="s">
        <v>822</v>
      </c>
      <c r="E416" s="86" t="s">
        <v>586</v>
      </c>
      <c r="F416" s="85" t="s">
        <v>349</v>
      </c>
      <c r="G416" s="85" t="s">
        <v>282</v>
      </c>
      <c r="H416" s="85" t="s">
        <v>9</v>
      </c>
      <c r="I416" s="85" t="s">
        <v>258</v>
      </c>
      <c r="J416" s="86" t="s">
        <v>283</v>
      </c>
      <c r="K416" s="85" t="s">
        <v>386</v>
      </c>
      <c r="L416" s="87">
        <v>93.1</v>
      </c>
      <c r="M416" s="87">
        <f t="shared" si="117"/>
        <v>95.427499999999981</v>
      </c>
      <c r="N416" s="88">
        <f t="shared" si="123"/>
        <v>0</v>
      </c>
      <c r="O416" s="33">
        <f t="shared" si="124"/>
        <v>0</v>
      </c>
      <c r="P416" s="85" t="s">
        <v>109</v>
      </c>
      <c r="Q416" s="21">
        <f t="shared" si="125"/>
        <v>0</v>
      </c>
      <c r="R416" s="87" t="e">
        <f t="shared" si="118"/>
        <v>#DIV/0!</v>
      </c>
      <c r="S416" s="87" t="e">
        <f t="shared" si="119"/>
        <v>#DIV/0!</v>
      </c>
      <c r="T416" s="21" t="e">
        <f t="shared" si="120"/>
        <v>#DIV/0!</v>
      </c>
      <c r="U416" s="87" t="e">
        <f t="shared" si="121"/>
        <v>#DIV/0!</v>
      </c>
      <c r="V416" s="22" t="e">
        <f t="shared" si="122"/>
        <v>#DIV/0!</v>
      </c>
    </row>
    <row r="417" spans="1:22" ht="23" x14ac:dyDescent="0.25">
      <c r="A417" s="84" t="s">
        <v>633</v>
      </c>
      <c r="B417" s="85" t="s">
        <v>42</v>
      </c>
      <c r="C417" s="85" t="s">
        <v>464</v>
      </c>
      <c r="D417" s="85" t="s">
        <v>823</v>
      </c>
      <c r="E417" s="86" t="s">
        <v>752</v>
      </c>
      <c r="F417" s="85" t="s">
        <v>349</v>
      </c>
      <c r="G417" s="85" t="s">
        <v>282</v>
      </c>
      <c r="H417" s="85" t="s">
        <v>9</v>
      </c>
      <c r="I417" s="85" t="s">
        <v>258</v>
      </c>
      <c r="J417" s="86" t="s">
        <v>283</v>
      </c>
      <c r="K417" s="85" t="s">
        <v>386</v>
      </c>
      <c r="L417" s="87">
        <v>49.4</v>
      </c>
      <c r="M417" s="87">
        <f t="shared" si="117"/>
        <v>50.634999999999991</v>
      </c>
      <c r="N417" s="88">
        <f t="shared" si="123"/>
        <v>0</v>
      </c>
      <c r="O417" s="33">
        <f t="shared" si="124"/>
        <v>0</v>
      </c>
      <c r="P417" s="85" t="s">
        <v>109</v>
      </c>
      <c r="Q417" s="21">
        <f t="shared" si="125"/>
        <v>0</v>
      </c>
      <c r="R417" s="87" t="e">
        <f t="shared" si="118"/>
        <v>#DIV/0!</v>
      </c>
      <c r="S417" s="87" t="e">
        <f t="shared" si="119"/>
        <v>#DIV/0!</v>
      </c>
      <c r="T417" s="21" t="e">
        <f t="shared" si="120"/>
        <v>#DIV/0!</v>
      </c>
      <c r="U417" s="87" t="e">
        <f t="shared" si="121"/>
        <v>#DIV/0!</v>
      </c>
      <c r="V417" s="22" t="e">
        <f t="shared" si="122"/>
        <v>#DIV/0!</v>
      </c>
    </row>
    <row r="418" spans="1:22" ht="23" x14ac:dyDescent="0.25">
      <c r="A418" s="84" t="s">
        <v>633</v>
      </c>
      <c r="B418" s="85" t="s">
        <v>42</v>
      </c>
      <c r="C418" s="85" t="s">
        <v>464</v>
      </c>
      <c r="D418" s="85" t="s">
        <v>824</v>
      </c>
      <c r="E418" s="86" t="s">
        <v>752</v>
      </c>
      <c r="F418" s="85" t="s">
        <v>349</v>
      </c>
      <c r="G418" s="85" t="s">
        <v>282</v>
      </c>
      <c r="H418" s="85" t="s">
        <v>9</v>
      </c>
      <c r="I418" s="85" t="s">
        <v>258</v>
      </c>
      <c r="J418" s="86" t="s">
        <v>283</v>
      </c>
      <c r="K418" s="85" t="s">
        <v>386</v>
      </c>
      <c r="L418" s="87">
        <v>47.3</v>
      </c>
      <c r="M418" s="87">
        <f t="shared" si="117"/>
        <v>48.482499999999995</v>
      </c>
      <c r="N418" s="88">
        <f t="shared" si="123"/>
        <v>0</v>
      </c>
      <c r="O418" s="33">
        <f t="shared" si="124"/>
        <v>0</v>
      </c>
      <c r="P418" s="85" t="s">
        <v>109</v>
      </c>
      <c r="Q418" s="21">
        <f t="shared" si="125"/>
        <v>0</v>
      </c>
      <c r="R418" s="87" t="e">
        <f t="shared" si="118"/>
        <v>#DIV/0!</v>
      </c>
      <c r="S418" s="87" t="e">
        <f t="shared" si="119"/>
        <v>#DIV/0!</v>
      </c>
      <c r="T418" s="21" t="e">
        <f t="shared" si="120"/>
        <v>#DIV/0!</v>
      </c>
      <c r="U418" s="87" t="e">
        <f t="shared" si="121"/>
        <v>#DIV/0!</v>
      </c>
      <c r="V418" s="22" t="e">
        <f t="shared" si="122"/>
        <v>#DIV/0!</v>
      </c>
    </row>
    <row r="419" spans="1:22" ht="23" x14ac:dyDescent="0.25">
      <c r="A419" s="84" t="s">
        <v>633</v>
      </c>
      <c r="B419" s="85" t="s">
        <v>42</v>
      </c>
      <c r="C419" s="85" t="s">
        <v>464</v>
      </c>
      <c r="D419" s="85" t="s">
        <v>825</v>
      </c>
      <c r="E419" s="86" t="s">
        <v>752</v>
      </c>
      <c r="F419" s="85" t="s">
        <v>349</v>
      </c>
      <c r="G419" s="85" t="s">
        <v>282</v>
      </c>
      <c r="H419" s="85" t="s">
        <v>9</v>
      </c>
      <c r="I419" s="85" t="s">
        <v>258</v>
      </c>
      <c r="J419" s="86" t="s">
        <v>283</v>
      </c>
      <c r="K419" s="85" t="s">
        <v>386</v>
      </c>
      <c r="L419" s="87">
        <v>49.5</v>
      </c>
      <c r="M419" s="87">
        <f t="shared" si="117"/>
        <v>50.737499999999997</v>
      </c>
      <c r="N419" s="88">
        <f t="shared" si="123"/>
        <v>0</v>
      </c>
      <c r="O419" s="33">
        <f t="shared" si="124"/>
        <v>0</v>
      </c>
      <c r="P419" s="85" t="s">
        <v>109</v>
      </c>
      <c r="Q419" s="21">
        <f t="shared" si="125"/>
        <v>0</v>
      </c>
      <c r="R419" s="87" t="e">
        <f t="shared" si="118"/>
        <v>#DIV/0!</v>
      </c>
      <c r="S419" s="87" t="e">
        <f t="shared" si="119"/>
        <v>#DIV/0!</v>
      </c>
      <c r="T419" s="21" t="e">
        <f t="shared" si="120"/>
        <v>#DIV/0!</v>
      </c>
      <c r="U419" s="87" t="e">
        <f t="shared" si="121"/>
        <v>#DIV/0!</v>
      </c>
      <c r="V419" s="22" t="e">
        <f t="shared" si="122"/>
        <v>#DIV/0!</v>
      </c>
    </row>
    <row r="420" spans="1:22" x14ac:dyDescent="0.25">
      <c r="A420" s="84" t="s">
        <v>633</v>
      </c>
      <c r="B420" s="85" t="s">
        <v>42</v>
      </c>
      <c r="C420" s="85" t="s">
        <v>464</v>
      </c>
      <c r="D420" s="85" t="s">
        <v>826</v>
      </c>
      <c r="E420" s="86" t="s">
        <v>586</v>
      </c>
      <c r="F420" s="85" t="s">
        <v>349</v>
      </c>
      <c r="G420" s="85" t="s">
        <v>282</v>
      </c>
      <c r="H420" s="85" t="s">
        <v>9</v>
      </c>
      <c r="I420" s="85" t="s">
        <v>258</v>
      </c>
      <c r="J420" s="86" t="s">
        <v>283</v>
      </c>
      <c r="K420" s="85" t="s">
        <v>386</v>
      </c>
      <c r="L420" s="87">
        <v>60.8</v>
      </c>
      <c r="M420" s="87">
        <f t="shared" si="117"/>
        <v>62.319999999999993</v>
      </c>
      <c r="N420" s="88">
        <f t="shared" si="123"/>
        <v>0</v>
      </c>
      <c r="O420" s="33">
        <f t="shared" si="124"/>
        <v>0</v>
      </c>
      <c r="P420" s="85" t="s">
        <v>109</v>
      </c>
      <c r="Q420" s="21">
        <f t="shared" si="125"/>
        <v>0</v>
      </c>
      <c r="R420" s="87" t="e">
        <f t="shared" si="118"/>
        <v>#DIV/0!</v>
      </c>
      <c r="S420" s="87" t="e">
        <f t="shared" si="119"/>
        <v>#DIV/0!</v>
      </c>
      <c r="T420" s="21" t="e">
        <f t="shared" si="120"/>
        <v>#DIV/0!</v>
      </c>
      <c r="U420" s="87" t="e">
        <f t="shared" si="121"/>
        <v>#DIV/0!</v>
      </c>
      <c r="V420" s="22" t="e">
        <f t="shared" si="122"/>
        <v>#DIV/0!</v>
      </c>
    </row>
    <row r="421" spans="1:22" x14ac:dyDescent="0.25">
      <c r="A421" s="84" t="s">
        <v>633</v>
      </c>
      <c r="B421" s="85" t="s">
        <v>42</v>
      </c>
      <c r="C421" s="85" t="s">
        <v>464</v>
      </c>
      <c r="D421" s="85" t="s">
        <v>827</v>
      </c>
      <c r="E421" s="86" t="s">
        <v>586</v>
      </c>
      <c r="F421" s="85" t="s">
        <v>349</v>
      </c>
      <c r="G421" s="85" t="s">
        <v>282</v>
      </c>
      <c r="H421" s="85" t="s">
        <v>9</v>
      </c>
      <c r="I421" s="85" t="s">
        <v>258</v>
      </c>
      <c r="J421" s="86" t="s">
        <v>283</v>
      </c>
      <c r="K421" s="85" t="s">
        <v>386</v>
      </c>
      <c r="L421" s="87">
        <v>53</v>
      </c>
      <c r="M421" s="87">
        <f t="shared" si="117"/>
        <v>54.324999999999996</v>
      </c>
      <c r="N421" s="88">
        <f t="shared" si="123"/>
        <v>0</v>
      </c>
      <c r="O421" s="33">
        <f t="shared" si="124"/>
        <v>0</v>
      </c>
      <c r="P421" s="85" t="s">
        <v>109</v>
      </c>
      <c r="Q421" s="21">
        <f t="shared" si="125"/>
        <v>0</v>
      </c>
      <c r="R421" s="87" t="e">
        <f t="shared" si="118"/>
        <v>#DIV/0!</v>
      </c>
      <c r="S421" s="87" t="e">
        <f t="shared" si="119"/>
        <v>#DIV/0!</v>
      </c>
      <c r="T421" s="21" t="e">
        <f t="shared" si="120"/>
        <v>#DIV/0!</v>
      </c>
      <c r="U421" s="87" t="e">
        <f t="shared" si="121"/>
        <v>#DIV/0!</v>
      </c>
      <c r="V421" s="22" t="e">
        <f t="shared" si="122"/>
        <v>#DIV/0!</v>
      </c>
    </row>
    <row r="422" spans="1:22" x14ac:dyDescent="0.25">
      <c r="A422" s="84" t="s">
        <v>633</v>
      </c>
      <c r="B422" s="85" t="s">
        <v>42</v>
      </c>
      <c r="C422" s="85" t="s">
        <v>464</v>
      </c>
      <c r="D422" s="85" t="s">
        <v>828</v>
      </c>
      <c r="E422" s="86" t="s">
        <v>586</v>
      </c>
      <c r="F422" s="85" t="s">
        <v>349</v>
      </c>
      <c r="G422" s="85" t="s">
        <v>282</v>
      </c>
      <c r="H422" s="85" t="s">
        <v>9</v>
      </c>
      <c r="I422" s="85" t="s">
        <v>258</v>
      </c>
      <c r="J422" s="86" t="s">
        <v>283</v>
      </c>
      <c r="K422" s="85" t="s">
        <v>386</v>
      </c>
      <c r="L422" s="87">
        <v>61.1</v>
      </c>
      <c r="M422" s="87">
        <f t="shared" si="117"/>
        <v>62.627499999999998</v>
      </c>
      <c r="N422" s="88">
        <f t="shared" si="123"/>
        <v>0</v>
      </c>
      <c r="O422" s="33">
        <f t="shared" si="124"/>
        <v>0</v>
      </c>
      <c r="P422" s="85" t="s">
        <v>109</v>
      </c>
      <c r="Q422" s="21">
        <f t="shared" si="125"/>
        <v>0</v>
      </c>
      <c r="R422" s="87" t="e">
        <f t="shared" si="118"/>
        <v>#DIV/0!</v>
      </c>
      <c r="S422" s="87" t="e">
        <f t="shared" si="119"/>
        <v>#DIV/0!</v>
      </c>
      <c r="T422" s="21" t="e">
        <f t="shared" si="120"/>
        <v>#DIV/0!</v>
      </c>
      <c r="U422" s="87" t="e">
        <f t="shared" si="121"/>
        <v>#DIV/0!</v>
      </c>
      <c r="V422" s="22" t="e">
        <f t="shared" si="122"/>
        <v>#DIV/0!</v>
      </c>
    </row>
    <row r="423" spans="1:22" x14ac:dyDescent="0.25">
      <c r="A423" s="84" t="s">
        <v>633</v>
      </c>
      <c r="B423" s="85" t="s">
        <v>42</v>
      </c>
      <c r="C423" s="85" t="s">
        <v>464</v>
      </c>
      <c r="D423" s="85" t="s">
        <v>829</v>
      </c>
      <c r="E423" s="86" t="s">
        <v>586</v>
      </c>
      <c r="F423" s="85" t="s">
        <v>349</v>
      </c>
      <c r="G423" s="85" t="s">
        <v>282</v>
      </c>
      <c r="H423" s="85" t="s">
        <v>9</v>
      </c>
      <c r="I423" s="85" t="s">
        <v>258</v>
      </c>
      <c r="J423" s="86" t="s">
        <v>283</v>
      </c>
      <c r="K423" s="85" t="s">
        <v>386</v>
      </c>
      <c r="L423" s="87">
        <v>53.8</v>
      </c>
      <c r="M423" s="87">
        <f t="shared" si="117"/>
        <v>55.144999999999989</v>
      </c>
      <c r="N423" s="88">
        <f t="shared" si="123"/>
        <v>0</v>
      </c>
      <c r="O423" s="33">
        <f t="shared" si="124"/>
        <v>0</v>
      </c>
      <c r="P423" s="85" t="s">
        <v>109</v>
      </c>
      <c r="Q423" s="21">
        <f t="shared" si="125"/>
        <v>0</v>
      </c>
      <c r="R423" s="87" t="e">
        <f t="shared" si="118"/>
        <v>#DIV/0!</v>
      </c>
      <c r="S423" s="87" t="e">
        <f t="shared" si="119"/>
        <v>#DIV/0!</v>
      </c>
      <c r="T423" s="21" t="e">
        <f t="shared" si="120"/>
        <v>#DIV/0!</v>
      </c>
      <c r="U423" s="87" t="e">
        <f t="shared" si="121"/>
        <v>#DIV/0!</v>
      </c>
      <c r="V423" s="22" t="e">
        <f t="shared" si="122"/>
        <v>#DIV/0!</v>
      </c>
    </row>
    <row r="424" spans="1:22" x14ac:dyDescent="0.25">
      <c r="A424" s="84" t="s">
        <v>633</v>
      </c>
      <c r="B424" s="85" t="s">
        <v>42</v>
      </c>
      <c r="C424" s="85" t="s">
        <v>464</v>
      </c>
      <c r="D424" s="85" t="s">
        <v>830</v>
      </c>
      <c r="E424" s="86" t="s">
        <v>586</v>
      </c>
      <c r="F424" s="85" t="s">
        <v>349</v>
      </c>
      <c r="G424" s="85" t="s">
        <v>282</v>
      </c>
      <c r="H424" s="85" t="s">
        <v>9</v>
      </c>
      <c r="I424" s="85" t="s">
        <v>258</v>
      </c>
      <c r="J424" s="86" t="s">
        <v>283</v>
      </c>
      <c r="K424" s="85" t="s">
        <v>386</v>
      </c>
      <c r="L424" s="87">
        <v>96.4</v>
      </c>
      <c r="M424" s="87">
        <f t="shared" si="117"/>
        <v>98.81</v>
      </c>
      <c r="N424" s="88">
        <f t="shared" si="123"/>
        <v>0</v>
      </c>
      <c r="O424" s="33">
        <f t="shared" si="124"/>
        <v>0</v>
      </c>
      <c r="P424" s="85" t="s">
        <v>109</v>
      </c>
      <c r="Q424" s="21">
        <f t="shared" si="125"/>
        <v>0</v>
      </c>
      <c r="R424" s="87" t="e">
        <f t="shared" si="118"/>
        <v>#DIV/0!</v>
      </c>
      <c r="S424" s="87" t="e">
        <f t="shared" si="119"/>
        <v>#DIV/0!</v>
      </c>
      <c r="T424" s="21" t="e">
        <f t="shared" si="120"/>
        <v>#DIV/0!</v>
      </c>
      <c r="U424" s="87" t="e">
        <f t="shared" si="121"/>
        <v>#DIV/0!</v>
      </c>
      <c r="V424" s="22" t="e">
        <f t="shared" si="122"/>
        <v>#DIV/0!</v>
      </c>
    </row>
    <row r="425" spans="1:22" x14ac:dyDescent="0.25">
      <c r="A425" s="84" t="s">
        <v>633</v>
      </c>
      <c r="B425" s="85" t="s">
        <v>42</v>
      </c>
      <c r="C425" s="85" t="s">
        <v>464</v>
      </c>
      <c r="D425" s="85" t="s">
        <v>831</v>
      </c>
      <c r="E425" s="86" t="s">
        <v>586</v>
      </c>
      <c r="F425" s="85" t="s">
        <v>349</v>
      </c>
      <c r="G425" s="85" t="s">
        <v>282</v>
      </c>
      <c r="H425" s="85" t="s">
        <v>9</v>
      </c>
      <c r="I425" s="85" t="s">
        <v>258</v>
      </c>
      <c r="J425" s="86" t="s">
        <v>283</v>
      </c>
      <c r="K425" s="85" t="s">
        <v>386</v>
      </c>
      <c r="L425" s="87">
        <v>117</v>
      </c>
      <c r="M425" s="87">
        <f t="shared" si="117"/>
        <v>119.92499999999998</v>
      </c>
      <c r="N425" s="88">
        <f t="shared" si="123"/>
        <v>0</v>
      </c>
      <c r="O425" s="33">
        <f t="shared" si="124"/>
        <v>0</v>
      </c>
      <c r="P425" s="85" t="s">
        <v>109</v>
      </c>
      <c r="Q425" s="21">
        <f t="shared" si="125"/>
        <v>0</v>
      </c>
      <c r="R425" s="87" t="e">
        <f t="shared" si="118"/>
        <v>#DIV/0!</v>
      </c>
      <c r="S425" s="87" t="e">
        <f t="shared" si="119"/>
        <v>#DIV/0!</v>
      </c>
      <c r="T425" s="21" t="e">
        <f t="shared" si="120"/>
        <v>#DIV/0!</v>
      </c>
      <c r="U425" s="87" t="e">
        <f t="shared" si="121"/>
        <v>#DIV/0!</v>
      </c>
      <c r="V425" s="22" t="e">
        <f t="shared" si="122"/>
        <v>#DIV/0!</v>
      </c>
    </row>
    <row r="426" spans="1:22" x14ac:dyDescent="0.25">
      <c r="A426" s="84" t="s">
        <v>633</v>
      </c>
      <c r="B426" s="85" t="s">
        <v>42</v>
      </c>
      <c r="C426" s="85" t="s">
        <v>464</v>
      </c>
      <c r="D426" s="85" t="s">
        <v>832</v>
      </c>
      <c r="E426" s="86" t="s">
        <v>586</v>
      </c>
      <c r="F426" s="85" t="s">
        <v>349</v>
      </c>
      <c r="G426" s="85" t="s">
        <v>282</v>
      </c>
      <c r="H426" s="85" t="s">
        <v>9</v>
      </c>
      <c r="I426" s="85" t="s">
        <v>258</v>
      </c>
      <c r="J426" s="86" t="s">
        <v>283</v>
      </c>
      <c r="K426" s="85" t="s">
        <v>386</v>
      </c>
      <c r="L426" s="87">
        <v>52</v>
      </c>
      <c r="M426" s="87">
        <f t="shared" si="117"/>
        <v>53.3</v>
      </c>
      <c r="N426" s="88">
        <f t="shared" si="123"/>
        <v>0</v>
      </c>
      <c r="O426" s="33">
        <f t="shared" si="124"/>
        <v>0</v>
      </c>
      <c r="P426" s="85" t="s">
        <v>109</v>
      </c>
      <c r="Q426" s="21">
        <f t="shared" si="125"/>
        <v>0</v>
      </c>
      <c r="R426" s="87" t="e">
        <f t="shared" si="118"/>
        <v>#DIV/0!</v>
      </c>
      <c r="S426" s="87" t="e">
        <f t="shared" si="119"/>
        <v>#DIV/0!</v>
      </c>
      <c r="T426" s="21" t="e">
        <f t="shared" si="120"/>
        <v>#DIV/0!</v>
      </c>
      <c r="U426" s="87" t="e">
        <f t="shared" si="121"/>
        <v>#DIV/0!</v>
      </c>
      <c r="V426" s="22" t="e">
        <f t="shared" si="122"/>
        <v>#DIV/0!</v>
      </c>
    </row>
    <row r="427" spans="1:22" x14ac:dyDescent="0.25">
      <c r="A427" s="84" t="s">
        <v>633</v>
      </c>
      <c r="B427" s="85" t="s">
        <v>42</v>
      </c>
      <c r="C427" s="85" t="s">
        <v>464</v>
      </c>
      <c r="D427" s="85" t="s">
        <v>833</v>
      </c>
      <c r="E427" s="86" t="s">
        <v>586</v>
      </c>
      <c r="F427" s="85" t="s">
        <v>349</v>
      </c>
      <c r="G427" s="85" t="s">
        <v>282</v>
      </c>
      <c r="H427" s="85" t="s">
        <v>9</v>
      </c>
      <c r="I427" s="85" t="s">
        <v>258</v>
      </c>
      <c r="J427" s="86" t="s">
        <v>283</v>
      </c>
      <c r="K427" s="85" t="s">
        <v>386</v>
      </c>
      <c r="L427" s="87">
        <v>47.7</v>
      </c>
      <c r="M427" s="87">
        <f t="shared" si="117"/>
        <v>48.892499999999998</v>
      </c>
      <c r="N427" s="88">
        <f t="shared" si="123"/>
        <v>0</v>
      </c>
      <c r="O427" s="33">
        <f t="shared" si="124"/>
        <v>0</v>
      </c>
      <c r="P427" s="85" t="s">
        <v>109</v>
      </c>
      <c r="Q427" s="21">
        <f t="shared" si="125"/>
        <v>0</v>
      </c>
      <c r="R427" s="87" t="e">
        <f t="shared" si="118"/>
        <v>#DIV/0!</v>
      </c>
      <c r="S427" s="87" t="e">
        <f t="shared" si="119"/>
        <v>#DIV/0!</v>
      </c>
      <c r="T427" s="21" t="e">
        <f t="shared" si="120"/>
        <v>#DIV/0!</v>
      </c>
      <c r="U427" s="87" t="e">
        <f t="shared" si="121"/>
        <v>#DIV/0!</v>
      </c>
      <c r="V427" s="22" t="e">
        <f t="shared" si="122"/>
        <v>#DIV/0!</v>
      </c>
    </row>
    <row r="428" spans="1:22" x14ac:dyDescent="0.25">
      <c r="A428" s="84" t="s">
        <v>633</v>
      </c>
      <c r="B428" s="85" t="s">
        <v>42</v>
      </c>
      <c r="C428" s="85" t="s">
        <v>464</v>
      </c>
      <c r="D428" s="85" t="s">
        <v>834</v>
      </c>
      <c r="E428" s="86" t="s">
        <v>835</v>
      </c>
      <c r="F428" s="85" t="s">
        <v>349</v>
      </c>
      <c r="G428" s="85" t="s">
        <v>294</v>
      </c>
      <c r="H428" s="85" t="s">
        <v>9</v>
      </c>
      <c r="I428" s="85" t="s">
        <v>258</v>
      </c>
      <c r="J428" s="86" t="s">
        <v>295</v>
      </c>
      <c r="K428" s="85" t="s">
        <v>386</v>
      </c>
      <c r="L428" s="87">
        <v>101.7</v>
      </c>
      <c r="M428" s="87">
        <f t="shared" si="117"/>
        <v>104.24249999999999</v>
      </c>
      <c r="N428" s="88">
        <f>prodnorm32</f>
        <v>0</v>
      </c>
      <c r="O428" s="33">
        <f>dagwerk32</f>
        <v>0</v>
      </c>
      <c r="P428" s="85" t="s">
        <v>109</v>
      </c>
      <c r="Q428" s="21">
        <f>uurtarief32</f>
        <v>0</v>
      </c>
      <c r="R428" s="87" t="e">
        <f t="shared" si="118"/>
        <v>#DIV/0!</v>
      </c>
      <c r="S428" s="87" t="e">
        <f t="shared" si="119"/>
        <v>#DIV/0!</v>
      </c>
      <c r="T428" s="21" t="e">
        <f t="shared" si="120"/>
        <v>#DIV/0!</v>
      </c>
      <c r="U428" s="87" t="e">
        <f t="shared" si="121"/>
        <v>#DIV/0!</v>
      </c>
      <c r="V428" s="22" t="e">
        <f t="shared" si="122"/>
        <v>#DIV/0!</v>
      </c>
    </row>
    <row r="429" spans="1:22" x14ac:dyDescent="0.25">
      <c r="A429" s="84" t="s">
        <v>633</v>
      </c>
      <c r="B429" s="85" t="s">
        <v>42</v>
      </c>
      <c r="C429" s="85" t="s">
        <v>464</v>
      </c>
      <c r="D429" s="85" t="s">
        <v>836</v>
      </c>
      <c r="E429" s="86" t="s">
        <v>373</v>
      </c>
      <c r="F429" s="85" t="s">
        <v>349</v>
      </c>
      <c r="G429" s="85" t="s">
        <v>312</v>
      </c>
      <c r="H429" s="85" t="s">
        <v>9</v>
      </c>
      <c r="I429" s="85" t="s">
        <v>258</v>
      </c>
      <c r="J429" s="86" t="s">
        <v>313</v>
      </c>
      <c r="K429" s="85" t="s">
        <v>346</v>
      </c>
      <c r="L429" s="87">
        <v>105.8</v>
      </c>
      <c r="M429" s="87">
        <f t="shared" si="117"/>
        <v>108.44499999999999</v>
      </c>
      <c r="N429" s="88">
        <f>prodnorm46</f>
        <v>0</v>
      </c>
      <c r="O429" s="33">
        <f>dagwerk46</f>
        <v>0</v>
      </c>
      <c r="P429" s="85" t="s">
        <v>109</v>
      </c>
      <c r="Q429" s="21">
        <f>uurtarief46</f>
        <v>0</v>
      </c>
      <c r="R429" s="87" t="e">
        <f t="shared" si="118"/>
        <v>#DIV/0!</v>
      </c>
      <c r="S429" s="87" t="e">
        <f t="shared" si="119"/>
        <v>#DIV/0!</v>
      </c>
      <c r="T429" s="21" t="e">
        <f t="shared" si="120"/>
        <v>#DIV/0!</v>
      </c>
      <c r="U429" s="87" t="e">
        <f t="shared" si="121"/>
        <v>#DIV/0!</v>
      </c>
      <c r="V429" s="22" t="e">
        <f t="shared" si="122"/>
        <v>#DIV/0!</v>
      </c>
    </row>
    <row r="430" spans="1:22" x14ac:dyDescent="0.25">
      <c r="A430" s="84" t="s">
        <v>633</v>
      </c>
      <c r="B430" s="85" t="s">
        <v>42</v>
      </c>
      <c r="C430" s="85" t="s">
        <v>464</v>
      </c>
      <c r="D430" s="85" t="s">
        <v>837</v>
      </c>
      <c r="E430" s="86" t="s">
        <v>809</v>
      </c>
      <c r="F430" s="85" t="s">
        <v>349</v>
      </c>
      <c r="G430" s="85" t="s">
        <v>304</v>
      </c>
      <c r="H430" s="85" t="s">
        <v>9</v>
      </c>
      <c r="I430" s="85" t="s">
        <v>258</v>
      </c>
      <c r="J430" s="86" t="s">
        <v>305</v>
      </c>
      <c r="K430" s="85" t="s">
        <v>386</v>
      </c>
      <c r="L430" s="87">
        <v>40.299999999999997</v>
      </c>
      <c r="M430" s="87">
        <f t="shared" si="117"/>
        <v>41.30749999999999</v>
      </c>
      <c r="N430" s="88">
        <f>prodnorm39</f>
        <v>0</v>
      </c>
      <c r="O430" s="33">
        <f>dagwerk39</f>
        <v>0</v>
      </c>
      <c r="P430" s="85" t="s">
        <v>109</v>
      </c>
      <c r="Q430" s="21">
        <f>uurtarief39</f>
        <v>0</v>
      </c>
      <c r="R430" s="87" t="e">
        <f t="shared" si="118"/>
        <v>#DIV/0!</v>
      </c>
      <c r="S430" s="87" t="e">
        <f t="shared" si="119"/>
        <v>#DIV/0!</v>
      </c>
      <c r="T430" s="21" t="e">
        <f t="shared" si="120"/>
        <v>#DIV/0!</v>
      </c>
      <c r="U430" s="87" t="e">
        <f t="shared" si="121"/>
        <v>#DIV/0!</v>
      </c>
      <c r="V430" s="22" t="e">
        <f t="shared" si="122"/>
        <v>#DIV/0!</v>
      </c>
    </row>
    <row r="431" spans="1:22" x14ac:dyDescent="0.25">
      <c r="A431" s="84" t="s">
        <v>633</v>
      </c>
      <c r="B431" s="85" t="s">
        <v>42</v>
      </c>
      <c r="C431" s="85" t="s">
        <v>464</v>
      </c>
      <c r="D431" s="85" t="s">
        <v>838</v>
      </c>
      <c r="E431" s="86" t="s">
        <v>373</v>
      </c>
      <c r="F431" s="85" t="s">
        <v>349</v>
      </c>
      <c r="G431" s="85" t="s">
        <v>312</v>
      </c>
      <c r="H431" s="85" t="s">
        <v>9</v>
      </c>
      <c r="I431" s="85" t="s">
        <v>258</v>
      </c>
      <c r="J431" s="86" t="s">
        <v>313</v>
      </c>
      <c r="K431" s="85" t="s">
        <v>346</v>
      </c>
      <c r="L431" s="87">
        <v>21.6</v>
      </c>
      <c r="M431" s="87">
        <f t="shared" si="117"/>
        <v>22.14</v>
      </c>
      <c r="N431" s="88">
        <f>prodnorm46</f>
        <v>0</v>
      </c>
      <c r="O431" s="33">
        <f>dagwerk46</f>
        <v>0</v>
      </c>
      <c r="P431" s="85" t="s">
        <v>109</v>
      </c>
      <c r="Q431" s="21">
        <f>uurtarief46</f>
        <v>0</v>
      </c>
      <c r="R431" s="87" t="e">
        <f t="shared" si="118"/>
        <v>#DIV/0!</v>
      </c>
      <c r="S431" s="87" t="e">
        <f t="shared" si="119"/>
        <v>#DIV/0!</v>
      </c>
      <c r="T431" s="21" t="e">
        <f t="shared" si="120"/>
        <v>#DIV/0!</v>
      </c>
      <c r="U431" s="87" t="e">
        <f t="shared" si="121"/>
        <v>#DIV/0!</v>
      </c>
      <c r="V431" s="22" t="e">
        <f t="shared" si="122"/>
        <v>#DIV/0!</v>
      </c>
    </row>
    <row r="432" spans="1:22" x14ac:dyDescent="0.25">
      <c r="A432" s="84" t="s">
        <v>633</v>
      </c>
      <c r="B432" s="85" t="s">
        <v>42</v>
      </c>
      <c r="C432" s="85" t="s">
        <v>464</v>
      </c>
      <c r="D432" s="85" t="s">
        <v>839</v>
      </c>
      <c r="E432" s="86" t="s">
        <v>373</v>
      </c>
      <c r="F432" s="85" t="s">
        <v>349</v>
      </c>
      <c r="G432" s="85" t="s">
        <v>312</v>
      </c>
      <c r="H432" s="85" t="s">
        <v>9</v>
      </c>
      <c r="I432" s="85" t="s">
        <v>258</v>
      </c>
      <c r="J432" s="86" t="s">
        <v>313</v>
      </c>
      <c r="K432" s="85" t="s">
        <v>346</v>
      </c>
      <c r="L432" s="87">
        <v>64.3</v>
      </c>
      <c r="M432" s="87">
        <f t="shared" si="117"/>
        <v>65.907499999999985</v>
      </c>
      <c r="N432" s="88">
        <f>prodnorm46</f>
        <v>0</v>
      </c>
      <c r="O432" s="33">
        <f>dagwerk46</f>
        <v>0</v>
      </c>
      <c r="P432" s="85" t="s">
        <v>109</v>
      </c>
      <c r="Q432" s="21">
        <f>uurtarief46</f>
        <v>0</v>
      </c>
      <c r="R432" s="87" t="e">
        <f t="shared" si="118"/>
        <v>#DIV/0!</v>
      </c>
      <c r="S432" s="87" t="e">
        <f t="shared" si="119"/>
        <v>#DIV/0!</v>
      </c>
      <c r="T432" s="21" t="e">
        <f t="shared" si="120"/>
        <v>#DIV/0!</v>
      </c>
      <c r="U432" s="87" t="e">
        <f t="shared" si="121"/>
        <v>#DIV/0!</v>
      </c>
      <c r="V432" s="22" t="e">
        <f t="shared" si="122"/>
        <v>#DIV/0!</v>
      </c>
    </row>
    <row r="433" spans="1:22" x14ac:dyDescent="0.25">
      <c r="A433" s="84" t="s">
        <v>633</v>
      </c>
      <c r="B433" s="85" t="s">
        <v>42</v>
      </c>
      <c r="C433" s="85" t="s">
        <v>464</v>
      </c>
      <c r="D433" s="85" t="s">
        <v>840</v>
      </c>
      <c r="E433" s="86" t="s">
        <v>841</v>
      </c>
      <c r="F433" s="85" t="s">
        <v>349</v>
      </c>
      <c r="G433" s="85" t="s">
        <v>298</v>
      </c>
      <c r="H433" s="85" t="s">
        <v>9</v>
      </c>
      <c r="I433" s="85" t="s">
        <v>258</v>
      </c>
      <c r="J433" s="86" t="s">
        <v>299</v>
      </c>
      <c r="K433" s="85" t="s">
        <v>386</v>
      </c>
      <c r="L433" s="87">
        <v>45.4</v>
      </c>
      <c r="M433" s="87">
        <f t="shared" si="117"/>
        <v>46.534999999999997</v>
      </c>
      <c r="N433" s="88">
        <f>prodnorm35</f>
        <v>0</v>
      </c>
      <c r="O433" s="33">
        <f>dagwerk35</f>
        <v>0</v>
      </c>
      <c r="P433" s="85" t="s">
        <v>109</v>
      </c>
      <c r="Q433" s="21">
        <f>uurtarief35</f>
        <v>0</v>
      </c>
      <c r="R433" s="87" t="e">
        <f t="shared" si="118"/>
        <v>#DIV/0!</v>
      </c>
      <c r="S433" s="87" t="e">
        <f t="shared" si="119"/>
        <v>#DIV/0!</v>
      </c>
      <c r="T433" s="21" t="e">
        <f t="shared" si="120"/>
        <v>#DIV/0!</v>
      </c>
      <c r="U433" s="87" t="e">
        <f t="shared" si="121"/>
        <v>#DIV/0!</v>
      </c>
      <c r="V433" s="22" t="e">
        <f t="shared" si="122"/>
        <v>#DIV/0!</v>
      </c>
    </row>
    <row r="434" spans="1:22" x14ac:dyDescent="0.25">
      <c r="A434" s="84" t="s">
        <v>633</v>
      </c>
      <c r="B434" s="85" t="s">
        <v>42</v>
      </c>
      <c r="C434" s="85" t="s">
        <v>464</v>
      </c>
      <c r="D434" s="85" t="s">
        <v>842</v>
      </c>
      <c r="E434" s="86" t="s">
        <v>373</v>
      </c>
      <c r="F434" s="85" t="s">
        <v>349</v>
      </c>
      <c r="G434" s="85" t="s">
        <v>312</v>
      </c>
      <c r="H434" s="85" t="s">
        <v>9</v>
      </c>
      <c r="I434" s="85" t="s">
        <v>258</v>
      </c>
      <c r="J434" s="86" t="s">
        <v>313</v>
      </c>
      <c r="K434" s="85" t="s">
        <v>346</v>
      </c>
      <c r="L434" s="87">
        <v>95.4</v>
      </c>
      <c r="M434" s="87">
        <f t="shared" si="117"/>
        <v>97.784999999999997</v>
      </c>
      <c r="N434" s="88">
        <f>prodnorm46</f>
        <v>0</v>
      </c>
      <c r="O434" s="33">
        <f>dagwerk46</f>
        <v>0</v>
      </c>
      <c r="P434" s="85" t="s">
        <v>109</v>
      </c>
      <c r="Q434" s="21">
        <f>uurtarief46</f>
        <v>0</v>
      </c>
      <c r="R434" s="87" t="e">
        <f t="shared" si="118"/>
        <v>#DIV/0!</v>
      </c>
      <c r="S434" s="87" t="e">
        <f t="shared" si="119"/>
        <v>#DIV/0!</v>
      </c>
      <c r="T434" s="21" t="e">
        <f t="shared" si="120"/>
        <v>#DIV/0!</v>
      </c>
      <c r="U434" s="87" t="e">
        <f t="shared" si="121"/>
        <v>#DIV/0!</v>
      </c>
      <c r="V434" s="22" t="e">
        <f t="shared" si="122"/>
        <v>#DIV/0!</v>
      </c>
    </row>
    <row r="435" spans="1:22" x14ac:dyDescent="0.25">
      <c r="A435" s="84" t="s">
        <v>633</v>
      </c>
      <c r="B435" s="85" t="s">
        <v>42</v>
      </c>
      <c r="C435" s="85" t="s">
        <v>464</v>
      </c>
      <c r="D435" s="85" t="s">
        <v>843</v>
      </c>
      <c r="E435" s="86" t="s">
        <v>698</v>
      </c>
      <c r="F435" s="85" t="s">
        <v>666</v>
      </c>
      <c r="G435" s="85" t="s">
        <v>310</v>
      </c>
      <c r="H435" s="85" t="s">
        <v>9</v>
      </c>
      <c r="I435" s="85" t="s">
        <v>258</v>
      </c>
      <c r="J435" s="86" t="s">
        <v>311</v>
      </c>
      <c r="K435" s="85" t="s">
        <v>417</v>
      </c>
      <c r="L435" s="87">
        <v>15</v>
      </c>
      <c r="M435" s="87">
        <f t="shared" si="117"/>
        <v>15.374999999999998</v>
      </c>
      <c r="N435" s="88">
        <f>prodnorm45</f>
        <v>0</v>
      </c>
      <c r="O435" s="33">
        <f>dagwerk45</f>
        <v>0</v>
      </c>
      <c r="P435" s="85" t="s">
        <v>109</v>
      </c>
      <c r="Q435" s="21">
        <f>uurtarief45</f>
        <v>0</v>
      </c>
      <c r="R435" s="87" t="e">
        <f t="shared" si="118"/>
        <v>#DIV/0!</v>
      </c>
      <c r="S435" s="87" t="e">
        <f t="shared" si="119"/>
        <v>#DIV/0!</v>
      </c>
      <c r="T435" s="21" t="e">
        <f t="shared" si="120"/>
        <v>#DIV/0!</v>
      </c>
      <c r="U435" s="87" t="e">
        <f t="shared" si="121"/>
        <v>#DIV/0!</v>
      </c>
      <c r="V435" s="22" t="e">
        <f t="shared" si="122"/>
        <v>#DIV/0!</v>
      </c>
    </row>
    <row r="436" spans="1:22" x14ac:dyDescent="0.25">
      <c r="A436" s="84" t="s">
        <v>633</v>
      </c>
      <c r="B436" s="85" t="s">
        <v>42</v>
      </c>
      <c r="C436" s="85" t="s">
        <v>464</v>
      </c>
      <c r="D436" s="85" t="s">
        <v>844</v>
      </c>
      <c r="E436" s="86" t="s">
        <v>845</v>
      </c>
      <c r="F436" s="85" t="s">
        <v>666</v>
      </c>
      <c r="G436" s="85" t="s">
        <v>278</v>
      </c>
      <c r="H436" s="85" t="s">
        <v>9</v>
      </c>
      <c r="I436" s="85" t="s">
        <v>258</v>
      </c>
      <c r="J436" s="86" t="s">
        <v>279</v>
      </c>
      <c r="K436" s="85" t="s">
        <v>346</v>
      </c>
      <c r="L436" s="87">
        <v>4.49</v>
      </c>
      <c r="M436" s="87">
        <f t="shared" si="117"/>
        <v>4.6022499999999997</v>
      </c>
      <c r="N436" s="88">
        <f>prodnorm22</f>
        <v>0</v>
      </c>
      <c r="O436" s="33">
        <f>dagwerk22</f>
        <v>0</v>
      </c>
      <c r="P436" s="85" t="s">
        <v>109</v>
      </c>
      <c r="Q436" s="21">
        <f>uurtarief22</f>
        <v>0</v>
      </c>
      <c r="R436" s="87" t="e">
        <f t="shared" si="118"/>
        <v>#DIV/0!</v>
      </c>
      <c r="S436" s="87" t="e">
        <f t="shared" si="119"/>
        <v>#DIV/0!</v>
      </c>
      <c r="T436" s="21" t="e">
        <f t="shared" si="120"/>
        <v>#DIV/0!</v>
      </c>
      <c r="U436" s="87" t="e">
        <f t="shared" si="121"/>
        <v>#DIV/0!</v>
      </c>
      <c r="V436" s="22" t="e">
        <f t="shared" si="122"/>
        <v>#DIV/0!</v>
      </c>
    </row>
    <row r="437" spans="1:22" x14ac:dyDescent="0.25">
      <c r="A437" s="84" t="s">
        <v>633</v>
      </c>
      <c r="B437" s="85" t="s">
        <v>42</v>
      </c>
      <c r="C437" s="85" t="s">
        <v>464</v>
      </c>
      <c r="D437" s="85" t="s">
        <v>846</v>
      </c>
      <c r="E437" s="86" t="s">
        <v>841</v>
      </c>
      <c r="F437" s="85" t="s">
        <v>349</v>
      </c>
      <c r="G437" s="85" t="s">
        <v>298</v>
      </c>
      <c r="H437" s="85" t="s">
        <v>9</v>
      </c>
      <c r="I437" s="85" t="s">
        <v>258</v>
      </c>
      <c r="J437" s="86" t="s">
        <v>299</v>
      </c>
      <c r="K437" s="85" t="s">
        <v>386</v>
      </c>
      <c r="L437" s="87">
        <v>40</v>
      </c>
      <c r="M437" s="87">
        <f t="shared" si="117"/>
        <v>41</v>
      </c>
      <c r="N437" s="88">
        <f>prodnorm35</f>
        <v>0</v>
      </c>
      <c r="O437" s="33">
        <f>dagwerk35</f>
        <v>0</v>
      </c>
      <c r="P437" s="85" t="s">
        <v>109</v>
      </c>
      <c r="Q437" s="21">
        <f>uurtarief35</f>
        <v>0</v>
      </c>
      <c r="R437" s="87" t="e">
        <f t="shared" si="118"/>
        <v>#DIV/0!</v>
      </c>
      <c r="S437" s="87" t="e">
        <f t="shared" si="119"/>
        <v>#DIV/0!</v>
      </c>
      <c r="T437" s="21" t="e">
        <f t="shared" si="120"/>
        <v>#DIV/0!</v>
      </c>
      <c r="U437" s="87" t="e">
        <f t="shared" si="121"/>
        <v>#DIV/0!</v>
      </c>
      <c r="V437" s="22" t="e">
        <f t="shared" si="122"/>
        <v>#DIV/0!</v>
      </c>
    </row>
    <row r="438" spans="1:22" x14ac:dyDescent="0.25">
      <c r="A438" s="84" t="s">
        <v>633</v>
      </c>
      <c r="B438" s="85" t="s">
        <v>42</v>
      </c>
      <c r="C438" s="85" t="s">
        <v>464</v>
      </c>
      <c r="D438" s="85" t="s">
        <v>847</v>
      </c>
      <c r="E438" s="86" t="s">
        <v>841</v>
      </c>
      <c r="F438" s="85" t="s">
        <v>349</v>
      </c>
      <c r="G438" s="85" t="s">
        <v>298</v>
      </c>
      <c r="H438" s="85" t="s">
        <v>9</v>
      </c>
      <c r="I438" s="85" t="s">
        <v>258</v>
      </c>
      <c r="J438" s="86" t="s">
        <v>299</v>
      </c>
      <c r="K438" s="85" t="s">
        <v>386</v>
      </c>
      <c r="L438" s="87">
        <v>37.9</v>
      </c>
      <c r="M438" s="87">
        <f t="shared" si="117"/>
        <v>38.847499999999997</v>
      </c>
      <c r="N438" s="88">
        <f>prodnorm35</f>
        <v>0</v>
      </c>
      <c r="O438" s="33">
        <f>dagwerk35</f>
        <v>0</v>
      </c>
      <c r="P438" s="85" t="s">
        <v>109</v>
      </c>
      <c r="Q438" s="21">
        <f>uurtarief35</f>
        <v>0</v>
      </c>
      <c r="R438" s="87" t="e">
        <f t="shared" si="118"/>
        <v>#DIV/0!</v>
      </c>
      <c r="S438" s="87" t="e">
        <f t="shared" si="119"/>
        <v>#DIV/0!</v>
      </c>
      <c r="T438" s="21" t="e">
        <f t="shared" si="120"/>
        <v>#DIV/0!</v>
      </c>
      <c r="U438" s="87" t="e">
        <f t="shared" si="121"/>
        <v>#DIV/0!</v>
      </c>
      <c r="V438" s="22" t="e">
        <f t="shared" si="122"/>
        <v>#DIV/0!</v>
      </c>
    </row>
    <row r="439" spans="1:22" x14ac:dyDescent="0.25">
      <c r="A439" s="84" t="s">
        <v>633</v>
      </c>
      <c r="B439" s="85" t="s">
        <v>42</v>
      </c>
      <c r="C439" s="85" t="s">
        <v>464</v>
      </c>
      <c r="D439" s="85" t="s">
        <v>848</v>
      </c>
      <c r="E439" s="86" t="s">
        <v>698</v>
      </c>
      <c r="F439" s="85" t="s">
        <v>674</v>
      </c>
      <c r="G439" s="85" t="s">
        <v>310</v>
      </c>
      <c r="H439" s="85" t="s">
        <v>9</v>
      </c>
      <c r="I439" s="85" t="s">
        <v>258</v>
      </c>
      <c r="J439" s="86" t="s">
        <v>311</v>
      </c>
      <c r="K439" s="85" t="s">
        <v>417</v>
      </c>
      <c r="L439" s="87">
        <v>22.8</v>
      </c>
      <c r="M439" s="87">
        <f t="shared" si="117"/>
        <v>23.369999999999997</v>
      </c>
      <c r="N439" s="88">
        <f>prodnorm45</f>
        <v>0</v>
      </c>
      <c r="O439" s="33">
        <f>dagwerk45</f>
        <v>0</v>
      </c>
      <c r="P439" s="85" t="s">
        <v>109</v>
      </c>
      <c r="Q439" s="21">
        <f>uurtarief45</f>
        <v>0</v>
      </c>
      <c r="R439" s="87" t="e">
        <f t="shared" si="118"/>
        <v>#DIV/0!</v>
      </c>
      <c r="S439" s="87" t="e">
        <f t="shared" si="119"/>
        <v>#DIV/0!</v>
      </c>
      <c r="T439" s="21" t="e">
        <f t="shared" si="120"/>
        <v>#DIV/0!</v>
      </c>
      <c r="U439" s="87" t="e">
        <f t="shared" si="121"/>
        <v>#DIV/0!</v>
      </c>
      <c r="V439" s="22" t="e">
        <f t="shared" si="122"/>
        <v>#DIV/0!</v>
      </c>
    </row>
    <row r="440" spans="1:22" x14ac:dyDescent="0.25">
      <c r="A440" s="84" t="s">
        <v>633</v>
      </c>
      <c r="B440" s="85" t="s">
        <v>42</v>
      </c>
      <c r="C440" s="85" t="s">
        <v>464</v>
      </c>
      <c r="D440" s="85" t="s">
        <v>849</v>
      </c>
      <c r="E440" s="86" t="s">
        <v>373</v>
      </c>
      <c r="F440" s="85" t="s">
        <v>349</v>
      </c>
      <c r="G440" s="85" t="s">
        <v>312</v>
      </c>
      <c r="H440" s="85" t="s">
        <v>9</v>
      </c>
      <c r="I440" s="85" t="s">
        <v>258</v>
      </c>
      <c r="J440" s="86" t="s">
        <v>313</v>
      </c>
      <c r="K440" s="85" t="s">
        <v>346</v>
      </c>
      <c r="L440" s="87">
        <v>64.3</v>
      </c>
      <c r="M440" s="87">
        <f t="shared" si="117"/>
        <v>65.907499999999985</v>
      </c>
      <c r="N440" s="88">
        <f>prodnorm46</f>
        <v>0</v>
      </c>
      <c r="O440" s="33">
        <f>dagwerk46</f>
        <v>0</v>
      </c>
      <c r="P440" s="85" t="s">
        <v>109</v>
      </c>
      <c r="Q440" s="21">
        <f>uurtarief46</f>
        <v>0</v>
      </c>
      <c r="R440" s="87" t="e">
        <f t="shared" si="118"/>
        <v>#DIV/0!</v>
      </c>
      <c r="S440" s="87" t="e">
        <f t="shared" si="119"/>
        <v>#DIV/0!</v>
      </c>
      <c r="T440" s="21" t="e">
        <f t="shared" si="120"/>
        <v>#DIV/0!</v>
      </c>
      <c r="U440" s="87" t="e">
        <f t="shared" si="121"/>
        <v>#DIV/0!</v>
      </c>
      <c r="V440" s="22" t="e">
        <f t="shared" si="122"/>
        <v>#DIV/0!</v>
      </c>
    </row>
    <row r="441" spans="1:22" x14ac:dyDescent="0.25">
      <c r="A441" s="84" t="s">
        <v>633</v>
      </c>
      <c r="B441" s="85" t="s">
        <v>42</v>
      </c>
      <c r="C441" s="85" t="s">
        <v>464</v>
      </c>
      <c r="D441" s="85" t="s">
        <v>850</v>
      </c>
      <c r="E441" s="86" t="s">
        <v>373</v>
      </c>
      <c r="F441" s="85" t="s">
        <v>349</v>
      </c>
      <c r="G441" s="85" t="s">
        <v>312</v>
      </c>
      <c r="H441" s="85" t="s">
        <v>9</v>
      </c>
      <c r="I441" s="85" t="s">
        <v>258</v>
      </c>
      <c r="J441" s="86" t="s">
        <v>313</v>
      </c>
      <c r="K441" s="85" t="s">
        <v>346</v>
      </c>
      <c r="L441" s="87">
        <v>102.3</v>
      </c>
      <c r="M441" s="87">
        <f t="shared" si="117"/>
        <v>104.85749999999999</v>
      </c>
      <c r="N441" s="88">
        <f>prodnorm46</f>
        <v>0</v>
      </c>
      <c r="O441" s="33">
        <f>dagwerk46</f>
        <v>0</v>
      </c>
      <c r="P441" s="85" t="s">
        <v>109</v>
      </c>
      <c r="Q441" s="21">
        <f>uurtarief46</f>
        <v>0</v>
      </c>
      <c r="R441" s="87" t="e">
        <f t="shared" si="118"/>
        <v>#DIV/0!</v>
      </c>
      <c r="S441" s="87" t="e">
        <f t="shared" si="119"/>
        <v>#DIV/0!</v>
      </c>
      <c r="T441" s="21" t="e">
        <f t="shared" si="120"/>
        <v>#DIV/0!</v>
      </c>
      <c r="U441" s="87" t="e">
        <f t="shared" si="121"/>
        <v>#DIV/0!</v>
      </c>
      <c r="V441" s="22" t="e">
        <f t="shared" si="122"/>
        <v>#DIV/0!</v>
      </c>
    </row>
    <row r="442" spans="1:22" x14ac:dyDescent="0.25">
      <c r="A442" s="84" t="s">
        <v>633</v>
      </c>
      <c r="B442" s="85" t="s">
        <v>42</v>
      </c>
      <c r="C442" s="85" t="s">
        <v>464</v>
      </c>
      <c r="D442" s="85" t="s">
        <v>851</v>
      </c>
      <c r="E442" s="86" t="s">
        <v>698</v>
      </c>
      <c r="F442" s="85" t="s">
        <v>674</v>
      </c>
      <c r="G442" s="85" t="s">
        <v>310</v>
      </c>
      <c r="H442" s="85" t="s">
        <v>9</v>
      </c>
      <c r="I442" s="85" t="s">
        <v>258</v>
      </c>
      <c r="J442" s="86" t="s">
        <v>311</v>
      </c>
      <c r="K442" s="85" t="s">
        <v>417</v>
      </c>
      <c r="L442" s="87">
        <v>15.9</v>
      </c>
      <c r="M442" s="87">
        <f t="shared" si="117"/>
        <v>16.297499999999999</v>
      </c>
      <c r="N442" s="88">
        <f>prodnorm45</f>
        <v>0</v>
      </c>
      <c r="O442" s="33">
        <f>dagwerk45</f>
        <v>0</v>
      </c>
      <c r="P442" s="85" t="s">
        <v>109</v>
      </c>
      <c r="Q442" s="21">
        <f>uurtarief45</f>
        <v>0</v>
      </c>
      <c r="R442" s="87" t="e">
        <f t="shared" si="118"/>
        <v>#DIV/0!</v>
      </c>
      <c r="S442" s="87" t="e">
        <f t="shared" si="119"/>
        <v>#DIV/0!</v>
      </c>
      <c r="T442" s="21" t="e">
        <f t="shared" si="120"/>
        <v>#DIV/0!</v>
      </c>
      <c r="U442" s="87" t="e">
        <f t="shared" si="121"/>
        <v>#DIV/0!</v>
      </c>
      <c r="V442" s="22" t="e">
        <f t="shared" si="122"/>
        <v>#DIV/0!</v>
      </c>
    </row>
    <row r="443" spans="1:22" x14ac:dyDescent="0.25">
      <c r="A443" s="84" t="s">
        <v>633</v>
      </c>
      <c r="B443" s="85" t="s">
        <v>42</v>
      </c>
      <c r="C443" s="85" t="s">
        <v>464</v>
      </c>
      <c r="D443" s="85" t="s">
        <v>852</v>
      </c>
      <c r="E443" s="86" t="s">
        <v>373</v>
      </c>
      <c r="F443" s="85" t="s">
        <v>349</v>
      </c>
      <c r="G443" s="85" t="s">
        <v>312</v>
      </c>
      <c r="H443" s="85" t="s">
        <v>9</v>
      </c>
      <c r="I443" s="85" t="s">
        <v>258</v>
      </c>
      <c r="J443" s="86" t="s">
        <v>313</v>
      </c>
      <c r="K443" s="85" t="s">
        <v>346</v>
      </c>
      <c r="L443" s="87">
        <v>78</v>
      </c>
      <c r="M443" s="87">
        <f t="shared" si="117"/>
        <v>79.949999999999989</v>
      </c>
      <c r="N443" s="88">
        <f>prodnorm46</f>
        <v>0</v>
      </c>
      <c r="O443" s="33">
        <f>dagwerk46</f>
        <v>0</v>
      </c>
      <c r="P443" s="85" t="s">
        <v>109</v>
      </c>
      <c r="Q443" s="21">
        <f>uurtarief46</f>
        <v>0</v>
      </c>
      <c r="R443" s="87" t="e">
        <f t="shared" si="118"/>
        <v>#DIV/0!</v>
      </c>
      <c r="S443" s="87" t="e">
        <f t="shared" si="119"/>
        <v>#DIV/0!</v>
      </c>
      <c r="T443" s="21" t="e">
        <f t="shared" si="120"/>
        <v>#DIV/0!</v>
      </c>
      <c r="U443" s="87" t="e">
        <f t="shared" si="121"/>
        <v>#DIV/0!</v>
      </c>
      <c r="V443" s="22" t="e">
        <f t="shared" si="122"/>
        <v>#DIV/0!</v>
      </c>
    </row>
    <row r="444" spans="1:22" x14ac:dyDescent="0.25">
      <c r="A444" s="84" t="s">
        <v>633</v>
      </c>
      <c r="B444" s="85" t="s">
        <v>42</v>
      </c>
      <c r="C444" s="85" t="s">
        <v>464</v>
      </c>
      <c r="D444" s="85" t="s">
        <v>853</v>
      </c>
      <c r="E444" s="86" t="s">
        <v>590</v>
      </c>
      <c r="F444" s="85" t="s">
        <v>353</v>
      </c>
      <c r="G444" s="85" t="s">
        <v>257</v>
      </c>
      <c r="H444" s="85" t="s">
        <v>12</v>
      </c>
      <c r="I444" s="85" t="s">
        <v>258</v>
      </c>
      <c r="J444" s="86" t="s">
        <v>259</v>
      </c>
      <c r="K444" s="85" t="s">
        <v>365</v>
      </c>
      <c r="L444" s="87">
        <v>16.399999999999999</v>
      </c>
      <c r="M444" s="87">
        <f t="shared" si="117"/>
        <v>10.085999999999999</v>
      </c>
      <c r="N444" s="88">
        <f>prodnorm5</f>
        <v>0</v>
      </c>
      <c r="O444" s="33">
        <f>dagwerk5</f>
        <v>0</v>
      </c>
      <c r="P444" s="85" t="s">
        <v>109</v>
      </c>
      <c r="Q444" s="21">
        <f>uurtarief5</f>
        <v>0</v>
      </c>
      <c r="R444" s="87" t="e">
        <f t="shared" si="118"/>
        <v>#DIV/0!</v>
      </c>
      <c r="S444" s="87" t="e">
        <f t="shared" si="119"/>
        <v>#DIV/0!</v>
      </c>
      <c r="T444" s="21" t="e">
        <f t="shared" si="120"/>
        <v>#DIV/0!</v>
      </c>
      <c r="U444" s="87" t="e">
        <f t="shared" si="121"/>
        <v>#DIV/0!</v>
      </c>
      <c r="V444" s="22" t="e">
        <f t="shared" si="122"/>
        <v>#DIV/0!</v>
      </c>
    </row>
    <row r="445" spans="1:22" x14ac:dyDescent="0.25">
      <c r="A445" s="84" t="s">
        <v>633</v>
      </c>
      <c r="B445" s="85" t="s">
        <v>42</v>
      </c>
      <c r="C445" s="85" t="s">
        <v>464</v>
      </c>
      <c r="D445" s="85" t="s">
        <v>853</v>
      </c>
      <c r="E445" s="86" t="s">
        <v>590</v>
      </c>
      <c r="F445" s="85" t="s">
        <v>353</v>
      </c>
      <c r="G445" s="85" t="s">
        <v>262</v>
      </c>
      <c r="H445" s="85" t="s">
        <v>14</v>
      </c>
      <c r="I445" s="85" t="s">
        <v>258</v>
      </c>
      <c r="J445" s="86" t="s">
        <v>263</v>
      </c>
      <c r="K445" s="85" t="s">
        <v>365</v>
      </c>
      <c r="L445" s="87">
        <v>16.399999999999999</v>
      </c>
      <c r="M445" s="87">
        <f t="shared" si="117"/>
        <v>6.7239999999999993</v>
      </c>
      <c r="N445" s="88">
        <f>prodnorm10</f>
        <v>0</v>
      </c>
      <c r="O445" s="33">
        <f>dagwerk10</f>
        <v>0</v>
      </c>
      <c r="P445" s="85" t="s">
        <v>109</v>
      </c>
      <c r="Q445" s="21">
        <f>uurtarief10</f>
        <v>0</v>
      </c>
      <c r="R445" s="87" t="e">
        <f t="shared" si="118"/>
        <v>#DIV/0!</v>
      </c>
      <c r="S445" s="87" t="e">
        <f t="shared" si="119"/>
        <v>#DIV/0!</v>
      </c>
      <c r="T445" s="21" t="e">
        <f t="shared" si="120"/>
        <v>#DIV/0!</v>
      </c>
      <c r="U445" s="87" t="e">
        <f t="shared" si="121"/>
        <v>#DIV/0!</v>
      </c>
      <c r="V445" s="22" t="e">
        <f t="shared" si="122"/>
        <v>#DIV/0!</v>
      </c>
    </row>
    <row r="446" spans="1:22" x14ac:dyDescent="0.25">
      <c r="A446" s="84" t="s">
        <v>633</v>
      </c>
      <c r="B446" s="85" t="s">
        <v>42</v>
      </c>
      <c r="C446" s="85" t="s">
        <v>464</v>
      </c>
      <c r="D446" s="85" t="s">
        <v>854</v>
      </c>
      <c r="E446" s="86" t="s">
        <v>473</v>
      </c>
      <c r="F446" s="85" t="s">
        <v>353</v>
      </c>
      <c r="G446" s="85" t="s">
        <v>257</v>
      </c>
      <c r="H446" s="85" t="s">
        <v>12</v>
      </c>
      <c r="I446" s="85" t="s">
        <v>258</v>
      </c>
      <c r="J446" s="86" t="s">
        <v>259</v>
      </c>
      <c r="K446" s="85" t="s">
        <v>365</v>
      </c>
      <c r="L446" s="87">
        <v>16.3</v>
      </c>
      <c r="M446" s="87">
        <f t="shared" si="117"/>
        <v>10.0245</v>
      </c>
      <c r="N446" s="88">
        <f>prodnorm5</f>
        <v>0</v>
      </c>
      <c r="O446" s="33">
        <f>dagwerk5</f>
        <v>0</v>
      </c>
      <c r="P446" s="85" t="s">
        <v>109</v>
      </c>
      <c r="Q446" s="21">
        <f>uurtarief5</f>
        <v>0</v>
      </c>
      <c r="R446" s="87" t="e">
        <f t="shared" si="118"/>
        <v>#DIV/0!</v>
      </c>
      <c r="S446" s="87" t="e">
        <f t="shared" si="119"/>
        <v>#DIV/0!</v>
      </c>
      <c r="T446" s="21" t="e">
        <f t="shared" si="120"/>
        <v>#DIV/0!</v>
      </c>
      <c r="U446" s="87" t="e">
        <f t="shared" si="121"/>
        <v>#DIV/0!</v>
      </c>
      <c r="V446" s="22" t="e">
        <f t="shared" si="122"/>
        <v>#DIV/0!</v>
      </c>
    </row>
    <row r="447" spans="1:22" x14ac:dyDescent="0.25">
      <c r="A447" s="84" t="s">
        <v>633</v>
      </c>
      <c r="B447" s="85" t="s">
        <v>42</v>
      </c>
      <c r="C447" s="85" t="s">
        <v>464</v>
      </c>
      <c r="D447" s="85" t="s">
        <v>854</v>
      </c>
      <c r="E447" s="86" t="s">
        <v>473</v>
      </c>
      <c r="F447" s="85" t="s">
        <v>353</v>
      </c>
      <c r="G447" s="85" t="s">
        <v>266</v>
      </c>
      <c r="H447" s="85" t="s">
        <v>14</v>
      </c>
      <c r="I447" s="85" t="s">
        <v>258</v>
      </c>
      <c r="J447" s="86" t="s">
        <v>267</v>
      </c>
      <c r="K447" s="85" t="s">
        <v>365</v>
      </c>
      <c r="L447" s="87">
        <v>16.3</v>
      </c>
      <c r="M447" s="87">
        <f t="shared" si="117"/>
        <v>6.6829999999999998</v>
      </c>
      <c r="N447" s="88">
        <f>prodnorm13</f>
        <v>0</v>
      </c>
      <c r="O447" s="33">
        <f>dagwerk13</f>
        <v>0</v>
      </c>
      <c r="P447" s="85" t="s">
        <v>109</v>
      </c>
      <c r="Q447" s="21">
        <f>uurtarief13</f>
        <v>0</v>
      </c>
      <c r="R447" s="87" t="e">
        <f t="shared" si="118"/>
        <v>#DIV/0!</v>
      </c>
      <c r="S447" s="87" t="e">
        <f t="shared" si="119"/>
        <v>#DIV/0!</v>
      </c>
      <c r="T447" s="21" t="e">
        <f t="shared" si="120"/>
        <v>#DIV/0!</v>
      </c>
      <c r="U447" s="87" t="e">
        <f t="shared" si="121"/>
        <v>#DIV/0!</v>
      </c>
      <c r="V447" s="22" t="e">
        <f t="shared" si="122"/>
        <v>#DIV/0!</v>
      </c>
    </row>
    <row r="448" spans="1:22" x14ac:dyDescent="0.25">
      <c r="A448" s="90" t="s">
        <v>633</v>
      </c>
      <c r="B448" s="91" t="s">
        <v>42</v>
      </c>
      <c r="C448" s="91" t="s">
        <v>464</v>
      </c>
      <c r="D448" s="91" t="s">
        <v>855</v>
      </c>
      <c r="E448" s="92" t="s">
        <v>570</v>
      </c>
      <c r="F448" s="91" t="s">
        <v>349</v>
      </c>
      <c r="G448" s="91" t="s">
        <v>350</v>
      </c>
      <c r="H448" s="91"/>
      <c r="I448" s="91"/>
      <c r="J448" s="91"/>
      <c r="K448" s="91" t="s">
        <v>42</v>
      </c>
      <c r="L448" s="93">
        <v>26.2</v>
      </c>
      <c r="M448" s="93"/>
      <c r="N448" s="94"/>
      <c r="O448" s="95"/>
      <c r="P448" s="91"/>
      <c r="Q448" s="30"/>
      <c r="R448" s="93"/>
      <c r="S448" s="93"/>
      <c r="T448" s="30"/>
      <c r="U448" s="97"/>
      <c r="V448" s="31"/>
    </row>
    <row r="449" spans="1:22" x14ac:dyDescent="0.25">
      <c r="A449" s="96" t="s">
        <v>631</v>
      </c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8" t="e">
        <f>IF(_xlfn.SINGLE(object2_urenjaar1)&gt;0,_xlfn.SINGLE(object2_prijsjaar1)/_xlfn.SINGLE(object2_urenjaar1),0)</f>
        <v>#DIV/0!</v>
      </c>
      <c r="R449" s="67" t="e">
        <f>SUM(R249:R448)</f>
        <v>#DIV/0!</v>
      </c>
      <c r="S449" s="67" t="e">
        <f>SUM(S249:S448)</f>
        <v>#DIV/0!</v>
      </c>
      <c r="T449" s="68" t="e">
        <f>SUM(T249:T448)</f>
        <v>#DIV/0!</v>
      </c>
      <c r="U449" s="67" t="e">
        <f>SUM(U249:U448)</f>
        <v>#DIV/0!</v>
      </c>
      <c r="V449" s="69" t="e">
        <f>SUM(V249:V448)</f>
        <v>#DIV/0!</v>
      </c>
    </row>
    <row r="450" spans="1:22" x14ac:dyDescent="0.25">
      <c r="A450" s="74" t="s">
        <v>856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75"/>
    </row>
    <row r="451" spans="1:22" x14ac:dyDescent="0.25">
      <c r="A451" s="76" t="s">
        <v>857</v>
      </c>
      <c r="B451" s="77" t="s">
        <v>42</v>
      </c>
      <c r="C451" s="77" t="s">
        <v>342</v>
      </c>
      <c r="D451" s="77" t="s">
        <v>858</v>
      </c>
      <c r="E451" s="78" t="s">
        <v>859</v>
      </c>
      <c r="F451" s="77" t="s">
        <v>349</v>
      </c>
      <c r="G451" s="77" t="s">
        <v>282</v>
      </c>
      <c r="H451" s="77" t="s">
        <v>9</v>
      </c>
      <c r="I451" s="77" t="s">
        <v>258</v>
      </c>
      <c r="J451" s="78" t="s">
        <v>283</v>
      </c>
      <c r="K451" s="77" t="s">
        <v>386</v>
      </c>
      <c r="L451" s="79">
        <v>55.56</v>
      </c>
      <c r="M451" s="79">
        <f t="shared" ref="M451:M493" si="126">L451*VLOOKUP(H451,dagsoorttabel1,2,FALSE)</f>
        <v>56.948999999999998</v>
      </c>
      <c r="N451" s="80">
        <f>prodnorm24</f>
        <v>0</v>
      </c>
      <c r="O451" s="81">
        <f>dagwerk24</f>
        <v>0</v>
      </c>
      <c r="P451" s="77" t="s">
        <v>109</v>
      </c>
      <c r="Q451" s="82">
        <f>uurtarief24</f>
        <v>0</v>
      </c>
      <c r="R451" s="79" t="e">
        <f t="shared" ref="R451:R493" si="127">IF(ISBLANK(N451),0,M451/ROUND(N451,4))</f>
        <v>#DIV/0!</v>
      </c>
      <c r="S451" s="79" t="e">
        <f t="shared" ref="S451:S493" si="128">IF(ISBLANK(N451),0,R451*ROUND(O451,2))</f>
        <v>#DIV/0!</v>
      </c>
      <c r="T451" s="82" t="e">
        <f t="shared" ref="T451:T493" si="129">ROUND(Q451,2)*R451</f>
        <v>#DIV/0!</v>
      </c>
      <c r="U451" s="79" t="e">
        <f t="shared" ref="U451:U493" si="130">R451*dagenperjaar1</f>
        <v>#DIV/0!</v>
      </c>
      <c r="V451" s="83" t="e">
        <f t="shared" ref="V451:V493" si="131">U451*ROUND(Q451,2)</f>
        <v>#DIV/0!</v>
      </c>
    </row>
    <row r="452" spans="1:22" x14ac:dyDescent="0.25">
      <c r="A452" s="84" t="s">
        <v>857</v>
      </c>
      <c r="B452" s="85" t="s">
        <v>42</v>
      </c>
      <c r="C452" s="85" t="s">
        <v>342</v>
      </c>
      <c r="D452" s="85" t="s">
        <v>860</v>
      </c>
      <c r="E452" s="86" t="s">
        <v>859</v>
      </c>
      <c r="F452" s="85" t="s">
        <v>349</v>
      </c>
      <c r="G452" s="85" t="s">
        <v>282</v>
      </c>
      <c r="H452" s="85" t="s">
        <v>9</v>
      </c>
      <c r="I452" s="85" t="s">
        <v>258</v>
      </c>
      <c r="J452" s="86" t="s">
        <v>283</v>
      </c>
      <c r="K452" s="85" t="s">
        <v>386</v>
      </c>
      <c r="L452" s="87">
        <v>55.56</v>
      </c>
      <c r="M452" s="87">
        <f t="shared" si="126"/>
        <v>56.948999999999998</v>
      </c>
      <c r="N452" s="88">
        <f>prodnorm24</f>
        <v>0</v>
      </c>
      <c r="O452" s="33">
        <f>dagwerk24</f>
        <v>0</v>
      </c>
      <c r="P452" s="85" t="s">
        <v>109</v>
      </c>
      <c r="Q452" s="21">
        <f>uurtarief24</f>
        <v>0</v>
      </c>
      <c r="R452" s="87" t="e">
        <f t="shared" si="127"/>
        <v>#DIV/0!</v>
      </c>
      <c r="S452" s="87" t="e">
        <f t="shared" si="128"/>
        <v>#DIV/0!</v>
      </c>
      <c r="T452" s="21" t="e">
        <f t="shared" si="129"/>
        <v>#DIV/0!</v>
      </c>
      <c r="U452" s="87" t="e">
        <f t="shared" si="130"/>
        <v>#DIV/0!</v>
      </c>
      <c r="V452" s="22" t="e">
        <f t="shared" si="131"/>
        <v>#DIV/0!</v>
      </c>
    </row>
    <row r="453" spans="1:22" x14ac:dyDescent="0.25">
      <c r="A453" s="84" t="s">
        <v>857</v>
      </c>
      <c r="B453" s="85" t="s">
        <v>42</v>
      </c>
      <c r="C453" s="85" t="s">
        <v>342</v>
      </c>
      <c r="D453" s="85" t="s">
        <v>861</v>
      </c>
      <c r="E453" s="86" t="s">
        <v>862</v>
      </c>
      <c r="F453" s="85" t="s">
        <v>353</v>
      </c>
      <c r="G453" s="85" t="s">
        <v>257</v>
      </c>
      <c r="H453" s="85" t="s">
        <v>12</v>
      </c>
      <c r="I453" s="85" t="s">
        <v>258</v>
      </c>
      <c r="J453" s="86" t="s">
        <v>259</v>
      </c>
      <c r="K453" s="85" t="s">
        <v>365</v>
      </c>
      <c r="L453" s="87">
        <v>26</v>
      </c>
      <c r="M453" s="87">
        <f t="shared" si="126"/>
        <v>15.99</v>
      </c>
      <c r="N453" s="88">
        <f>prodnorm5</f>
        <v>0</v>
      </c>
      <c r="O453" s="33">
        <f>dagwerk5</f>
        <v>0</v>
      </c>
      <c r="P453" s="85" t="s">
        <v>109</v>
      </c>
      <c r="Q453" s="21">
        <f>uurtarief5</f>
        <v>0</v>
      </c>
      <c r="R453" s="87" t="e">
        <f t="shared" si="127"/>
        <v>#DIV/0!</v>
      </c>
      <c r="S453" s="87" t="e">
        <f t="shared" si="128"/>
        <v>#DIV/0!</v>
      </c>
      <c r="T453" s="21" t="e">
        <f t="shared" si="129"/>
        <v>#DIV/0!</v>
      </c>
      <c r="U453" s="87" t="e">
        <f t="shared" si="130"/>
        <v>#DIV/0!</v>
      </c>
      <c r="V453" s="22" t="e">
        <f t="shared" si="131"/>
        <v>#DIV/0!</v>
      </c>
    </row>
    <row r="454" spans="1:22" x14ac:dyDescent="0.25">
      <c r="A454" s="84" t="s">
        <v>857</v>
      </c>
      <c r="B454" s="85" t="s">
        <v>42</v>
      </c>
      <c r="C454" s="85" t="s">
        <v>342</v>
      </c>
      <c r="D454" s="85" t="s">
        <v>861</v>
      </c>
      <c r="E454" s="86" t="s">
        <v>862</v>
      </c>
      <c r="F454" s="85" t="s">
        <v>353</v>
      </c>
      <c r="G454" s="85" t="s">
        <v>262</v>
      </c>
      <c r="H454" s="85" t="s">
        <v>14</v>
      </c>
      <c r="I454" s="85" t="s">
        <v>258</v>
      </c>
      <c r="J454" s="86" t="s">
        <v>263</v>
      </c>
      <c r="K454" s="85" t="s">
        <v>365</v>
      </c>
      <c r="L454" s="87">
        <v>26</v>
      </c>
      <c r="M454" s="87">
        <f t="shared" si="126"/>
        <v>10.66</v>
      </c>
      <c r="N454" s="88">
        <f>prodnorm10</f>
        <v>0</v>
      </c>
      <c r="O454" s="33">
        <f>dagwerk10</f>
        <v>0</v>
      </c>
      <c r="P454" s="85" t="s">
        <v>109</v>
      </c>
      <c r="Q454" s="21">
        <f>uurtarief10</f>
        <v>0</v>
      </c>
      <c r="R454" s="87" t="e">
        <f t="shared" si="127"/>
        <v>#DIV/0!</v>
      </c>
      <c r="S454" s="87" t="e">
        <f t="shared" si="128"/>
        <v>#DIV/0!</v>
      </c>
      <c r="T454" s="21" t="e">
        <f t="shared" si="129"/>
        <v>#DIV/0!</v>
      </c>
      <c r="U454" s="87" t="e">
        <f t="shared" si="130"/>
        <v>#DIV/0!</v>
      </c>
      <c r="V454" s="22" t="e">
        <f t="shared" si="131"/>
        <v>#DIV/0!</v>
      </c>
    </row>
    <row r="455" spans="1:22" x14ac:dyDescent="0.25">
      <c r="A455" s="84" t="s">
        <v>857</v>
      </c>
      <c r="B455" s="85" t="s">
        <v>42</v>
      </c>
      <c r="C455" s="85" t="s">
        <v>342</v>
      </c>
      <c r="D455" s="85" t="s">
        <v>863</v>
      </c>
      <c r="E455" s="86" t="s">
        <v>864</v>
      </c>
      <c r="F455" s="85" t="s">
        <v>353</v>
      </c>
      <c r="G455" s="85" t="s">
        <v>284</v>
      </c>
      <c r="H455" s="85" t="s">
        <v>9</v>
      </c>
      <c r="I455" s="85" t="s">
        <v>258</v>
      </c>
      <c r="J455" s="86" t="s">
        <v>285</v>
      </c>
      <c r="K455" s="85" t="s">
        <v>386</v>
      </c>
      <c r="L455" s="87">
        <v>18.25</v>
      </c>
      <c r="M455" s="87">
        <f t="shared" si="126"/>
        <v>18.706249999999997</v>
      </c>
      <c r="N455" s="88">
        <f>prodnorm25</f>
        <v>0</v>
      </c>
      <c r="O455" s="33">
        <f>dagwerk25</f>
        <v>0</v>
      </c>
      <c r="P455" s="85" t="s">
        <v>109</v>
      </c>
      <c r="Q455" s="21">
        <f>uurtarief25</f>
        <v>0</v>
      </c>
      <c r="R455" s="87" t="e">
        <f t="shared" si="127"/>
        <v>#DIV/0!</v>
      </c>
      <c r="S455" s="87" t="e">
        <f t="shared" si="128"/>
        <v>#DIV/0!</v>
      </c>
      <c r="T455" s="21" t="e">
        <f t="shared" si="129"/>
        <v>#DIV/0!</v>
      </c>
      <c r="U455" s="87" t="e">
        <f t="shared" si="130"/>
        <v>#DIV/0!</v>
      </c>
      <c r="V455" s="22" t="e">
        <f t="shared" si="131"/>
        <v>#DIV/0!</v>
      </c>
    </row>
    <row r="456" spans="1:22" x14ac:dyDescent="0.25">
      <c r="A456" s="84" t="s">
        <v>857</v>
      </c>
      <c r="B456" s="85" t="s">
        <v>42</v>
      </c>
      <c r="C456" s="85" t="s">
        <v>342</v>
      </c>
      <c r="D456" s="85" t="s">
        <v>865</v>
      </c>
      <c r="E456" s="86" t="s">
        <v>866</v>
      </c>
      <c r="F456" s="85" t="s">
        <v>353</v>
      </c>
      <c r="G456" s="85" t="s">
        <v>257</v>
      </c>
      <c r="H456" s="85" t="s">
        <v>12</v>
      </c>
      <c r="I456" s="85" t="s">
        <v>258</v>
      </c>
      <c r="J456" s="86" t="s">
        <v>259</v>
      </c>
      <c r="K456" s="85" t="s">
        <v>365</v>
      </c>
      <c r="L456" s="87">
        <v>6.5</v>
      </c>
      <c r="M456" s="87">
        <f t="shared" si="126"/>
        <v>3.9975000000000001</v>
      </c>
      <c r="N456" s="88">
        <f>prodnorm5</f>
        <v>0</v>
      </c>
      <c r="O456" s="33">
        <f>dagwerk5</f>
        <v>0</v>
      </c>
      <c r="P456" s="85" t="s">
        <v>109</v>
      </c>
      <c r="Q456" s="21">
        <f>uurtarief5</f>
        <v>0</v>
      </c>
      <c r="R456" s="87" t="e">
        <f t="shared" si="127"/>
        <v>#DIV/0!</v>
      </c>
      <c r="S456" s="87" t="e">
        <f t="shared" si="128"/>
        <v>#DIV/0!</v>
      </c>
      <c r="T456" s="21" t="e">
        <f t="shared" si="129"/>
        <v>#DIV/0!</v>
      </c>
      <c r="U456" s="87" t="e">
        <f t="shared" si="130"/>
        <v>#DIV/0!</v>
      </c>
      <c r="V456" s="22" t="e">
        <f t="shared" si="131"/>
        <v>#DIV/0!</v>
      </c>
    </row>
    <row r="457" spans="1:22" x14ac:dyDescent="0.25">
      <c r="A457" s="84" t="s">
        <v>857</v>
      </c>
      <c r="B457" s="85" t="s">
        <v>42</v>
      </c>
      <c r="C457" s="85" t="s">
        <v>342</v>
      </c>
      <c r="D457" s="85" t="s">
        <v>865</v>
      </c>
      <c r="E457" s="86" t="s">
        <v>866</v>
      </c>
      <c r="F457" s="85" t="s">
        <v>353</v>
      </c>
      <c r="G457" s="85" t="s">
        <v>266</v>
      </c>
      <c r="H457" s="85" t="s">
        <v>14</v>
      </c>
      <c r="I457" s="85" t="s">
        <v>258</v>
      </c>
      <c r="J457" s="86" t="s">
        <v>267</v>
      </c>
      <c r="K457" s="85" t="s">
        <v>365</v>
      </c>
      <c r="L457" s="87">
        <v>6.5</v>
      </c>
      <c r="M457" s="87">
        <f t="shared" si="126"/>
        <v>2.665</v>
      </c>
      <c r="N457" s="88">
        <f>prodnorm13</f>
        <v>0</v>
      </c>
      <c r="O457" s="33">
        <f>dagwerk13</f>
        <v>0</v>
      </c>
      <c r="P457" s="85" t="s">
        <v>109</v>
      </c>
      <c r="Q457" s="21">
        <f>uurtarief13</f>
        <v>0</v>
      </c>
      <c r="R457" s="87" t="e">
        <f t="shared" si="127"/>
        <v>#DIV/0!</v>
      </c>
      <c r="S457" s="87" t="e">
        <f t="shared" si="128"/>
        <v>#DIV/0!</v>
      </c>
      <c r="T457" s="21" t="e">
        <f t="shared" si="129"/>
        <v>#DIV/0!</v>
      </c>
      <c r="U457" s="87" t="e">
        <f t="shared" si="130"/>
        <v>#DIV/0!</v>
      </c>
      <c r="V457" s="22" t="e">
        <f t="shared" si="131"/>
        <v>#DIV/0!</v>
      </c>
    </row>
    <row r="458" spans="1:22" x14ac:dyDescent="0.25">
      <c r="A458" s="84" t="s">
        <v>857</v>
      </c>
      <c r="B458" s="85" t="s">
        <v>42</v>
      </c>
      <c r="C458" s="85" t="s">
        <v>342</v>
      </c>
      <c r="D458" s="85" t="s">
        <v>867</v>
      </c>
      <c r="E458" s="86" t="s">
        <v>859</v>
      </c>
      <c r="F458" s="85" t="s">
        <v>349</v>
      </c>
      <c r="G458" s="85" t="s">
        <v>282</v>
      </c>
      <c r="H458" s="85" t="s">
        <v>9</v>
      </c>
      <c r="I458" s="85" t="s">
        <v>258</v>
      </c>
      <c r="J458" s="86" t="s">
        <v>283</v>
      </c>
      <c r="K458" s="85" t="s">
        <v>386</v>
      </c>
      <c r="L458" s="87">
        <v>55.56</v>
      </c>
      <c r="M458" s="87">
        <f t="shared" si="126"/>
        <v>56.948999999999998</v>
      </c>
      <c r="N458" s="88">
        <f t="shared" ref="N458:N463" si="132">prodnorm24</f>
        <v>0</v>
      </c>
      <c r="O458" s="33">
        <f t="shared" ref="O458:O463" si="133">dagwerk24</f>
        <v>0</v>
      </c>
      <c r="P458" s="85" t="s">
        <v>109</v>
      </c>
      <c r="Q458" s="21">
        <f t="shared" ref="Q458:Q463" si="134">uurtarief24</f>
        <v>0</v>
      </c>
      <c r="R458" s="87" t="e">
        <f t="shared" si="127"/>
        <v>#DIV/0!</v>
      </c>
      <c r="S458" s="87" t="e">
        <f t="shared" si="128"/>
        <v>#DIV/0!</v>
      </c>
      <c r="T458" s="21" t="e">
        <f t="shared" si="129"/>
        <v>#DIV/0!</v>
      </c>
      <c r="U458" s="87" t="e">
        <f t="shared" si="130"/>
        <v>#DIV/0!</v>
      </c>
      <c r="V458" s="22" t="e">
        <f t="shared" si="131"/>
        <v>#DIV/0!</v>
      </c>
    </row>
    <row r="459" spans="1:22" x14ac:dyDescent="0.25">
      <c r="A459" s="84" t="s">
        <v>857</v>
      </c>
      <c r="B459" s="85" t="s">
        <v>42</v>
      </c>
      <c r="C459" s="85" t="s">
        <v>342</v>
      </c>
      <c r="D459" s="85" t="s">
        <v>868</v>
      </c>
      <c r="E459" s="86" t="s">
        <v>859</v>
      </c>
      <c r="F459" s="85" t="s">
        <v>349</v>
      </c>
      <c r="G459" s="85" t="s">
        <v>282</v>
      </c>
      <c r="H459" s="85" t="s">
        <v>9</v>
      </c>
      <c r="I459" s="85" t="s">
        <v>258</v>
      </c>
      <c r="J459" s="86" t="s">
        <v>283</v>
      </c>
      <c r="K459" s="85" t="s">
        <v>386</v>
      </c>
      <c r="L459" s="87">
        <v>55.56</v>
      </c>
      <c r="M459" s="87">
        <f t="shared" si="126"/>
        <v>56.948999999999998</v>
      </c>
      <c r="N459" s="88">
        <f t="shared" si="132"/>
        <v>0</v>
      </c>
      <c r="O459" s="33">
        <f t="shared" si="133"/>
        <v>0</v>
      </c>
      <c r="P459" s="85" t="s">
        <v>109</v>
      </c>
      <c r="Q459" s="21">
        <f t="shared" si="134"/>
        <v>0</v>
      </c>
      <c r="R459" s="87" t="e">
        <f t="shared" si="127"/>
        <v>#DIV/0!</v>
      </c>
      <c r="S459" s="87" t="e">
        <f t="shared" si="128"/>
        <v>#DIV/0!</v>
      </c>
      <c r="T459" s="21" t="e">
        <f t="shared" si="129"/>
        <v>#DIV/0!</v>
      </c>
      <c r="U459" s="87" t="e">
        <f t="shared" si="130"/>
        <v>#DIV/0!</v>
      </c>
      <c r="V459" s="22" t="e">
        <f t="shared" si="131"/>
        <v>#DIV/0!</v>
      </c>
    </row>
    <row r="460" spans="1:22" x14ac:dyDescent="0.25">
      <c r="A460" s="84" t="s">
        <v>857</v>
      </c>
      <c r="B460" s="85" t="s">
        <v>42</v>
      </c>
      <c r="C460" s="85" t="s">
        <v>342</v>
      </c>
      <c r="D460" s="85" t="s">
        <v>869</v>
      </c>
      <c r="E460" s="86" t="s">
        <v>859</v>
      </c>
      <c r="F460" s="85" t="s">
        <v>349</v>
      </c>
      <c r="G460" s="85" t="s">
        <v>282</v>
      </c>
      <c r="H460" s="85" t="s">
        <v>9</v>
      </c>
      <c r="I460" s="85" t="s">
        <v>258</v>
      </c>
      <c r="J460" s="86" t="s">
        <v>283</v>
      </c>
      <c r="K460" s="85" t="s">
        <v>386</v>
      </c>
      <c r="L460" s="87">
        <v>55.56</v>
      </c>
      <c r="M460" s="87">
        <f t="shared" si="126"/>
        <v>56.948999999999998</v>
      </c>
      <c r="N460" s="88">
        <f t="shared" si="132"/>
        <v>0</v>
      </c>
      <c r="O460" s="33">
        <f t="shared" si="133"/>
        <v>0</v>
      </c>
      <c r="P460" s="85" t="s">
        <v>109</v>
      </c>
      <c r="Q460" s="21">
        <f t="shared" si="134"/>
        <v>0</v>
      </c>
      <c r="R460" s="87" t="e">
        <f t="shared" si="127"/>
        <v>#DIV/0!</v>
      </c>
      <c r="S460" s="87" t="e">
        <f t="shared" si="128"/>
        <v>#DIV/0!</v>
      </c>
      <c r="T460" s="21" t="e">
        <f t="shared" si="129"/>
        <v>#DIV/0!</v>
      </c>
      <c r="U460" s="87" t="e">
        <f t="shared" si="130"/>
        <v>#DIV/0!</v>
      </c>
      <c r="V460" s="22" t="e">
        <f t="shared" si="131"/>
        <v>#DIV/0!</v>
      </c>
    </row>
    <row r="461" spans="1:22" x14ac:dyDescent="0.25">
      <c r="A461" s="84" t="s">
        <v>857</v>
      </c>
      <c r="B461" s="85" t="s">
        <v>42</v>
      </c>
      <c r="C461" s="85" t="s">
        <v>342</v>
      </c>
      <c r="D461" s="85" t="s">
        <v>870</v>
      </c>
      <c r="E461" s="86" t="s">
        <v>859</v>
      </c>
      <c r="F461" s="85" t="s">
        <v>349</v>
      </c>
      <c r="G461" s="85" t="s">
        <v>282</v>
      </c>
      <c r="H461" s="85" t="s">
        <v>9</v>
      </c>
      <c r="I461" s="85" t="s">
        <v>258</v>
      </c>
      <c r="J461" s="86" t="s">
        <v>283</v>
      </c>
      <c r="K461" s="85" t="s">
        <v>386</v>
      </c>
      <c r="L461" s="87">
        <v>55.56</v>
      </c>
      <c r="M461" s="87">
        <f t="shared" si="126"/>
        <v>56.948999999999998</v>
      </c>
      <c r="N461" s="88">
        <f t="shared" si="132"/>
        <v>0</v>
      </c>
      <c r="O461" s="33">
        <f t="shared" si="133"/>
        <v>0</v>
      </c>
      <c r="P461" s="85" t="s">
        <v>109</v>
      </c>
      <c r="Q461" s="21">
        <f t="shared" si="134"/>
        <v>0</v>
      </c>
      <c r="R461" s="87" t="e">
        <f t="shared" si="127"/>
        <v>#DIV/0!</v>
      </c>
      <c r="S461" s="87" t="e">
        <f t="shared" si="128"/>
        <v>#DIV/0!</v>
      </c>
      <c r="T461" s="21" t="e">
        <f t="shared" si="129"/>
        <v>#DIV/0!</v>
      </c>
      <c r="U461" s="87" t="e">
        <f t="shared" si="130"/>
        <v>#DIV/0!</v>
      </c>
      <c r="V461" s="22" t="e">
        <f t="shared" si="131"/>
        <v>#DIV/0!</v>
      </c>
    </row>
    <row r="462" spans="1:22" x14ac:dyDescent="0.25">
      <c r="A462" s="84" t="s">
        <v>857</v>
      </c>
      <c r="B462" s="85" t="s">
        <v>42</v>
      </c>
      <c r="C462" s="85" t="s">
        <v>342</v>
      </c>
      <c r="D462" s="85" t="s">
        <v>871</v>
      </c>
      <c r="E462" s="86" t="s">
        <v>859</v>
      </c>
      <c r="F462" s="85" t="s">
        <v>349</v>
      </c>
      <c r="G462" s="85" t="s">
        <v>282</v>
      </c>
      <c r="H462" s="85" t="s">
        <v>9</v>
      </c>
      <c r="I462" s="85" t="s">
        <v>258</v>
      </c>
      <c r="J462" s="86" t="s">
        <v>283</v>
      </c>
      <c r="K462" s="85" t="s">
        <v>386</v>
      </c>
      <c r="L462" s="87">
        <v>93.28</v>
      </c>
      <c r="M462" s="87">
        <f t="shared" si="126"/>
        <v>95.611999999999995</v>
      </c>
      <c r="N462" s="88">
        <f t="shared" si="132"/>
        <v>0</v>
      </c>
      <c r="O462" s="33">
        <f t="shared" si="133"/>
        <v>0</v>
      </c>
      <c r="P462" s="85" t="s">
        <v>109</v>
      </c>
      <c r="Q462" s="21">
        <f t="shared" si="134"/>
        <v>0</v>
      </c>
      <c r="R462" s="87" t="e">
        <f t="shared" si="127"/>
        <v>#DIV/0!</v>
      </c>
      <c r="S462" s="87" t="e">
        <f t="shared" si="128"/>
        <v>#DIV/0!</v>
      </c>
      <c r="T462" s="21" t="e">
        <f t="shared" si="129"/>
        <v>#DIV/0!</v>
      </c>
      <c r="U462" s="87" t="e">
        <f t="shared" si="130"/>
        <v>#DIV/0!</v>
      </c>
      <c r="V462" s="22" t="e">
        <f t="shared" si="131"/>
        <v>#DIV/0!</v>
      </c>
    </row>
    <row r="463" spans="1:22" x14ac:dyDescent="0.25">
      <c r="A463" s="84" t="s">
        <v>857</v>
      </c>
      <c r="B463" s="85" t="s">
        <v>42</v>
      </c>
      <c r="C463" s="85" t="s">
        <v>342</v>
      </c>
      <c r="D463" s="85" t="s">
        <v>872</v>
      </c>
      <c r="E463" s="86" t="s">
        <v>873</v>
      </c>
      <c r="F463" s="85" t="s">
        <v>349</v>
      </c>
      <c r="G463" s="85" t="s">
        <v>282</v>
      </c>
      <c r="H463" s="85" t="s">
        <v>9</v>
      </c>
      <c r="I463" s="85" t="s">
        <v>258</v>
      </c>
      <c r="J463" s="86" t="s">
        <v>283</v>
      </c>
      <c r="K463" s="85" t="s">
        <v>386</v>
      </c>
      <c r="L463" s="87">
        <v>93.28</v>
      </c>
      <c r="M463" s="87">
        <f t="shared" si="126"/>
        <v>95.611999999999995</v>
      </c>
      <c r="N463" s="88">
        <f t="shared" si="132"/>
        <v>0</v>
      </c>
      <c r="O463" s="33">
        <f t="shared" si="133"/>
        <v>0</v>
      </c>
      <c r="P463" s="85" t="s">
        <v>109</v>
      </c>
      <c r="Q463" s="21">
        <f t="shared" si="134"/>
        <v>0</v>
      </c>
      <c r="R463" s="87" t="e">
        <f t="shared" si="127"/>
        <v>#DIV/0!</v>
      </c>
      <c r="S463" s="87" t="e">
        <f t="shared" si="128"/>
        <v>#DIV/0!</v>
      </c>
      <c r="T463" s="21" t="e">
        <f t="shared" si="129"/>
        <v>#DIV/0!</v>
      </c>
      <c r="U463" s="87" t="e">
        <f t="shared" si="130"/>
        <v>#DIV/0!</v>
      </c>
      <c r="V463" s="22" t="e">
        <f t="shared" si="131"/>
        <v>#DIV/0!</v>
      </c>
    </row>
    <row r="464" spans="1:22" x14ac:dyDescent="0.25">
      <c r="A464" s="84" t="s">
        <v>857</v>
      </c>
      <c r="B464" s="85" t="s">
        <v>42</v>
      </c>
      <c r="C464" s="85" t="s">
        <v>342</v>
      </c>
      <c r="D464" s="85" t="s">
        <v>874</v>
      </c>
      <c r="E464" s="86" t="s">
        <v>875</v>
      </c>
      <c r="F464" s="85" t="s">
        <v>349</v>
      </c>
      <c r="G464" s="85" t="s">
        <v>257</v>
      </c>
      <c r="H464" s="85" t="s">
        <v>12</v>
      </c>
      <c r="I464" s="85" t="s">
        <v>258</v>
      </c>
      <c r="J464" s="86" t="s">
        <v>259</v>
      </c>
      <c r="K464" s="85" t="s">
        <v>365</v>
      </c>
      <c r="L464" s="87">
        <v>44.86</v>
      </c>
      <c r="M464" s="87">
        <f t="shared" si="126"/>
        <v>27.588899999999999</v>
      </c>
      <c r="N464" s="88">
        <f>prodnorm5</f>
        <v>0</v>
      </c>
      <c r="O464" s="33">
        <f>dagwerk5</f>
        <v>0</v>
      </c>
      <c r="P464" s="85" t="s">
        <v>109</v>
      </c>
      <c r="Q464" s="21">
        <f>uurtarief5</f>
        <v>0</v>
      </c>
      <c r="R464" s="87" t="e">
        <f t="shared" si="127"/>
        <v>#DIV/0!</v>
      </c>
      <c r="S464" s="87" t="e">
        <f t="shared" si="128"/>
        <v>#DIV/0!</v>
      </c>
      <c r="T464" s="21" t="e">
        <f t="shared" si="129"/>
        <v>#DIV/0!</v>
      </c>
      <c r="U464" s="87" t="e">
        <f t="shared" si="130"/>
        <v>#DIV/0!</v>
      </c>
      <c r="V464" s="22" t="e">
        <f t="shared" si="131"/>
        <v>#DIV/0!</v>
      </c>
    </row>
    <row r="465" spans="1:22" x14ac:dyDescent="0.25">
      <c r="A465" s="84" t="s">
        <v>857</v>
      </c>
      <c r="B465" s="85" t="s">
        <v>42</v>
      </c>
      <c r="C465" s="85" t="s">
        <v>342</v>
      </c>
      <c r="D465" s="85" t="s">
        <v>874</v>
      </c>
      <c r="E465" s="86" t="s">
        <v>875</v>
      </c>
      <c r="F465" s="85" t="s">
        <v>349</v>
      </c>
      <c r="G465" s="85" t="s">
        <v>260</v>
      </c>
      <c r="H465" s="85" t="s">
        <v>14</v>
      </c>
      <c r="I465" s="85" t="s">
        <v>258</v>
      </c>
      <c r="J465" s="86" t="s">
        <v>261</v>
      </c>
      <c r="K465" s="85" t="s">
        <v>365</v>
      </c>
      <c r="L465" s="87">
        <v>44.86</v>
      </c>
      <c r="M465" s="87">
        <f t="shared" si="126"/>
        <v>18.392599999999998</v>
      </c>
      <c r="N465" s="88">
        <f>prodnorm7</f>
        <v>0</v>
      </c>
      <c r="O465" s="33">
        <f>dagwerk7</f>
        <v>0</v>
      </c>
      <c r="P465" s="85" t="s">
        <v>109</v>
      </c>
      <c r="Q465" s="21">
        <f>uurtarief7</f>
        <v>0</v>
      </c>
      <c r="R465" s="87" t="e">
        <f t="shared" si="127"/>
        <v>#DIV/0!</v>
      </c>
      <c r="S465" s="87" t="e">
        <f t="shared" si="128"/>
        <v>#DIV/0!</v>
      </c>
      <c r="T465" s="21" t="e">
        <f t="shared" si="129"/>
        <v>#DIV/0!</v>
      </c>
      <c r="U465" s="87" t="e">
        <f t="shared" si="130"/>
        <v>#DIV/0!</v>
      </c>
      <c r="V465" s="22" t="e">
        <f t="shared" si="131"/>
        <v>#DIV/0!</v>
      </c>
    </row>
    <row r="466" spans="1:22" x14ac:dyDescent="0.25">
      <c r="A466" s="84" t="s">
        <v>857</v>
      </c>
      <c r="B466" s="85" t="s">
        <v>42</v>
      </c>
      <c r="C466" s="85" t="s">
        <v>342</v>
      </c>
      <c r="D466" s="85" t="s">
        <v>876</v>
      </c>
      <c r="E466" s="86" t="s">
        <v>590</v>
      </c>
      <c r="F466" s="85" t="s">
        <v>349</v>
      </c>
      <c r="G466" s="85" t="s">
        <v>257</v>
      </c>
      <c r="H466" s="85" t="s">
        <v>12</v>
      </c>
      <c r="I466" s="85" t="s">
        <v>258</v>
      </c>
      <c r="J466" s="86" t="s">
        <v>259</v>
      </c>
      <c r="K466" s="85" t="s">
        <v>365</v>
      </c>
      <c r="L466" s="87">
        <v>10.7</v>
      </c>
      <c r="M466" s="87">
        <f t="shared" si="126"/>
        <v>6.5804999999999998</v>
      </c>
      <c r="N466" s="88">
        <f>prodnorm5</f>
        <v>0</v>
      </c>
      <c r="O466" s="33">
        <f>dagwerk5</f>
        <v>0</v>
      </c>
      <c r="P466" s="85" t="s">
        <v>109</v>
      </c>
      <c r="Q466" s="21">
        <f>uurtarief5</f>
        <v>0</v>
      </c>
      <c r="R466" s="87" t="e">
        <f t="shared" si="127"/>
        <v>#DIV/0!</v>
      </c>
      <c r="S466" s="87" t="e">
        <f t="shared" si="128"/>
        <v>#DIV/0!</v>
      </c>
      <c r="T466" s="21" t="e">
        <f t="shared" si="129"/>
        <v>#DIV/0!</v>
      </c>
      <c r="U466" s="87" t="e">
        <f t="shared" si="130"/>
        <v>#DIV/0!</v>
      </c>
      <c r="V466" s="22" t="e">
        <f t="shared" si="131"/>
        <v>#DIV/0!</v>
      </c>
    </row>
    <row r="467" spans="1:22" x14ac:dyDescent="0.25">
      <c r="A467" s="84" t="s">
        <v>857</v>
      </c>
      <c r="B467" s="85" t="s">
        <v>42</v>
      </c>
      <c r="C467" s="85" t="s">
        <v>342</v>
      </c>
      <c r="D467" s="85" t="s">
        <v>876</v>
      </c>
      <c r="E467" s="86" t="s">
        <v>590</v>
      </c>
      <c r="F467" s="85" t="s">
        <v>349</v>
      </c>
      <c r="G467" s="85" t="s">
        <v>260</v>
      </c>
      <c r="H467" s="85" t="s">
        <v>14</v>
      </c>
      <c r="I467" s="85" t="s">
        <v>258</v>
      </c>
      <c r="J467" s="86" t="s">
        <v>261</v>
      </c>
      <c r="K467" s="85" t="s">
        <v>365</v>
      </c>
      <c r="L467" s="87">
        <v>10.7</v>
      </c>
      <c r="M467" s="87">
        <f t="shared" si="126"/>
        <v>4.3869999999999996</v>
      </c>
      <c r="N467" s="88">
        <f>prodnorm7</f>
        <v>0</v>
      </c>
      <c r="O467" s="33">
        <f>dagwerk7</f>
        <v>0</v>
      </c>
      <c r="P467" s="85" t="s">
        <v>109</v>
      </c>
      <c r="Q467" s="21">
        <f>uurtarief7</f>
        <v>0</v>
      </c>
      <c r="R467" s="87" t="e">
        <f t="shared" si="127"/>
        <v>#DIV/0!</v>
      </c>
      <c r="S467" s="87" t="e">
        <f t="shared" si="128"/>
        <v>#DIV/0!</v>
      </c>
      <c r="T467" s="21" t="e">
        <f t="shared" si="129"/>
        <v>#DIV/0!</v>
      </c>
      <c r="U467" s="87" t="e">
        <f t="shared" si="130"/>
        <v>#DIV/0!</v>
      </c>
      <c r="V467" s="22" t="e">
        <f t="shared" si="131"/>
        <v>#DIV/0!</v>
      </c>
    </row>
    <row r="468" spans="1:22" x14ac:dyDescent="0.25">
      <c r="A468" s="84" t="s">
        <v>857</v>
      </c>
      <c r="B468" s="85" t="s">
        <v>42</v>
      </c>
      <c r="C468" s="85" t="s">
        <v>342</v>
      </c>
      <c r="D468" s="85" t="s">
        <v>877</v>
      </c>
      <c r="E468" s="86" t="s">
        <v>859</v>
      </c>
      <c r="F468" s="85" t="s">
        <v>349</v>
      </c>
      <c r="G468" s="85" t="s">
        <v>282</v>
      </c>
      <c r="H468" s="85" t="s">
        <v>9</v>
      </c>
      <c r="I468" s="85" t="s">
        <v>258</v>
      </c>
      <c r="J468" s="86" t="s">
        <v>283</v>
      </c>
      <c r="K468" s="85" t="s">
        <v>386</v>
      </c>
      <c r="L468" s="87">
        <v>90.2</v>
      </c>
      <c r="M468" s="87">
        <f t="shared" si="126"/>
        <v>92.454999999999998</v>
      </c>
      <c r="N468" s="88">
        <f>prodnorm24</f>
        <v>0</v>
      </c>
      <c r="O468" s="33">
        <f>dagwerk24</f>
        <v>0</v>
      </c>
      <c r="P468" s="85" t="s">
        <v>109</v>
      </c>
      <c r="Q468" s="21">
        <f>uurtarief24</f>
        <v>0</v>
      </c>
      <c r="R468" s="87" t="e">
        <f t="shared" si="127"/>
        <v>#DIV/0!</v>
      </c>
      <c r="S468" s="87" t="e">
        <f t="shared" si="128"/>
        <v>#DIV/0!</v>
      </c>
      <c r="T468" s="21" t="e">
        <f t="shared" si="129"/>
        <v>#DIV/0!</v>
      </c>
      <c r="U468" s="87" t="e">
        <f t="shared" si="130"/>
        <v>#DIV/0!</v>
      </c>
      <c r="V468" s="22" t="e">
        <f t="shared" si="131"/>
        <v>#DIV/0!</v>
      </c>
    </row>
    <row r="469" spans="1:22" x14ac:dyDescent="0.25">
      <c r="A469" s="84" t="s">
        <v>857</v>
      </c>
      <c r="B469" s="85" t="s">
        <v>42</v>
      </c>
      <c r="C469" s="85" t="s">
        <v>342</v>
      </c>
      <c r="D469" s="85" t="s">
        <v>878</v>
      </c>
      <c r="E469" s="86" t="s">
        <v>590</v>
      </c>
      <c r="F469" s="85" t="s">
        <v>349</v>
      </c>
      <c r="G469" s="85" t="s">
        <v>257</v>
      </c>
      <c r="H469" s="85" t="s">
        <v>12</v>
      </c>
      <c r="I469" s="85" t="s">
        <v>258</v>
      </c>
      <c r="J469" s="86" t="s">
        <v>259</v>
      </c>
      <c r="K469" s="85" t="s">
        <v>365</v>
      </c>
      <c r="L469" s="87">
        <v>55.56</v>
      </c>
      <c r="M469" s="87">
        <f t="shared" si="126"/>
        <v>34.169400000000003</v>
      </c>
      <c r="N469" s="88">
        <f>prodnorm5</f>
        <v>0</v>
      </c>
      <c r="O469" s="33">
        <f>dagwerk5</f>
        <v>0</v>
      </c>
      <c r="P469" s="85" t="s">
        <v>109</v>
      </c>
      <c r="Q469" s="21">
        <f>uurtarief5</f>
        <v>0</v>
      </c>
      <c r="R469" s="87" t="e">
        <f t="shared" si="127"/>
        <v>#DIV/0!</v>
      </c>
      <c r="S469" s="87" t="e">
        <f t="shared" si="128"/>
        <v>#DIV/0!</v>
      </c>
      <c r="T469" s="21" t="e">
        <f t="shared" si="129"/>
        <v>#DIV/0!</v>
      </c>
      <c r="U469" s="87" t="e">
        <f t="shared" si="130"/>
        <v>#DIV/0!</v>
      </c>
      <c r="V469" s="22" t="e">
        <f t="shared" si="131"/>
        <v>#DIV/0!</v>
      </c>
    </row>
    <row r="470" spans="1:22" x14ac:dyDescent="0.25">
      <c r="A470" s="84" t="s">
        <v>857</v>
      </c>
      <c r="B470" s="85" t="s">
        <v>42</v>
      </c>
      <c r="C470" s="85" t="s">
        <v>342</v>
      </c>
      <c r="D470" s="85" t="s">
        <v>878</v>
      </c>
      <c r="E470" s="86" t="s">
        <v>590</v>
      </c>
      <c r="F470" s="85" t="s">
        <v>349</v>
      </c>
      <c r="G470" s="85" t="s">
        <v>260</v>
      </c>
      <c r="H470" s="85" t="s">
        <v>14</v>
      </c>
      <c r="I470" s="85" t="s">
        <v>258</v>
      </c>
      <c r="J470" s="86" t="s">
        <v>261</v>
      </c>
      <c r="K470" s="85" t="s">
        <v>365</v>
      </c>
      <c r="L470" s="87">
        <v>55.56</v>
      </c>
      <c r="M470" s="87">
        <f t="shared" si="126"/>
        <v>22.779599999999999</v>
      </c>
      <c r="N470" s="88">
        <f>prodnorm7</f>
        <v>0</v>
      </c>
      <c r="O470" s="33">
        <f>dagwerk7</f>
        <v>0</v>
      </c>
      <c r="P470" s="85" t="s">
        <v>109</v>
      </c>
      <c r="Q470" s="21">
        <f>uurtarief7</f>
        <v>0</v>
      </c>
      <c r="R470" s="87" t="e">
        <f t="shared" si="127"/>
        <v>#DIV/0!</v>
      </c>
      <c r="S470" s="87" t="e">
        <f t="shared" si="128"/>
        <v>#DIV/0!</v>
      </c>
      <c r="T470" s="21" t="e">
        <f t="shared" si="129"/>
        <v>#DIV/0!</v>
      </c>
      <c r="U470" s="87" t="e">
        <f t="shared" si="130"/>
        <v>#DIV/0!</v>
      </c>
      <c r="V470" s="22" t="e">
        <f t="shared" si="131"/>
        <v>#DIV/0!</v>
      </c>
    </row>
    <row r="471" spans="1:22" x14ac:dyDescent="0.25">
      <c r="A471" s="84" t="s">
        <v>857</v>
      </c>
      <c r="B471" s="85" t="s">
        <v>42</v>
      </c>
      <c r="C471" s="85" t="s">
        <v>342</v>
      </c>
      <c r="D471" s="85" t="s">
        <v>879</v>
      </c>
      <c r="E471" s="86" t="s">
        <v>873</v>
      </c>
      <c r="F471" s="85" t="s">
        <v>349</v>
      </c>
      <c r="G471" s="85" t="s">
        <v>282</v>
      </c>
      <c r="H471" s="85" t="s">
        <v>9</v>
      </c>
      <c r="I471" s="85" t="s">
        <v>258</v>
      </c>
      <c r="J471" s="86" t="s">
        <v>283</v>
      </c>
      <c r="K471" s="85" t="s">
        <v>386</v>
      </c>
      <c r="L471" s="87">
        <v>55.56</v>
      </c>
      <c r="M471" s="87">
        <f t="shared" si="126"/>
        <v>56.948999999999998</v>
      </c>
      <c r="N471" s="88">
        <f>prodnorm24</f>
        <v>0</v>
      </c>
      <c r="O471" s="33">
        <f>dagwerk24</f>
        <v>0</v>
      </c>
      <c r="P471" s="85" t="s">
        <v>109</v>
      </c>
      <c r="Q471" s="21">
        <f>uurtarief24</f>
        <v>0</v>
      </c>
      <c r="R471" s="87" t="e">
        <f t="shared" si="127"/>
        <v>#DIV/0!</v>
      </c>
      <c r="S471" s="87" t="e">
        <f t="shared" si="128"/>
        <v>#DIV/0!</v>
      </c>
      <c r="T471" s="21" t="e">
        <f t="shared" si="129"/>
        <v>#DIV/0!</v>
      </c>
      <c r="U471" s="87" t="e">
        <f t="shared" si="130"/>
        <v>#DIV/0!</v>
      </c>
      <c r="V471" s="22" t="e">
        <f t="shared" si="131"/>
        <v>#DIV/0!</v>
      </c>
    </row>
    <row r="472" spans="1:22" x14ac:dyDescent="0.25">
      <c r="A472" s="84" t="s">
        <v>857</v>
      </c>
      <c r="B472" s="85" t="s">
        <v>42</v>
      </c>
      <c r="C472" s="85" t="s">
        <v>342</v>
      </c>
      <c r="D472" s="85" t="s">
        <v>880</v>
      </c>
      <c r="E472" s="86" t="s">
        <v>873</v>
      </c>
      <c r="F472" s="85" t="s">
        <v>349</v>
      </c>
      <c r="G472" s="85" t="s">
        <v>282</v>
      </c>
      <c r="H472" s="85" t="s">
        <v>9</v>
      </c>
      <c r="I472" s="85" t="s">
        <v>258</v>
      </c>
      <c r="J472" s="86" t="s">
        <v>283</v>
      </c>
      <c r="K472" s="85" t="s">
        <v>386</v>
      </c>
      <c r="L472" s="87">
        <v>56.15</v>
      </c>
      <c r="M472" s="87">
        <f t="shared" si="126"/>
        <v>57.553749999999994</v>
      </c>
      <c r="N472" s="88">
        <f>prodnorm24</f>
        <v>0</v>
      </c>
      <c r="O472" s="33">
        <f>dagwerk24</f>
        <v>0</v>
      </c>
      <c r="P472" s="85" t="s">
        <v>109</v>
      </c>
      <c r="Q472" s="21">
        <f>uurtarief24</f>
        <v>0</v>
      </c>
      <c r="R472" s="87" t="e">
        <f t="shared" si="127"/>
        <v>#DIV/0!</v>
      </c>
      <c r="S472" s="87" t="e">
        <f t="shared" si="128"/>
        <v>#DIV/0!</v>
      </c>
      <c r="T472" s="21" t="e">
        <f t="shared" si="129"/>
        <v>#DIV/0!</v>
      </c>
      <c r="U472" s="87" t="e">
        <f t="shared" si="130"/>
        <v>#DIV/0!</v>
      </c>
      <c r="V472" s="22" t="e">
        <f t="shared" si="131"/>
        <v>#DIV/0!</v>
      </c>
    </row>
    <row r="473" spans="1:22" x14ac:dyDescent="0.25">
      <c r="A473" s="84" t="s">
        <v>857</v>
      </c>
      <c r="B473" s="85" t="s">
        <v>42</v>
      </c>
      <c r="C473" s="85" t="s">
        <v>342</v>
      </c>
      <c r="D473" s="85" t="s">
        <v>881</v>
      </c>
      <c r="E473" s="86" t="s">
        <v>882</v>
      </c>
      <c r="F473" s="85" t="s">
        <v>666</v>
      </c>
      <c r="G473" s="85" t="s">
        <v>310</v>
      </c>
      <c r="H473" s="85" t="s">
        <v>9</v>
      </c>
      <c r="I473" s="85" t="s">
        <v>258</v>
      </c>
      <c r="J473" s="86" t="s">
        <v>311</v>
      </c>
      <c r="K473" s="85" t="s">
        <v>417</v>
      </c>
      <c r="L473" s="87">
        <v>9</v>
      </c>
      <c r="M473" s="87">
        <f t="shared" si="126"/>
        <v>9.2249999999999996</v>
      </c>
      <c r="N473" s="88">
        <f>prodnorm45</f>
        <v>0</v>
      </c>
      <c r="O473" s="33">
        <f>dagwerk45</f>
        <v>0</v>
      </c>
      <c r="P473" s="85" t="s">
        <v>109</v>
      </c>
      <c r="Q473" s="21">
        <f>uurtarief45</f>
        <v>0</v>
      </c>
      <c r="R473" s="87" t="e">
        <f t="shared" si="127"/>
        <v>#DIV/0!</v>
      </c>
      <c r="S473" s="87" t="e">
        <f t="shared" si="128"/>
        <v>#DIV/0!</v>
      </c>
      <c r="T473" s="21" t="e">
        <f t="shared" si="129"/>
        <v>#DIV/0!</v>
      </c>
      <c r="U473" s="87" t="e">
        <f t="shared" si="130"/>
        <v>#DIV/0!</v>
      </c>
      <c r="V473" s="22" t="e">
        <f t="shared" si="131"/>
        <v>#DIV/0!</v>
      </c>
    </row>
    <row r="474" spans="1:22" x14ac:dyDescent="0.25">
      <c r="A474" s="84" t="s">
        <v>857</v>
      </c>
      <c r="B474" s="85" t="s">
        <v>42</v>
      </c>
      <c r="C474" s="85" t="s">
        <v>342</v>
      </c>
      <c r="D474" s="85" t="s">
        <v>883</v>
      </c>
      <c r="E474" s="86" t="s">
        <v>859</v>
      </c>
      <c r="F474" s="85" t="s">
        <v>349</v>
      </c>
      <c r="G474" s="85" t="s">
        <v>282</v>
      </c>
      <c r="H474" s="85" t="s">
        <v>9</v>
      </c>
      <c r="I474" s="85" t="s">
        <v>258</v>
      </c>
      <c r="J474" s="86" t="s">
        <v>283</v>
      </c>
      <c r="K474" s="85" t="s">
        <v>386</v>
      </c>
      <c r="L474" s="87">
        <v>56.15</v>
      </c>
      <c r="M474" s="87">
        <f t="shared" si="126"/>
        <v>57.553749999999994</v>
      </c>
      <c r="N474" s="88">
        <f>prodnorm24</f>
        <v>0</v>
      </c>
      <c r="O474" s="33">
        <f>dagwerk24</f>
        <v>0</v>
      </c>
      <c r="P474" s="85" t="s">
        <v>109</v>
      </c>
      <c r="Q474" s="21">
        <f>uurtarief24</f>
        <v>0</v>
      </c>
      <c r="R474" s="87" t="e">
        <f t="shared" si="127"/>
        <v>#DIV/0!</v>
      </c>
      <c r="S474" s="87" t="e">
        <f t="shared" si="128"/>
        <v>#DIV/0!</v>
      </c>
      <c r="T474" s="21" t="e">
        <f t="shared" si="129"/>
        <v>#DIV/0!</v>
      </c>
      <c r="U474" s="87" t="e">
        <f t="shared" si="130"/>
        <v>#DIV/0!</v>
      </c>
      <c r="V474" s="22" t="e">
        <f t="shared" si="131"/>
        <v>#DIV/0!</v>
      </c>
    </row>
    <row r="475" spans="1:22" x14ac:dyDescent="0.25">
      <c r="A475" s="84" t="s">
        <v>857</v>
      </c>
      <c r="B475" s="85" t="s">
        <v>42</v>
      </c>
      <c r="C475" s="85" t="s">
        <v>342</v>
      </c>
      <c r="D475" s="85" t="s">
        <v>884</v>
      </c>
      <c r="E475" s="86" t="s">
        <v>885</v>
      </c>
      <c r="F475" s="85" t="s">
        <v>349</v>
      </c>
      <c r="G475" s="85" t="s">
        <v>274</v>
      </c>
      <c r="H475" s="85" t="s">
        <v>9</v>
      </c>
      <c r="I475" s="85" t="s">
        <v>258</v>
      </c>
      <c r="J475" s="86" t="s">
        <v>275</v>
      </c>
      <c r="K475" s="85" t="s">
        <v>346</v>
      </c>
      <c r="L475" s="87">
        <v>63.449999999999996</v>
      </c>
      <c r="M475" s="87">
        <f t="shared" si="126"/>
        <v>65.036249999999995</v>
      </c>
      <c r="N475" s="88">
        <f>prodnorm20</f>
        <v>0</v>
      </c>
      <c r="O475" s="33">
        <f>dagwerk20</f>
        <v>0</v>
      </c>
      <c r="P475" s="85" t="s">
        <v>109</v>
      </c>
      <c r="Q475" s="21">
        <f>uurtarief20</f>
        <v>0</v>
      </c>
      <c r="R475" s="87" t="e">
        <f t="shared" si="127"/>
        <v>#DIV/0!</v>
      </c>
      <c r="S475" s="87" t="e">
        <f t="shared" si="128"/>
        <v>#DIV/0!</v>
      </c>
      <c r="T475" s="21" t="e">
        <f t="shared" si="129"/>
        <v>#DIV/0!</v>
      </c>
      <c r="U475" s="87" t="e">
        <f t="shared" si="130"/>
        <v>#DIV/0!</v>
      </c>
      <c r="V475" s="22" t="e">
        <f t="shared" si="131"/>
        <v>#DIV/0!</v>
      </c>
    </row>
    <row r="476" spans="1:22" x14ac:dyDescent="0.25">
      <c r="A476" s="84" t="s">
        <v>857</v>
      </c>
      <c r="B476" s="85" t="s">
        <v>42</v>
      </c>
      <c r="C476" s="85" t="s">
        <v>342</v>
      </c>
      <c r="D476" s="85" t="s">
        <v>886</v>
      </c>
      <c r="E476" s="86" t="s">
        <v>367</v>
      </c>
      <c r="F476" s="85" t="s">
        <v>345</v>
      </c>
      <c r="G476" s="85" t="s">
        <v>257</v>
      </c>
      <c r="H476" s="85" t="s">
        <v>12</v>
      </c>
      <c r="I476" s="85" t="s">
        <v>258</v>
      </c>
      <c r="J476" s="86" t="s">
        <v>259</v>
      </c>
      <c r="K476" s="85" t="s">
        <v>365</v>
      </c>
      <c r="L476" s="87">
        <v>23</v>
      </c>
      <c r="M476" s="87">
        <f t="shared" si="126"/>
        <v>14.145</v>
      </c>
      <c r="N476" s="88">
        <f>prodnorm5</f>
        <v>0</v>
      </c>
      <c r="O476" s="33">
        <f>dagwerk5</f>
        <v>0</v>
      </c>
      <c r="P476" s="85" t="s">
        <v>109</v>
      </c>
      <c r="Q476" s="21">
        <f>uurtarief5</f>
        <v>0</v>
      </c>
      <c r="R476" s="87" t="e">
        <f t="shared" si="127"/>
        <v>#DIV/0!</v>
      </c>
      <c r="S476" s="87" t="e">
        <f t="shared" si="128"/>
        <v>#DIV/0!</v>
      </c>
      <c r="T476" s="21" t="e">
        <f t="shared" si="129"/>
        <v>#DIV/0!</v>
      </c>
      <c r="U476" s="87" t="e">
        <f t="shared" si="130"/>
        <v>#DIV/0!</v>
      </c>
      <c r="V476" s="22" t="e">
        <f t="shared" si="131"/>
        <v>#DIV/0!</v>
      </c>
    </row>
    <row r="477" spans="1:22" x14ac:dyDescent="0.25">
      <c r="A477" s="84" t="s">
        <v>857</v>
      </c>
      <c r="B477" s="85" t="s">
        <v>42</v>
      </c>
      <c r="C477" s="85" t="s">
        <v>342</v>
      </c>
      <c r="D477" s="85" t="s">
        <v>886</v>
      </c>
      <c r="E477" s="86" t="s">
        <v>367</v>
      </c>
      <c r="F477" s="85" t="s">
        <v>345</v>
      </c>
      <c r="G477" s="85" t="s">
        <v>260</v>
      </c>
      <c r="H477" s="85" t="s">
        <v>14</v>
      </c>
      <c r="I477" s="85" t="s">
        <v>258</v>
      </c>
      <c r="J477" s="86" t="s">
        <v>261</v>
      </c>
      <c r="K477" s="85" t="s">
        <v>365</v>
      </c>
      <c r="L477" s="87">
        <v>23</v>
      </c>
      <c r="M477" s="87">
        <f t="shared" si="126"/>
        <v>9.43</v>
      </c>
      <c r="N477" s="88">
        <f>prodnorm7</f>
        <v>0</v>
      </c>
      <c r="O477" s="33">
        <f>dagwerk7</f>
        <v>0</v>
      </c>
      <c r="P477" s="85" t="s">
        <v>109</v>
      </c>
      <c r="Q477" s="21">
        <f>uurtarief7</f>
        <v>0</v>
      </c>
      <c r="R477" s="87" t="e">
        <f t="shared" si="127"/>
        <v>#DIV/0!</v>
      </c>
      <c r="S477" s="87" t="e">
        <f t="shared" si="128"/>
        <v>#DIV/0!</v>
      </c>
      <c r="T477" s="21" t="e">
        <f t="shared" si="129"/>
        <v>#DIV/0!</v>
      </c>
      <c r="U477" s="87" t="e">
        <f t="shared" si="130"/>
        <v>#DIV/0!</v>
      </c>
      <c r="V477" s="22" t="e">
        <f t="shared" si="131"/>
        <v>#DIV/0!</v>
      </c>
    </row>
    <row r="478" spans="1:22" x14ac:dyDescent="0.25">
      <c r="A478" s="84" t="s">
        <v>857</v>
      </c>
      <c r="B478" s="85" t="s">
        <v>42</v>
      </c>
      <c r="C478" s="85" t="s">
        <v>342</v>
      </c>
      <c r="D478" s="85" t="s">
        <v>887</v>
      </c>
      <c r="E478" s="86" t="s">
        <v>888</v>
      </c>
      <c r="F478" s="85" t="s">
        <v>345</v>
      </c>
      <c r="G478" s="85" t="s">
        <v>260</v>
      </c>
      <c r="H478" s="85" t="s">
        <v>14</v>
      </c>
      <c r="I478" s="85" t="s">
        <v>258</v>
      </c>
      <c r="J478" s="86" t="s">
        <v>261</v>
      </c>
      <c r="K478" s="85" t="s">
        <v>365</v>
      </c>
      <c r="L478" s="87">
        <v>2.1</v>
      </c>
      <c r="M478" s="87">
        <f t="shared" si="126"/>
        <v>0.86099999999999999</v>
      </c>
      <c r="N478" s="88">
        <f>prodnorm7</f>
        <v>0</v>
      </c>
      <c r="O478" s="33">
        <f>dagwerk7</f>
        <v>0</v>
      </c>
      <c r="P478" s="85" t="s">
        <v>109</v>
      </c>
      <c r="Q478" s="21">
        <f>uurtarief7</f>
        <v>0</v>
      </c>
      <c r="R478" s="87" t="e">
        <f t="shared" si="127"/>
        <v>#DIV/0!</v>
      </c>
      <c r="S478" s="87" t="e">
        <f t="shared" si="128"/>
        <v>#DIV/0!</v>
      </c>
      <c r="T478" s="21" t="e">
        <f t="shared" si="129"/>
        <v>#DIV/0!</v>
      </c>
      <c r="U478" s="87" t="e">
        <f t="shared" si="130"/>
        <v>#DIV/0!</v>
      </c>
      <c r="V478" s="22" t="e">
        <f t="shared" si="131"/>
        <v>#DIV/0!</v>
      </c>
    </row>
    <row r="479" spans="1:22" x14ac:dyDescent="0.25">
      <c r="A479" s="84" t="s">
        <v>857</v>
      </c>
      <c r="B479" s="85" t="s">
        <v>42</v>
      </c>
      <c r="C479" s="85" t="s">
        <v>342</v>
      </c>
      <c r="D479" s="85" t="s">
        <v>889</v>
      </c>
      <c r="E479" s="86" t="s">
        <v>888</v>
      </c>
      <c r="F479" s="85" t="s">
        <v>345</v>
      </c>
      <c r="G479" s="85" t="s">
        <v>260</v>
      </c>
      <c r="H479" s="85" t="s">
        <v>14</v>
      </c>
      <c r="I479" s="85" t="s">
        <v>258</v>
      </c>
      <c r="J479" s="86" t="s">
        <v>261</v>
      </c>
      <c r="K479" s="85" t="s">
        <v>365</v>
      </c>
      <c r="L479" s="87">
        <v>2.1</v>
      </c>
      <c r="M479" s="87">
        <f t="shared" si="126"/>
        <v>0.86099999999999999</v>
      </c>
      <c r="N479" s="88">
        <f>prodnorm7</f>
        <v>0</v>
      </c>
      <c r="O479" s="33">
        <f>dagwerk7</f>
        <v>0</v>
      </c>
      <c r="P479" s="85" t="s">
        <v>109</v>
      </c>
      <c r="Q479" s="21">
        <f>uurtarief7</f>
        <v>0</v>
      </c>
      <c r="R479" s="87" t="e">
        <f t="shared" si="127"/>
        <v>#DIV/0!</v>
      </c>
      <c r="S479" s="87" t="e">
        <f t="shared" si="128"/>
        <v>#DIV/0!</v>
      </c>
      <c r="T479" s="21" t="e">
        <f t="shared" si="129"/>
        <v>#DIV/0!</v>
      </c>
      <c r="U479" s="87" t="e">
        <f t="shared" si="130"/>
        <v>#DIV/0!</v>
      </c>
      <c r="V479" s="22" t="e">
        <f t="shared" si="131"/>
        <v>#DIV/0!</v>
      </c>
    </row>
    <row r="480" spans="1:22" x14ac:dyDescent="0.25">
      <c r="A480" s="84" t="s">
        <v>857</v>
      </c>
      <c r="B480" s="85" t="s">
        <v>42</v>
      </c>
      <c r="C480" s="85" t="s">
        <v>342</v>
      </c>
      <c r="D480" s="85" t="s">
        <v>890</v>
      </c>
      <c r="E480" s="86" t="s">
        <v>866</v>
      </c>
      <c r="F480" s="85" t="s">
        <v>353</v>
      </c>
      <c r="G480" s="85" t="s">
        <v>257</v>
      </c>
      <c r="H480" s="85" t="s">
        <v>12</v>
      </c>
      <c r="I480" s="85" t="s">
        <v>258</v>
      </c>
      <c r="J480" s="86" t="s">
        <v>259</v>
      </c>
      <c r="K480" s="85" t="s">
        <v>365</v>
      </c>
      <c r="L480" s="87">
        <v>12.1</v>
      </c>
      <c r="M480" s="87">
        <f t="shared" si="126"/>
        <v>7.4414999999999996</v>
      </c>
      <c r="N480" s="88">
        <f>prodnorm5</f>
        <v>0</v>
      </c>
      <c r="O480" s="33">
        <f>dagwerk5</f>
        <v>0</v>
      </c>
      <c r="P480" s="85" t="s">
        <v>109</v>
      </c>
      <c r="Q480" s="21">
        <f>uurtarief5</f>
        <v>0</v>
      </c>
      <c r="R480" s="87" t="e">
        <f t="shared" si="127"/>
        <v>#DIV/0!</v>
      </c>
      <c r="S480" s="87" t="e">
        <f t="shared" si="128"/>
        <v>#DIV/0!</v>
      </c>
      <c r="T480" s="21" t="e">
        <f t="shared" si="129"/>
        <v>#DIV/0!</v>
      </c>
      <c r="U480" s="87" t="e">
        <f t="shared" si="130"/>
        <v>#DIV/0!</v>
      </c>
      <c r="V480" s="22" t="e">
        <f t="shared" si="131"/>
        <v>#DIV/0!</v>
      </c>
    </row>
    <row r="481" spans="1:22" x14ac:dyDescent="0.25">
      <c r="A481" s="84" t="s">
        <v>857</v>
      </c>
      <c r="B481" s="85" t="s">
        <v>42</v>
      </c>
      <c r="C481" s="85" t="s">
        <v>342</v>
      </c>
      <c r="D481" s="85" t="s">
        <v>890</v>
      </c>
      <c r="E481" s="86" t="s">
        <v>866</v>
      </c>
      <c r="F481" s="85" t="s">
        <v>353</v>
      </c>
      <c r="G481" s="85" t="s">
        <v>266</v>
      </c>
      <c r="H481" s="85" t="s">
        <v>14</v>
      </c>
      <c r="I481" s="85" t="s">
        <v>258</v>
      </c>
      <c r="J481" s="86" t="s">
        <v>267</v>
      </c>
      <c r="K481" s="85" t="s">
        <v>365</v>
      </c>
      <c r="L481" s="87">
        <v>12.1</v>
      </c>
      <c r="M481" s="87">
        <f t="shared" si="126"/>
        <v>4.9609999999999994</v>
      </c>
      <c r="N481" s="88">
        <f>prodnorm13</f>
        <v>0</v>
      </c>
      <c r="O481" s="33">
        <f>dagwerk13</f>
        <v>0</v>
      </c>
      <c r="P481" s="85" t="s">
        <v>109</v>
      </c>
      <c r="Q481" s="21">
        <f>uurtarief13</f>
        <v>0</v>
      </c>
      <c r="R481" s="87" t="e">
        <f t="shared" si="127"/>
        <v>#DIV/0!</v>
      </c>
      <c r="S481" s="87" t="e">
        <f t="shared" si="128"/>
        <v>#DIV/0!</v>
      </c>
      <c r="T481" s="21" t="e">
        <f t="shared" si="129"/>
        <v>#DIV/0!</v>
      </c>
      <c r="U481" s="87" t="e">
        <f t="shared" si="130"/>
        <v>#DIV/0!</v>
      </c>
      <c r="V481" s="22" t="e">
        <f t="shared" si="131"/>
        <v>#DIV/0!</v>
      </c>
    </row>
    <row r="482" spans="1:22" x14ac:dyDescent="0.25">
      <c r="A482" s="84" t="s">
        <v>857</v>
      </c>
      <c r="B482" s="85" t="s">
        <v>42</v>
      </c>
      <c r="C482" s="85" t="s">
        <v>342</v>
      </c>
      <c r="D482" s="85" t="s">
        <v>891</v>
      </c>
      <c r="E482" s="86" t="s">
        <v>892</v>
      </c>
      <c r="F482" s="85" t="s">
        <v>349</v>
      </c>
      <c r="G482" s="85" t="s">
        <v>312</v>
      </c>
      <c r="H482" s="85" t="s">
        <v>9</v>
      </c>
      <c r="I482" s="85" t="s">
        <v>258</v>
      </c>
      <c r="J482" s="86" t="s">
        <v>313</v>
      </c>
      <c r="K482" s="85" t="s">
        <v>346</v>
      </c>
      <c r="L482" s="87">
        <v>7.18</v>
      </c>
      <c r="M482" s="87">
        <f t="shared" si="126"/>
        <v>7.3594999999999988</v>
      </c>
      <c r="N482" s="88">
        <f>prodnorm46</f>
        <v>0</v>
      </c>
      <c r="O482" s="33">
        <f>dagwerk46</f>
        <v>0</v>
      </c>
      <c r="P482" s="85" t="s">
        <v>109</v>
      </c>
      <c r="Q482" s="21">
        <f>uurtarief46</f>
        <v>0</v>
      </c>
      <c r="R482" s="87" t="e">
        <f t="shared" si="127"/>
        <v>#DIV/0!</v>
      </c>
      <c r="S482" s="87" t="e">
        <f t="shared" si="128"/>
        <v>#DIV/0!</v>
      </c>
      <c r="T482" s="21" t="e">
        <f t="shared" si="129"/>
        <v>#DIV/0!</v>
      </c>
      <c r="U482" s="87" t="e">
        <f t="shared" si="130"/>
        <v>#DIV/0!</v>
      </c>
      <c r="V482" s="22" t="e">
        <f t="shared" si="131"/>
        <v>#DIV/0!</v>
      </c>
    </row>
    <row r="483" spans="1:22" x14ac:dyDescent="0.25">
      <c r="A483" s="84" t="s">
        <v>857</v>
      </c>
      <c r="B483" s="85" t="s">
        <v>42</v>
      </c>
      <c r="C483" s="85" t="s">
        <v>342</v>
      </c>
      <c r="D483" s="85" t="s">
        <v>893</v>
      </c>
      <c r="E483" s="86" t="s">
        <v>866</v>
      </c>
      <c r="F483" s="85" t="s">
        <v>353</v>
      </c>
      <c r="G483" s="85" t="s">
        <v>257</v>
      </c>
      <c r="H483" s="85" t="s">
        <v>12</v>
      </c>
      <c r="I483" s="85" t="s">
        <v>258</v>
      </c>
      <c r="J483" s="86" t="s">
        <v>259</v>
      </c>
      <c r="K483" s="85" t="s">
        <v>365</v>
      </c>
      <c r="L483" s="87">
        <v>12.51</v>
      </c>
      <c r="M483" s="87">
        <f t="shared" si="126"/>
        <v>7.6936499999999999</v>
      </c>
      <c r="N483" s="88">
        <f>prodnorm5</f>
        <v>0</v>
      </c>
      <c r="O483" s="33">
        <f>dagwerk5</f>
        <v>0</v>
      </c>
      <c r="P483" s="85" t="s">
        <v>109</v>
      </c>
      <c r="Q483" s="21">
        <f>uurtarief5</f>
        <v>0</v>
      </c>
      <c r="R483" s="87" t="e">
        <f t="shared" si="127"/>
        <v>#DIV/0!</v>
      </c>
      <c r="S483" s="87" t="e">
        <f t="shared" si="128"/>
        <v>#DIV/0!</v>
      </c>
      <c r="T483" s="21" t="e">
        <f t="shared" si="129"/>
        <v>#DIV/0!</v>
      </c>
      <c r="U483" s="87" t="e">
        <f t="shared" si="130"/>
        <v>#DIV/0!</v>
      </c>
      <c r="V483" s="22" t="e">
        <f t="shared" si="131"/>
        <v>#DIV/0!</v>
      </c>
    </row>
    <row r="484" spans="1:22" x14ac:dyDescent="0.25">
      <c r="A484" s="84" t="s">
        <v>857</v>
      </c>
      <c r="B484" s="85" t="s">
        <v>42</v>
      </c>
      <c r="C484" s="85" t="s">
        <v>342</v>
      </c>
      <c r="D484" s="85" t="s">
        <v>893</v>
      </c>
      <c r="E484" s="86" t="s">
        <v>866</v>
      </c>
      <c r="F484" s="85" t="s">
        <v>353</v>
      </c>
      <c r="G484" s="85" t="s">
        <v>266</v>
      </c>
      <c r="H484" s="85" t="s">
        <v>14</v>
      </c>
      <c r="I484" s="85" t="s">
        <v>258</v>
      </c>
      <c r="J484" s="86" t="s">
        <v>267</v>
      </c>
      <c r="K484" s="85" t="s">
        <v>365</v>
      </c>
      <c r="L484" s="87">
        <v>12.51</v>
      </c>
      <c r="M484" s="87">
        <f t="shared" si="126"/>
        <v>5.1290999999999993</v>
      </c>
      <c r="N484" s="88">
        <f>prodnorm13</f>
        <v>0</v>
      </c>
      <c r="O484" s="33">
        <f>dagwerk13</f>
        <v>0</v>
      </c>
      <c r="P484" s="85" t="s">
        <v>109</v>
      </c>
      <c r="Q484" s="21">
        <f>uurtarief13</f>
        <v>0</v>
      </c>
      <c r="R484" s="87" t="e">
        <f t="shared" si="127"/>
        <v>#DIV/0!</v>
      </c>
      <c r="S484" s="87" t="e">
        <f t="shared" si="128"/>
        <v>#DIV/0!</v>
      </c>
      <c r="T484" s="21" t="e">
        <f t="shared" si="129"/>
        <v>#DIV/0!</v>
      </c>
      <c r="U484" s="87" t="e">
        <f t="shared" si="130"/>
        <v>#DIV/0!</v>
      </c>
      <c r="V484" s="22" t="e">
        <f t="shared" si="131"/>
        <v>#DIV/0!</v>
      </c>
    </row>
    <row r="485" spans="1:22" x14ac:dyDescent="0.25">
      <c r="A485" s="84" t="s">
        <v>857</v>
      </c>
      <c r="B485" s="85" t="s">
        <v>42</v>
      </c>
      <c r="C485" s="85" t="s">
        <v>342</v>
      </c>
      <c r="D485" s="85" t="s">
        <v>894</v>
      </c>
      <c r="E485" s="86" t="s">
        <v>361</v>
      </c>
      <c r="F485" s="85" t="s">
        <v>353</v>
      </c>
      <c r="G485" s="85" t="s">
        <v>257</v>
      </c>
      <c r="H485" s="85" t="s">
        <v>12</v>
      </c>
      <c r="I485" s="85" t="s">
        <v>258</v>
      </c>
      <c r="J485" s="86" t="s">
        <v>259</v>
      </c>
      <c r="K485" s="85" t="s">
        <v>365</v>
      </c>
      <c r="L485" s="87">
        <v>9.2299999999999986</v>
      </c>
      <c r="M485" s="87">
        <f t="shared" si="126"/>
        <v>5.6764499999999991</v>
      </c>
      <c r="N485" s="88">
        <f>prodnorm5</f>
        <v>0</v>
      </c>
      <c r="O485" s="33">
        <f>dagwerk5</f>
        <v>0</v>
      </c>
      <c r="P485" s="85" t="s">
        <v>109</v>
      </c>
      <c r="Q485" s="21">
        <f>uurtarief5</f>
        <v>0</v>
      </c>
      <c r="R485" s="87" t="e">
        <f t="shared" si="127"/>
        <v>#DIV/0!</v>
      </c>
      <c r="S485" s="87" t="e">
        <f t="shared" si="128"/>
        <v>#DIV/0!</v>
      </c>
      <c r="T485" s="21" t="e">
        <f t="shared" si="129"/>
        <v>#DIV/0!</v>
      </c>
      <c r="U485" s="87" t="e">
        <f t="shared" si="130"/>
        <v>#DIV/0!</v>
      </c>
      <c r="V485" s="22" t="e">
        <f t="shared" si="131"/>
        <v>#DIV/0!</v>
      </c>
    </row>
    <row r="486" spans="1:22" x14ac:dyDescent="0.25">
      <c r="A486" s="84" t="s">
        <v>857</v>
      </c>
      <c r="B486" s="85" t="s">
        <v>42</v>
      </c>
      <c r="C486" s="85" t="s">
        <v>342</v>
      </c>
      <c r="D486" s="85" t="s">
        <v>894</v>
      </c>
      <c r="E486" s="86" t="s">
        <v>361</v>
      </c>
      <c r="F486" s="85" t="s">
        <v>353</v>
      </c>
      <c r="G486" s="85" t="s">
        <v>262</v>
      </c>
      <c r="H486" s="85" t="s">
        <v>14</v>
      </c>
      <c r="I486" s="85" t="s">
        <v>258</v>
      </c>
      <c r="J486" s="86" t="s">
        <v>263</v>
      </c>
      <c r="K486" s="85" t="s">
        <v>365</v>
      </c>
      <c r="L486" s="87">
        <v>9.2299999999999986</v>
      </c>
      <c r="M486" s="87">
        <f t="shared" si="126"/>
        <v>3.7842999999999991</v>
      </c>
      <c r="N486" s="88">
        <f>prodnorm10</f>
        <v>0</v>
      </c>
      <c r="O486" s="33">
        <f>dagwerk10</f>
        <v>0</v>
      </c>
      <c r="P486" s="85" t="s">
        <v>109</v>
      </c>
      <c r="Q486" s="21">
        <f>uurtarief10</f>
        <v>0</v>
      </c>
      <c r="R486" s="87" t="e">
        <f t="shared" si="127"/>
        <v>#DIV/0!</v>
      </c>
      <c r="S486" s="87" t="e">
        <f t="shared" si="128"/>
        <v>#DIV/0!</v>
      </c>
      <c r="T486" s="21" t="e">
        <f t="shared" si="129"/>
        <v>#DIV/0!</v>
      </c>
      <c r="U486" s="87" t="e">
        <f t="shared" si="130"/>
        <v>#DIV/0!</v>
      </c>
      <c r="V486" s="22" t="e">
        <f t="shared" si="131"/>
        <v>#DIV/0!</v>
      </c>
    </row>
    <row r="487" spans="1:22" x14ac:dyDescent="0.25">
      <c r="A487" s="84" t="s">
        <v>857</v>
      </c>
      <c r="B487" s="85" t="s">
        <v>42</v>
      </c>
      <c r="C487" s="85" t="s">
        <v>342</v>
      </c>
      <c r="D487" s="85" t="s">
        <v>895</v>
      </c>
      <c r="E487" s="86" t="s">
        <v>896</v>
      </c>
      <c r="F487" s="85" t="s">
        <v>666</v>
      </c>
      <c r="G487" s="85" t="s">
        <v>310</v>
      </c>
      <c r="H487" s="85" t="s">
        <v>9</v>
      </c>
      <c r="I487" s="85" t="s">
        <v>258</v>
      </c>
      <c r="J487" s="86" t="s">
        <v>311</v>
      </c>
      <c r="K487" s="85" t="s">
        <v>417</v>
      </c>
      <c r="L487" s="87">
        <v>13.84</v>
      </c>
      <c r="M487" s="87">
        <f t="shared" si="126"/>
        <v>14.185999999999998</v>
      </c>
      <c r="N487" s="88">
        <f>prodnorm45</f>
        <v>0</v>
      </c>
      <c r="O487" s="33">
        <f>dagwerk45</f>
        <v>0</v>
      </c>
      <c r="P487" s="85" t="s">
        <v>109</v>
      </c>
      <c r="Q487" s="21">
        <f>uurtarief45</f>
        <v>0</v>
      </c>
      <c r="R487" s="87" t="e">
        <f t="shared" si="127"/>
        <v>#DIV/0!</v>
      </c>
      <c r="S487" s="87" t="e">
        <f t="shared" si="128"/>
        <v>#DIV/0!</v>
      </c>
      <c r="T487" s="21" t="e">
        <f t="shared" si="129"/>
        <v>#DIV/0!</v>
      </c>
      <c r="U487" s="87" t="e">
        <f t="shared" si="130"/>
        <v>#DIV/0!</v>
      </c>
      <c r="V487" s="22" t="e">
        <f t="shared" si="131"/>
        <v>#DIV/0!</v>
      </c>
    </row>
    <row r="488" spans="1:22" x14ac:dyDescent="0.25">
      <c r="A488" s="84" t="s">
        <v>857</v>
      </c>
      <c r="B488" s="85" t="s">
        <v>42</v>
      </c>
      <c r="C488" s="85" t="s">
        <v>342</v>
      </c>
      <c r="D488" s="85" t="s">
        <v>897</v>
      </c>
      <c r="E488" s="86" t="s">
        <v>898</v>
      </c>
      <c r="F488" s="85" t="s">
        <v>899</v>
      </c>
      <c r="G488" s="85" t="s">
        <v>310</v>
      </c>
      <c r="H488" s="85" t="s">
        <v>9</v>
      </c>
      <c r="I488" s="85" t="s">
        <v>258</v>
      </c>
      <c r="J488" s="86" t="s">
        <v>311</v>
      </c>
      <c r="K488" s="85" t="s">
        <v>417</v>
      </c>
      <c r="L488" s="87">
        <v>4.0999999999999996</v>
      </c>
      <c r="M488" s="87">
        <f t="shared" si="126"/>
        <v>4.2024999999999997</v>
      </c>
      <c r="N488" s="88">
        <f>prodnorm45</f>
        <v>0</v>
      </c>
      <c r="O488" s="33">
        <f>dagwerk45</f>
        <v>0</v>
      </c>
      <c r="P488" s="85" t="s">
        <v>109</v>
      </c>
      <c r="Q488" s="21">
        <f>uurtarief45</f>
        <v>0</v>
      </c>
      <c r="R488" s="87" t="e">
        <f t="shared" si="127"/>
        <v>#DIV/0!</v>
      </c>
      <c r="S488" s="87" t="e">
        <f t="shared" si="128"/>
        <v>#DIV/0!</v>
      </c>
      <c r="T488" s="21" t="e">
        <f t="shared" si="129"/>
        <v>#DIV/0!</v>
      </c>
      <c r="U488" s="87" t="e">
        <f t="shared" si="130"/>
        <v>#DIV/0!</v>
      </c>
      <c r="V488" s="22" t="e">
        <f t="shared" si="131"/>
        <v>#DIV/0!</v>
      </c>
    </row>
    <row r="489" spans="1:22" x14ac:dyDescent="0.25">
      <c r="A489" s="84" t="s">
        <v>857</v>
      </c>
      <c r="B489" s="85" t="s">
        <v>42</v>
      </c>
      <c r="C489" s="85" t="s">
        <v>342</v>
      </c>
      <c r="D489" s="85" t="s">
        <v>900</v>
      </c>
      <c r="E489" s="86" t="s">
        <v>901</v>
      </c>
      <c r="F489" s="85" t="s">
        <v>902</v>
      </c>
      <c r="G489" s="85" t="s">
        <v>310</v>
      </c>
      <c r="H489" s="85" t="s">
        <v>9</v>
      </c>
      <c r="I489" s="85" t="s">
        <v>258</v>
      </c>
      <c r="J489" s="86" t="s">
        <v>311</v>
      </c>
      <c r="K489" s="85" t="s">
        <v>417</v>
      </c>
      <c r="L489" s="87">
        <v>13.84</v>
      </c>
      <c r="M489" s="87">
        <f t="shared" si="126"/>
        <v>14.185999999999998</v>
      </c>
      <c r="N489" s="88">
        <f>prodnorm45</f>
        <v>0</v>
      </c>
      <c r="O489" s="33">
        <f>dagwerk45</f>
        <v>0</v>
      </c>
      <c r="P489" s="85" t="s">
        <v>109</v>
      </c>
      <c r="Q489" s="21">
        <f>uurtarief45</f>
        <v>0</v>
      </c>
      <c r="R489" s="87" t="e">
        <f t="shared" si="127"/>
        <v>#DIV/0!</v>
      </c>
      <c r="S489" s="87" t="e">
        <f t="shared" si="128"/>
        <v>#DIV/0!</v>
      </c>
      <c r="T489" s="21" t="e">
        <f t="shared" si="129"/>
        <v>#DIV/0!</v>
      </c>
      <c r="U489" s="87" t="e">
        <f t="shared" si="130"/>
        <v>#DIV/0!</v>
      </c>
      <c r="V489" s="22" t="e">
        <f t="shared" si="131"/>
        <v>#DIV/0!</v>
      </c>
    </row>
    <row r="490" spans="1:22" x14ac:dyDescent="0.25">
      <c r="A490" s="84" t="s">
        <v>857</v>
      </c>
      <c r="B490" s="85" t="s">
        <v>42</v>
      </c>
      <c r="C490" s="85" t="s">
        <v>342</v>
      </c>
      <c r="D490" s="85" t="s">
        <v>903</v>
      </c>
      <c r="E490" s="86" t="s">
        <v>367</v>
      </c>
      <c r="F490" s="85" t="s">
        <v>353</v>
      </c>
      <c r="G490" s="85" t="s">
        <v>257</v>
      </c>
      <c r="H490" s="85" t="s">
        <v>12</v>
      </c>
      <c r="I490" s="85" t="s">
        <v>258</v>
      </c>
      <c r="J490" s="86" t="s">
        <v>259</v>
      </c>
      <c r="K490" s="85" t="s">
        <v>365</v>
      </c>
      <c r="L490" s="87">
        <v>34.25</v>
      </c>
      <c r="M490" s="87">
        <f t="shared" si="126"/>
        <v>21.063749999999999</v>
      </c>
      <c r="N490" s="88">
        <f>prodnorm5</f>
        <v>0</v>
      </c>
      <c r="O490" s="33">
        <f>dagwerk5</f>
        <v>0</v>
      </c>
      <c r="P490" s="85" t="s">
        <v>109</v>
      </c>
      <c r="Q490" s="21">
        <f>uurtarief5</f>
        <v>0</v>
      </c>
      <c r="R490" s="87" t="e">
        <f t="shared" si="127"/>
        <v>#DIV/0!</v>
      </c>
      <c r="S490" s="87" t="e">
        <f t="shared" si="128"/>
        <v>#DIV/0!</v>
      </c>
      <c r="T490" s="21" t="e">
        <f t="shared" si="129"/>
        <v>#DIV/0!</v>
      </c>
      <c r="U490" s="87" t="e">
        <f t="shared" si="130"/>
        <v>#DIV/0!</v>
      </c>
      <c r="V490" s="22" t="e">
        <f t="shared" si="131"/>
        <v>#DIV/0!</v>
      </c>
    </row>
    <row r="491" spans="1:22" x14ac:dyDescent="0.25">
      <c r="A491" s="84" t="s">
        <v>857</v>
      </c>
      <c r="B491" s="85" t="s">
        <v>42</v>
      </c>
      <c r="C491" s="85" t="s">
        <v>342</v>
      </c>
      <c r="D491" s="85" t="s">
        <v>903</v>
      </c>
      <c r="E491" s="86" t="s">
        <v>367</v>
      </c>
      <c r="F491" s="85" t="s">
        <v>353</v>
      </c>
      <c r="G491" s="85" t="s">
        <v>262</v>
      </c>
      <c r="H491" s="85" t="s">
        <v>14</v>
      </c>
      <c r="I491" s="85" t="s">
        <v>258</v>
      </c>
      <c r="J491" s="86" t="s">
        <v>263</v>
      </c>
      <c r="K491" s="85" t="s">
        <v>365</v>
      </c>
      <c r="L491" s="87">
        <v>34.25</v>
      </c>
      <c r="M491" s="87">
        <f t="shared" si="126"/>
        <v>14.042499999999999</v>
      </c>
      <c r="N491" s="88">
        <f>prodnorm10</f>
        <v>0</v>
      </c>
      <c r="O491" s="33">
        <f>dagwerk10</f>
        <v>0</v>
      </c>
      <c r="P491" s="85" t="s">
        <v>109</v>
      </c>
      <c r="Q491" s="21">
        <f>uurtarief10</f>
        <v>0</v>
      </c>
      <c r="R491" s="87" t="e">
        <f t="shared" si="127"/>
        <v>#DIV/0!</v>
      </c>
      <c r="S491" s="87" t="e">
        <f t="shared" si="128"/>
        <v>#DIV/0!</v>
      </c>
      <c r="T491" s="21" t="e">
        <f t="shared" si="129"/>
        <v>#DIV/0!</v>
      </c>
      <c r="U491" s="87" t="e">
        <f t="shared" si="130"/>
        <v>#DIV/0!</v>
      </c>
      <c r="V491" s="22" t="e">
        <f t="shared" si="131"/>
        <v>#DIV/0!</v>
      </c>
    </row>
    <row r="492" spans="1:22" x14ac:dyDescent="0.25">
      <c r="A492" s="84" t="s">
        <v>857</v>
      </c>
      <c r="B492" s="85" t="s">
        <v>42</v>
      </c>
      <c r="C492" s="85" t="s">
        <v>342</v>
      </c>
      <c r="D492" s="85" t="s">
        <v>904</v>
      </c>
      <c r="E492" s="86" t="s">
        <v>367</v>
      </c>
      <c r="F492" s="85" t="s">
        <v>353</v>
      </c>
      <c r="G492" s="85" t="s">
        <v>257</v>
      </c>
      <c r="H492" s="85" t="s">
        <v>12</v>
      </c>
      <c r="I492" s="85" t="s">
        <v>258</v>
      </c>
      <c r="J492" s="86" t="s">
        <v>259</v>
      </c>
      <c r="K492" s="85" t="s">
        <v>365</v>
      </c>
      <c r="L492" s="87">
        <v>25.18</v>
      </c>
      <c r="M492" s="87">
        <f t="shared" si="126"/>
        <v>15.4857</v>
      </c>
      <c r="N492" s="88">
        <f>prodnorm5</f>
        <v>0</v>
      </c>
      <c r="O492" s="33">
        <f>dagwerk5</f>
        <v>0</v>
      </c>
      <c r="P492" s="85" t="s">
        <v>109</v>
      </c>
      <c r="Q492" s="21">
        <f>uurtarief5</f>
        <v>0</v>
      </c>
      <c r="R492" s="87" t="e">
        <f t="shared" si="127"/>
        <v>#DIV/0!</v>
      </c>
      <c r="S492" s="87" t="e">
        <f t="shared" si="128"/>
        <v>#DIV/0!</v>
      </c>
      <c r="T492" s="21" t="e">
        <f t="shared" si="129"/>
        <v>#DIV/0!</v>
      </c>
      <c r="U492" s="87" t="e">
        <f t="shared" si="130"/>
        <v>#DIV/0!</v>
      </c>
      <c r="V492" s="22" t="e">
        <f t="shared" si="131"/>
        <v>#DIV/0!</v>
      </c>
    </row>
    <row r="493" spans="1:22" x14ac:dyDescent="0.25">
      <c r="A493" s="84" t="s">
        <v>857</v>
      </c>
      <c r="B493" s="85" t="s">
        <v>42</v>
      </c>
      <c r="C493" s="85" t="s">
        <v>342</v>
      </c>
      <c r="D493" s="85" t="s">
        <v>904</v>
      </c>
      <c r="E493" s="86" t="s">
        <v>367</v>
      </c>
      <c r="F493" s="85" t="s">
        <v>353</v>
      </c>
      <c r="G493" s="85" t="s">
        <v>262</v>
      </c>
      <c r="H493" s="85" t="s">
        <v>14</v>
      </c>
      <c r="I493" s="85" t="s">
        <v>258</v>
      </c>
      <c r="J493" s="86" t="s">
        <v>263</v>
      </c>
      <c r="K493" s="85" t="s">
        <v>365</v>
      </c>
      <c r="L493" s="87">
        <v>25.18</v>
      </c>
      <c r="M493" s="87">
        <f t="shared" si="126"/>
        <v>10.323799999999999</v>
      </c>
      <c r="N493" s="88">
        <f>prodnorm10</f>
        <v>0</v>
      </c>
      <c r="O493" s="33">
        <f>dagwerk10</f>
        <v>0</v>
      </c>
      <c r="P493" s="85" t="s">
        <v>109</v>
      </c>
      <c r="Q493" s="21">
        <f>uurtarief10</f>
        <v>0</v>
      </c>
      <c r="R493" s="87" t="e">
        <f t="shared" si="127"/>
        <v>#DIV/0!</v>
      </c>
      <c r="S493" s="87" t="e">
        <f t="shared" si="128"/>
        <v>#DIV/0!</v>
      </c>
      <c r="T493" s="21" t="e">
        <f t="shared" si="129"/>
        <v>#DIV/0!</v>
      </c>
      <c r="U493" s="87" t="e">
        <f t="shared" si="130"/>
        <v>#DIV/0!</v>
      </c>
      <c r="V493" s="22" t="e">
        <f t="shared" si="131"/>
        <v>#DIV/0!</v>
      </c>
    </row>
    <row r="494" spans="1:22" x14ac:dyDescent="0.25">
      <c r="A494" s="84" t="s">
        <v>857</v>
      </c>
      <c r="B494" s="85" t="s">
        <v>42</v>
      </c>
      <c r="C494" s="85" t="s">
        <v>342</v>
      </c>
      <c r="D494" s="85" t="s">
        <v>905</v>
      </c>
      <c r="E494" s="86" t="s">
        <v>906</v>
      </c>
      <c r="F494" s="85" t="s">
        <v>349</v>
      </c>
      <c r="G494" s="85" t="s">
        <v>350</v>
      </c>
      <c r="H494" s="85"/>
      <c r="I494" s="85"/>
      <c r="J494" s="85"/>
      <c r="K494" s="85" t="s">
        <v>346</v>
      </c>
      <c r="L494" s="87">
        <v>13.88</v>
      </c>
      <c r="M494" s="87"/>
      <c r="N494" s="88"/>
      <c r="O494" s="33"/>
      <c r="P494" s="85"/>
      <c r="Q494" s="21"/>
      <c r="R494" s="87"/>
      <c r="S494" s="87"/>
      <c r="T494" s="21"/>
      <c r="U494" s="89"/>
      <c r="V494" s="22"/>
    </row>
    <row r="495" spans="1:22" x14ac:dyDescent="0.25">
      <c r="A495" s="84" t="s">
        <v>857</v>
      </c>
      <c r="B495" s="85" t="s">
        <v>42</v>
      </c>
      <c r="C495" s="85" t="s">
        <v>342</v>
      </c>
      <c r="D495" s="85" t="s">
        <v>907</v>
      </c>
      <c r="E495" s="86" t="s">
        <v>908</v>
      </c>
      <c r="F495" s="85" t="s">
        <v>909</v>
      </c>
      <c r="G495" s="85" t="s">
        <v>324</v>
      </c>
      <c r="H495" s="85" t="s">
        <v>24</v>
      </c>
      <c r="I495" s="85" t="s">
        <v>325</v>
      </c>
      <c r="J495" s="86" t="s">
        <v>326</v>
      </c>
      <c r="K495" s="85" t="s">
        <v>346</v>
      </c>
      <c r="L495" s="87">
        <v>254.2</v>
      </c>
      <c r="M495" s="87">
        <f t="shared" ref="M495:M537" si="135">L495*VLOOKUP(H495,dagsoorttabel1,2,FALSE)</f>
        <v>2.5419999999999998</v>
      </c>
      <c r="N495" s="88">
        <f>prodnorm4</f>
        <v>0</v>
      </c>
      <c r="O495" s="33">
        <f>dagwerk4</f>
        <v>0</v>
      </c>
      <c r="P495" s="85" t="s">
        <v>109</v>
      </c>
      <c r="Q495" s="21">
        <f>uurtarief4</f>
        <v>0</v>
      </c>
      <c r="R495" s="87" t="e">
        <f t="shared" ref="R495:R537" si="136">IF(ISBLANK(N495),0,M495/ROUND(N495,4))</f>
        <v>#DIV/0!</v>
      </c>
      <c r="S495" s="87" t="e">
        <f t="shared" ref="S495:S537" si="137">IF(ISBLANK(N495),0,R495*ROUND(O495,2))</f>
        <v>#DIV/0!</v>
      </c>
      <c r="T495" s="21" t="e">
        <f t="shared" ref="T495:T537" si="138">ROUND(Q495,2)*R495</f>
        <v>#DIV/0!</v>
      </c>
      <c r="U495" s="87" t="e">
        <f t="shared" ref="U495:U537" si="139">R495*dagenperjaar1</f>
        <v>#DIV/0!</v>
      </c>
      <c r="V495" s="22" t="e">
        <f t="shared" ref="V495:V537" si="140">U495*ROUND(Q495,2)</f>
        <v>#DIV/0!</v>
      </c>
    </row>
    <row r="496" spans="1:22" ht="23" x14ac:dyDescent="0.25">
      <c r="A496" s="84" t="s">
        <v>857</v>
      </c>
      <c r="B496" s="85" t="s">
        <v>42</v>
      </c>
      <c r="C496" s="85" t="s">
        <v>342</v>
      </c>
      <c r="D496" s="85" t="s">
        <v>907</v>
      </c>
      <c r="E496" s="86" t="s">
        <v>908</v>
      </c>
      <c r="F496" s="85" t="s">
        <v>909</v>
      </c>
      <c r="G496" s="85" t="s">
        <v>270</v>
      </c>
      <c r="H496" s="85" t="s">
        <v>14</v>
      </c>
      <c r="I496" s="85" t="s">
        <v>258</v>
      </c>
      <c r="J496" s="86" t="s">
        <v>271</v>
      </c>
      <c r="K496" s="85" t="s">
        <v>346</v>
      </c>
      <c r="L496" s="87">
        <v>254.2</v>
      </c>
      <c r="M496" s="87">
        <f t="shared" si="135"/>
        <v>104.22199999999999</v>
      </c>
      <c r="N496" s="88">
        <f>prodnorm17</f>
        <v>0</v>
      </c>
      <c r="O496" s="33">
        <f>dagwerk17</f>
        <v>0</v>
      </c>
      <c r="P496" s="85" t="s">
        <v>109</v>
      </c>
      <c r="Q496" s="21">
        <f>uurtarief17</f>
        <v>0</v>
      </c>
      <c r="R496" s="87" t="e">
        <f t="shared" si="136"/>
        <v>#DIV/0!</v>
      </c>
      <c r="S496" s="87" t="e">
        <f t="shared" si="137"/>
        <v>#DIV/0!</v>
      </c>
      <c r="T496" s="21" t="e">
        <f t="shared" si="138"/>
        <v>#DIV/0!</v>
      </c>
      <c r="U496" s="87" t="e">
        <f t="shared" si="139"/>
        <v>#DIV/0!</v>
      </c>
      <c r="V496" s="22" t="e">
        <f t="shared" si="140"/>
        <v>#DIV/0!</v>
      </c>
    </row>
    <row r="497" spans="1:22" x14ac:dyDescent="0.25">
      <c r="A497" s="84" t="s">
        <v>857</v>
      </c>
      <c r="B497" s="85" t="s">
        <v>42</v>
      </c>
      <c r="C497" s="85" t="s">
        <v>342</v>
      </c>
      <c r="D497" s="85" t="s">
        <v>910</v>
      </c>
      <c r="E497" s="86" t="s">
        <v>911</v>
      </c>
      <c r="F497" s="85" t="s">
        <v>349</v>
      </c>
      <c r="G497" s="85" t="s">
        <v>286</v>
      </c>
      <c r="H497" s="85" t="s">
        <v>9</v>
      </c>
      <c r="I497" s="85" t="s">
        <v>258</v>
      </c>
      <c r="J497" s="86" t="s">
        <v>287</v>
      </c>
      <c r="K497" s="85" t="s">
        <v>346</v>
      </c>
      <c r="L497" s="87">
        <v>194.75</v>
      </c>
      <c r="M497" s="87">
        <f t="shared" si="135"/>
        <v>199.61874999999998</v>
      </c>
      <c r="N497" s="88">
        <f>prodnorm26</f>
        <v>0</v>
      </c>
      <c r="O497" s="33">
        <f>dagwerk26</f>
        <v>0</v>
      </c>
      <c r="P497" s="85" t="s">
        <v>109</v>
      </c>
      <c r="Q497" s="21">
        <f>uurtarief26</f>
        <v>0</v>
      </c>
      <c r="R497" s="87" t="e">
        <f t="shared" si="136"/>
        <v>#DIV/0!</v>
      </c>
      <c r="S497" s="87" t="e">
        <f t="shared" si="137"/>
        <v>#DIV/0!</v>
      </c>
      <c r="T497" s="21" t="e">
        <f t="shared" si="138"/>
        <v>#DIV/0!</v>
      </c>
      <c r="U497" s="87" t="e">
        <f t="shared" si="139"/>
        <v>#DIV/0!</v>
      </c>
      <c r="V497" s="22" t="e">
        <f t="shared" si="140"/>
        <v>#DIV/0!</v>
      </c>
    </row>
    <row r="498" spans="1:22" x14ac:dyDescent="0.25">
      <c r="A498" s="84" t="s">
        <v>857</v>
      </c>
      <c r="B498" s="85" t="s">
        <v>42</v>
      </c>
      <c r="C498" s="85" t="s">
        <v>342</v>
      </c>
      <c r="D498" s="85" t="s">
        <v>912</v>
      </c>
      <c r="E498" s="86" t="s">
        <v>913</v>
      </c>
      <c r="F498" s="85" t="s">
        <v>666</v>
      </c>
      <c r="G498" s="85" t="s">
        <v>310</v>
      </c>
      <c r="H498" s="85" t="s">
        <v>9</v>
      </c>
      <c r="I498" s="85" t="s">
        <v>258</v>
      </c>
      <c r="J498" s="86" t="s">
        <v>311</v>
      </c>
      <c r="K498" s="85" t="s">
        <v>417</v>
      </c>
      <c r="L498" s="87">
        <v>2.5</v>
      </c>
      <c r="M498" s="87">
        <f t="shared" si="135"/>
        <v>2.5625</v>
      </c>
      <c r="N498" s="88">
        <f>prodnorm45</f>
        <v>0</v>
      </c>
      <c r="O498" s="33">
        <f>dagwerk45</f>
        <v>0</v>
      </c>
      <c r="P498" s="85" t="s">
        <v>109</v>
      </c>
      <c r="Q498" s="21">
        <f>uurtarief45</f>
        <v>0</v>
      </c>
      <c r="R498" s="87" t="e">
        <f t="shared" si="136"/>
        <v>#DIV/0!</v>
      </c>
      <c r="S498" s="87" t="e">
        <f t="shared" si="137"/>
        <v>#DIV/0!</v>
      </c>
      <c r="T498" s="21" t="e">
        <f t="shared" si="138"/>
        <v>#DIV/0!</v>
      </c>
      <c r="U498" s="87" t="e">
        <f t="shared" si="139"/>
        <v>#DIV/0!</v>
      </c>
      <c r="V498" s="22" t="e">
        <f t="shared" si="140"/>
        <v>#DIV/0!</v>
      </c>
    </row>
    <row r="499" spans="1:22" x14ac:dyDescent="0.25">
      <c r="A499" s="84" t="s">
        <v>857</v>
      </c>
      <c r="B499" s="85" t="s">
        <v>42</v>
      </c>
      <c r="C499" s="85" t="s">
        <v>342</v>
      </c>
      <c r="D499" s="85" t="s">
        <v>914</v>
      </c>
      <c r="E499" s="86" t="s">
        <v>915</v>
      </c>
      <c r="F499" s="85" t="s">
        <v>666</v>
      </c>
      <c r="G499" s="85" t="s">
        <v>310</v>
      </c>
      <c r="H499" s="85" t="s">
        <v>9</v>
      </c>
      <c r="I499" s="85" t="s">
        <v>258</v>
      </c>
      <c r="J499" s="86" t="s">
        <v>311</v>
      </c>
      <c r="K499" s="85" t="s">
        <v>417</v>
      </c>
      <c r="L499" s="87">
        <v>1.6500000000000001</v>
      </c>
      <c r="M499" s="87">
        <f t="shared" si="135"/>
        <v>1.6912499999999999</v>
      </c>
      <c r="N499" s="88">
        <f>prodnorm45</f>
        <v>0</v>
      </c>
      <c r="O499" s="33">
        <f>dagwerk45</f>
        <v>0</v>
      </c>
      <c r="P499" s="85" t="s">
        <v>109</v>
      </c>
      <c r="Q499" s="21">
        <f>uurtarief45</f>
        <v>0</v>
      </c>
      <c r="R499" s="87" t="e">
        <f t="shared" si="136"/>
        <v>#DIV/0!</v>
      </c>
      <c r="S499" s="87" t="e">
        <f t="shared" si="137"/>
        <v>#DIV/0!</v>
      </c>
      <c r="T499" s="21" t="e">
        <f t="shared" si="138"/>
        <v>#DIV/0!</v>
      </c>
      <c r="U499" s="87" t="e">
        <f t="shared" si="139"/>
        <v>#DIV/0!</v>
      </c>
      <c r="V499" s="22" t="e">
        <f t="shared" si="140"/>
        <v>#DIV/0!</v>
      </c>
    </row>
    <row r="500" spans="1:22" x14ac:dyDescent="0.25">
      <c r="A500" s="84" t="s">
        <v>857</v>
      </c>
      <c r="B500" s="85" t="s">
        <v>42</v>
      </c>
      <c r="C500" s="85" t="s">
        <v>342</v>
      </c>
      <c r="D500" s="85" t="s">
        <v>916</v>
      </c>
      <c r="E500" s="86" t="s">
        <v>917</v>
      </c>
      <c r="F500" s="85" t="s">
        <v>666</v>
      </c>
      <c r="G500" s="85" t="s">
        <v>312</v>
      </c>
      <c r="H500" s="85" t="s">
        <v>9</v>
      </c>
      <c r="I500" s="85" t="s">
        <v>258</v>
      </c>
      <c r="J500" s="86" t="s">
        <v>313</v>
      </c>
      <c r="K500" s="85" t="s">
        <v>346</v>
      </c>
      <c r="L500" s="87">
        <v>43.05</v>
      </c>
      <c r="M500" s="87">
        <f t="shared" si="135"/>
        <v>44.126249999999992</v>
      </c>
      <c r="N500" s="88">
        <f>prodnorm46</f>
        <v>0</v>
      </c>
      <c r="O500" s="33">
        <f>dagwerk46</f>
        <v>0</v>
      </c>
      <c r="P500" s="85" t="s">
        <v>109</v>
      </c>
      <c r="Q500" s="21">
        <f>uurtarief46</f>
        <v>0</v>
      </c>
      <c r="R500" s="87" t="e">
        <f t="shared" si="136"/>
        <v>#DIV/0!</v>
      </c>
      <c r="S500" s="87" t="e">
        <f t="shared" si="137"/>
        <v>#DIV/0!</v>
      </c>
      <c r="T500" s="21" t="e">
        <f t="shared" si="138"/>
        <v>#DIV/0!</v>
      </c>
      <c r="U500" s="87" t="e">
        <f t="shared" si="139"/>
        <v>#DIV/0!</v>
      </c>
      <c r="V500" s="22" t="e">
        <f t="shared" si="140"/>
        <v>#DIV/0!</v>
      </c>
    </row>
    <row r="501" spans="1:22" x14ac:dyDescent="0.25">
      <c r="A501" s="84" t="s">
        <v>857</v>
      </c>
      <c r="B501" s="85" t="s">
        <v>42</v>
      </c>
      <c r="C501" s="85" t="s">
        <v>342</v>
      </c>
      <c r="D501" s="85" t="s">
        <v>918</v>
      </c>
      <c r="E501" s="86" t="s">
        <v>919</v>
      </c>
      <c r="F501" s="85" t="s">
        <v>353</v>
      </c>
      <c r="G501" s="85" t="s">
        <v>314</v>
      </c>
      <c r="H501" s="85" t="s">
        <v>9</v>
      </c>
      <c r="I501" s="85" t="s">
        <v>258</v>
      </c>
      <c r="J501" s="86" t="s">
        <v>315</v>
      </c>
      <c r="K501" s="85" t="s">
        <v>346</v>
      </c>
      <c r="L501" s="87">
        <v>10.5</v>
      </c>
      <c r="M501" s="87">
        <f t="shared" si="135"/>
        <v>10.762499999999999</v>
      </c>
      <c r="N501" s="88">
        <f>prodnorm47</f>
        <v>0</v>
      </c>
      <c r="O501" s="33">
        <f>dagwerk47</f>
        <v>0</v>
      </c>
      <c r="P501" s="85" t="s">
        <v>109</v>
      </c>
      <c r="Q501" s="21">
        <f>uurtarief47</f>
        <v>0</v>
      </c>
      <c r="R501" s="87" t="e">
        <f t="shared" si="136"/>
        <v>#DIV/0!</v>
      </c>
      <c r="S501" s="87" t="e">
        <f t="shared" si="137"/>
        <v>#DIV/0!</v>
      </c>
      <c r="T501" s="21" t="e">
        <f t="shared" si="138"/>
        <v>#DIV/0!</v>
      </c>
      <c r="U501" s="87" t="e">
        <f t="shared" si="139"/>
        <v>#DIV/0!</v>
      </c>
      <c r="V501" s="22" t="e">
        <f t="shared" si="140"/>
        <v>#DIV/0!</v>
      </c>
    </row>
    <row r="502" spans="1:22" x14ac:dyDescent="0.25">
      <c r="A502" s="84" t="s">
        <v>857</v>
      </c>
      <c r="B502" s="85" t="s">
        <v>42</v>
      </c>
      <c r="C502" s="85" t="s">
        <v>342</v>
      </c>
      <c r="D502" s="85" t="s">
        <v>920</v>
      </c>
      <c r="E502" s="86" t="s">
        <v>882</v>
      </c>
      <c r="F502" s="85" t="s">
        <v>699</v>
      </c>
      <c r="G502" s="85" t="s">
        <v>310</v>
      </c>
      <c r="H502" s="85" t="s">
        <v>9</v>
      </c>
      <c r="I502" s="85" t="s">
        <v>258</v>
      </c>
      <c r="J502" s="86" t="s">
        <v>311</v>
      </c>
      <c r="K502" s="85" t="s">
        <v>417</v>
      </c>
      <c r="L502" s="87">
        <v>4.4000000000000004</v>
      </c>
      <c r="M502" s="87">
        <f t="shared" si="135"/>
        <v>4.51</v>
      </c>
      <c r="N502" s="88">
        <f>prodnorm45</f>
        <v>0</v>
      </c>
      <c r="O502" s="33">
        <f>dagwerk45</f>
        <v>0</v>
      </c>
      <c r="P502" s="85" t="s">
        <v>109</v>
      </c>
      <c r="Q502" s="21">
        <f>uurtarief45</f>
        <v>0</v>
      </c>
      <c r="R502" s="87" t="e">
        <f t="shared" si="136"/>
        <v>#DIV/0!</v>
      </c>
      <c r="S502" s="87" t="e">
        <f t="shared" si="137"/>
        <v>#DIV/0!</v>
      </c>
      <c r="T502" s="21" t="e">
        <f t="shared" si="138"/>
        <v>#DIV/0!</v>
      </c>
      <c r="U502" s="87" t="e">
        <f t="shared" si="139"/>
        <v>#DIV/0!</v>
      </c>
      <c r="V502" s="22" t="e">
        <f t="shared" si="140"/>
        <v>#DIV/0!</v>
      </c>
    </row>
    <row r="503" spans="1:22" x14ac:dyDescent="0.25">
      <c r="A503" s="84" t="s">
        <v>857</v>
      </c>
      <c r="B503" s="85" t="s">
        <v>42</v>
      </c>
      <c r="C503" s="85" t="s">
        <v>342</v>
      </c>
      <c r="D503" s="85" t="s">
        <v>921</v>
      </c>
      <c r="E503" s="86" t="s">
        <v>882</v>
      </c>
      <c r="F503" s="85" t="s">
        <v>699</v>
      </c>
      <c r="G503" s="85" t="s">
        <v>310</v>
      </c>
      <c r="H503" s="85" t="s">
        <v>9</v>
      </c>
      <c r="I503" s="85" t="s">
        <v>258</v>
      </c>
      <c r="J503" s="86" t="s">
        <v>311</v>
      </c>
      <c r="K503" s="85" t="s">
        <v>417</v>
      </c>
      <c r="L503" s="87">
        <v>8.8000000000000007</v>
      </c>
      <c r="M503" s="87">
        <f t="shared" si="135"/>
        <v>9.02</v>
      </c>
      <c r="N503" s="88">
        <f>prodnorm45</f>
        <v>0</v>
      </c>
      <c r="O503" s="33">
        <f>dagwerk45</f>
        <v>0</v>
      </c>
      <c r="P503" s="85" t="s">
        <v>109</v>
      </c>
      <c r="Q503" s="21">
        <f>uurtarief45</f>
        <v>0</v>
      </c>
      <c r="R503" s="87" t="e">
        <f t="shared" si="136"/>
        <v>#DIV/0!</v>
      </c>
      <c r="S503" s="87" t="e">
        <f t="shared" si="137"/>
        <v>#DIV/0!</v>
      </c>
      <c r="T503" s="21" t="e">
        <f t="shared" si="138"/>
        <v>#DIV/0!</v>
      </c>
      <c r="U503" s="87" t="e">
        <f t="shared" si="139"/>
        <v>#DIV/0!</v>
      </c>
      <c r="V503" s="22" t="e">
        <f t="shared" si="140"/>
        <v>#DIV/0!</v>
      </c>
    </row>
    <row r="504" spans="1:22" x14ac:dyDescent="0.25">
      <c r="A504" s="84" t="s">
        <v>857</v>
      </c>
      <c r="B504" s="85" t="s">
        <v>42</v>
      </c>
      <c r="C504" s="85" t="s">
        <v>342</v>
      </c>
      <c r="D504" s="85" t="s">
        <v>922</v>
      </c>
      <c r="E504" s="86" t="s">
        <v>923</v>
      </c>
      <c r="F504" s="85" t="s">
        <v>699</v>
      </c>
      <c r="G504" s="85" t="s">
        <v>310</v>
      </c>
      <c r="H504" s="85" t="s">
        <v>9</v>
      </c>
      <c r="I504" s="85" t="s">
        <v>258</v>
      </c>
      <c r="J504" s="86" t="s">
        <v>311</v>
      </c>
      <c r="K504" s="85" t="s">
        <v>417</v>
      </c>
      <c r="L504" s="87">
        <v>8.8000000000000007</v>
      </c>
      <c r="M504" s="87">
        <f t="shared" si="135"/>
        <v>9.02</v>
      </c>
      <c r="N504" s="88">
        <f>prodnorm45</f>
        <v>0</v>
      </c>
      <c r="O504" s="33">
        <f>dagwerk45</f>
        <v>0</v>
      </c>
      <c r="P504" s="85" t="s">
        <v>109</v>
      </c>
      <c r="Q504" s="21">
        <f>uurtarief45</f>
        <v>0</v>
      </c>
      <c r="R504" s="87" t="e">
        <f t="shared" si="136"/>
        <v>#DIV/0!</v>
      </c>
      <c r="S504" s="87" t="e">
        <f t="shared" si="137"/>
        <v>#DIV/0!</v>
      </c>
      <c r="T504" s="21" t="e">
        <f t="shared" si="138"/>
        <v>#DIV/0!</v>
      </c>
      <c r="U504" s="87" t="e">
        <f t="shared" si="139"/>
        <v>#DIV/0!</v>
      </c>
      <c r="V504" s="22" t="e">
        <f t="shared" si="140"/>
        <v>#DIV/0!</v>
      </c>
    </row>
    <row r="505" spans="1:22" x14ac:dyDescent="0.25">
      <c r="A505" s="84" t="s">
        <v>857</v>
      </c>
      <c r="B505" s="85" t="s">
        <v>42</v>
      </c>
      <c r="C505" s="85" t="s">
        <v>342</v>
      </c>
      <c r="D505" s="85" t="s">
        <v>924</v>
      </c>
      <c r="E505" s="86" t="s">
        <v>582</v>
      </c>
      <c r="F505" s="85" t="s">
        <v>925</v>
      </c>
      <c r="G505" s="85" t="s">
        <v>318</v>
      </c>
      <c r="H505" s="85" t="s">
        <v>9</v>
      </c>
      <c r="I505" s="85" t="s">
        <v>258</v>
      </c>
      <c r="J505" s="86" t="s">
        <v>319</v>
      </c>
      <c r="K505" s="85" t="s">
        <v>346</v>
      </c>
      <c r="L505" s="87">
        <v>2.5</v>
      </c>
      <c r="M505" s="87">
        <f t="shared" si="135"/>
        <v>2.5625</v>
      </c>
      <c r="N505" s="88">
        <f>prodnorm49</f>
        <v>0</v>
      </c>
      <c r="O505" s="33">
        <f>dagwerk49</f>
        <v>0</v>
      </c>
      <c r="P505" s="85" t="s">
        <v>109</v>
      </c>
      <c r="Q505" s="21">
        <f>uurtarief49</f>
        <v>0</v>
      </c>
      <c r="R505" s="87" t="e">
        <f t="shared" si="136"/>
        <v>#DIV/0!</v>
      </c>
      <c r="S505" s="87" t="e">
        <f t="shared" si="137"/>
        <v>#DIV/0!</v>
      </c>
      <c r="T505" s="21" t="e">
        <f t="shared" si="138"/>
        <v>#DIV/0!</v>
      </c>
      <c r="U505" s="87" t="e">
        <f t="shared" si="139"/>
        <v>#DIV/0!</v>
      </c>
      <c r="V505" s="22" t="e">
        <f t="shared" si="140"/>
        <v>#DIV/0!</v>
      </c>
    </row>
    <row r="506" spans="1:22" x14ac:dyDescent="0.25">
      <c r="A506" s="84" t="s">
        <v>857</v>
      </c>
      <c r="B506" s="85" t="s">
        <v>42</v>
      </c>
      <c r="C506" s="85" t="s">
        <v>342</v>
      </c>
      <c r="D506" s="85" t="s">
        <v>926</v>
      </c>
      <c r="E506" s="86" t="s">
        <v>927</v>
      </c>
      <c r="F506" s="85" t="s">
        <v>666</v>
      </c>
      <c r="G506" s="85" t="s">
        <v>312</v>
      </c>
      <c r="H506" s="85" t="s">
        <v>9</v>
      </c>
      <c r="I506" s="85" t="s">
        <v>258</v>
      </c>
      <c r="J506" s="86" t="s">
        <v>313</v>
      </c>
      <c r="K506" s="85" t="s">
        <v>346</v>
      </c>
      <c r="L506" s="87">
        <v>100.35</v>
      </c>
      <c r="M506" s="87">
        <f t="shared" si="135"/>
        <v>102.85874999999999</v>
      </c>
      <c r="N506" s="88">
        <f>prodnorm46</f>
        <v>0</v>
      </c>
      <c r="O506" s="33">
        <f>dagwerk46</f>
        <v>0</v>
      </c>
      <c r="P506" s="85" t="s">
        <v>109</v>
      </c>
      <c r="Q506" s="21">
        <f>uurtarief46</f>
        <v>0</v>
      </c>
      <c r="R506" s="87" t="e">
        <f t="shared" si="136"/>
        <v>#DIV/0!</v>
      </c>
      <c r="S506" s="87" t="e">
        <f t="shared" si="137"/>
        <v>#DIV/0!</v>
      </c>
      <c r="T506" s="21" t="e">
        <f t="shared" si="138"/>
        <v>#DIV/0!</v>
      </c>
      <c r="U506" s="87" t="e">
        <f t="shared" si="139"/>
        <v>#DIV/0!</v>
      </c>
      <c r="V506" s="22" t="e">
        <f t="shared" si="140"/>
        <v>#DIV/0!</v>
      </c>
    </row>
    <row r="507" spans="1:22" x14ac:dyDescent="0.25">
      <c r="A507" s="84" t="s">
        <v>857</v>
      </c>
      <c r="B507" s="85" t="s">
        <v>42</v>
      </c>
      <c r="C507" s="85" t="s">
        <v>342</v>
      </c>
      <c r="D507" s="85" t="s">
        <v>928</v>
      </c>
      <c r="E507" s="86" t="s">
        <v>929</v>
      </c>
      <c r="F507" s="85" t="s">
        <v>353</v>
      </c>
      <c r="G507" s="85" t="s">
        <v>316</v>
      </c>
      <c r="H507" s="85" t="s">
        <v>9</v>
      </c>
      <c r="I507" s="85" t="s">
        <v>258</v>
      </c>
      <c r="J507" s="86" t="s">
        <v>317</v>
      </c>
      <c r="K507" s="85" t="s">
        <v>346</v>
      </c>
      <c r="L507" s="87">
        <v>28.7</v>
      </c>
      <c r="M507" s="87">
        <f t="shared" si="135"/>
        <v>29.417499999999997</v>
      </c>
      <c r="N507" s="88">
        <f>prodnorm48</f>
        <v>0</v>
      </c>
      <c r="O507" s="33">
        <f>dagwerk48</f>
        <v>0</v>
      </c>
      <c r="P507" s="85" t="s">
        <v>109</v>
      </c>
      <c r="Q507" s="21">
        <f>uurtarief48</f>
        <v>0</v>
      </c>
      <c r="R507" s="87" t="e">
        <f t="shared" si="136"/>
        <v>#DIV/0!</v>
      </c>
      <c r="S507" s="87" t="e">
        <f t="shared" si="137"/>
        <v>#DIV/0!</v>
      </c>
      <c r="T507" s="21" t="e">
        <f t="shared" si="138"/>
        <v>#DIV/0!</v>
      </c>
      <c r="U507" s="87" t="e">
        <f t="shared" si="139"/>
        <v>#DIV/0!</v>
      </c>
      <c r="V507" s="22" t="e">
        <f t="shared" si="140"/>
        <v>#DIV/0!</v>
      </c>
    </row>
    <row r="508" spans="1:22" x14ac:dyDescent="0.25">
      <c r="A508" s="84" t="s">
        <v>857</v>
      </c>
      <c r="B508" s="85" t="s">
        <v>42</v>
      </c>
      <c r="C508" s="85" t="s">
        <v>342</v>
      </c>
      <c r="D508" s="85" t="s">
        <v>930</v>
      </c>
      <c r="E508" s="86" t="s">
        <v>931</v>
      </c>
      <c r="F508" s="85" t="s">
        <v>349</v>
      </c>
      <c r="G508" s="85" t="s">
        <v>286</v>
      </c>
      <c r="H508" s="85" t="s">
        <v>9</v>
      </c>
      <c r="I508" s="85" t="s">
        <v>258</v>
      </c>
      <c r="J508" s="86" t="s">
        <v>287</v>
      </c>
      <c r="K508" s="85" t="s">
        <v>346</v>
      </c>
      <c r="L508" s="87">
        <v>238.52</v>
      </c>
      <c r="M508" s="87">
        <f t="shared" si="135"/>
        <v>244.48299999999998</v>
      </c>
      <c r="N508" s="88">
        <f>prodnorm26</f>
        <v>0</v>
      </c>
      <c r="O508" s="33">
        <f>dagwerk26</f>
        <v>0</v>
      </c>
      <c r="P508" s="85" t="s">
        <v>109</v>
      </c>
      <c r="Q508" s="21">
        <f>uurtarief26</f>
        <v>0</v>
      </c>
      <c r="R508" s="87" t="e">
        <f t="shared" si="136"/>
        <v>#DIV/0!</v>
      </c>
      <c r="S508" s="87" t="e">
        <f t="shared" si="137"/>
        <v>#DIV/0!</v>
      </c>
      <c r="T508" s="21" t="e">
        <f t="shared" si="138"/>
        <v>#DIV/0!</v>
      </c>
      <c r="U508" s="87" t="e">
        <f t="shared" si="139"/>
        <v>#DIV/0!</v>
      </c>
      <c r="V508" s="22" t="e">
        <f t="shared" si="140"/>
        <v>#DIV/0!</v>
      </c>
    </row>
    <row r="509" spans="1:22" x14ac:dyDescent="0.25">
      <c r="A509" s="84" t="s">
        <v>857</v>
      </c>
      <c r="B509" s="85" t="s">
        <v>42</v>
      </c>
      <c r="C509" s="85" t="s">
        <v>342</v>
      </c>
      <c r="D509" s="85" t="s">
        <v>932</v>
      </c>
      <c r="E509" s="86" t="s">
        <v>933</v>
      </c>
      <c r="F509" s="85" t="s">
        <v>349</v>
      </c>
      <c r="G509" s="85" t="s">
        <v>257</v>
      </c>
      <c r="H509" s="85" t="s">
        <v>12</v>
      </c>
      <c r="I509" s="85" t="s">
        <v>258</v>
      </c>
      <c r="J509" s="86" t="s">
        <v>259</v>
      </c>
      <c r="K509" s="85" t="s">
        <v>365</v>
      </c>
      <c r="L509" s="87">
        <v>8</v>
      </c>
      <c r="M509" s="87">
        <f t="shared" si="135"/>
        <v>4.92</v>
      </c>
      <c r="N509" s="88">
        <f>prodnorm5</f>
        <v>0</v>
      </c>
      <c r="O509" s="33">
        <f>dagwerk5</f>
        <v>0</v>
      </c>
      <c r="P509" s="85" t="s">
        <v>109</v>
      </c>
      <c r="Q509" s="21">
        <f>uurtarief5</f>
        <v>0</v>
      </c>
      <c r="R509" s="87" t="e">
        <f t="shared" si="136"/>
        <v>#DIV/0!</v>
      </c>
      <c r="S509" s="87" t="e">
        <f t="shared" si="137"/>
        <v>#DIV/0!</v>
      </c>
      <c r="T509" s="21" t="e">
        <f t="shared" si="138"/>
        <v>#DIV/0!</v>
      </c>
      <c r="U509" s="87" t="e">
        <f t="shared" si="139"/>
        <v>#DIV/0!</v>
      </c>
      <c r="V509" s="22" t="e">
        <f t="shared" si="140"/>
        <v>#DIV/0!</v>
      </c>
    </row>
    <row r="510" spans="1:22" x14ac:dyDescent="0.25">
      <c r="A510" s="84" t="s">
        <v>857</v>
      </c>
      <c r="B510" s="85" t="s">
        <v>42</v>
      </c>
      <c r="C510" s="85" t="s">
        <v>342</v>
      </c>
      <c r="D510" s="85" t="s">
        <v>932</v>
      </c>
      <c r="E510" s="86" t="s">
        <v>933</v>
      </c>
      <c r="F510" s="85" t="s">
        <v>349</v>
      </c>
      <c r="G510" s="85" t="s">
        <v>260</v>
      </c>
      <c r="H510" s="85" t="s">
        <v>14</v>
      </c>
      <c r="I510" s="85" t="s">
        <v>258</v>
      </c>
      <c r="J510" s="86" t="s">
        <v>261</v>
      </c>
      <c r="K510" s="85" t="s">
        <v>365</v>
      </c>
      <c r="L510" s="87">
        <v>8</v>
      </c>
      <c r="M510" s="87">
        <f t="shared" si="135"/>
        <v>3.28</v>
      </c>
      <c r="N510" s="88">
        <f>prodnorm7</f>
        <v>0</v>
      </c>
      <c r="O510" s="33">
        <f>dagwerk7</f>
        <v>0</v>
      </c>
      <c r="P510" s="85" t="s">
        <v>109</v>
      </c>
      <c r="Q510" s="21">
        <f>uurtarief7</f>
        <v>0</v>
      </c>
      <c r="R510" s="87" t="e">
        <f t="shared" si="136"/>
        <v>#DIV/0!</v>
      </c>
      <c r="S510" s="87" t="e">
        <f t="shared" si="137"/>
        <v>#DIV/0!</v>
      </c>
      <c r="T510" s="21" t="e">
        <f t="shared" si="138"/>
        <v>#DIV/0!</v>
      </c>
      <c r="U510" s="87" t="e">
        <f t="shared" si="139"/>
        <v>#DIV/0!</v>
      </c>
      <c r="V510" s="22" t="e">
        <f t="shared" si="140"/>
        <v>#DIV/0!</v>
      </c>
    </row>
    <row r="511" spans="1:22" x14ac:dyDescent="0.25">
      <c r="A511" s="84" t="s">
        <v>857</v>
      </c>
      <c r="B511" s="85" t="s">
        <v>42</v>
      </c>
      <c r="C511" s="85" t="s">
        <v>342</v>
      </c>
      <c r="D511" s="85" t="s">
        <v>934</v>
      </c>
      <c r="E511" s="86" t="s">
        <v>935</v>
      </c>
      <c r="F511" s="85" t="s">
        <v>666</v>
      </c>
      <c r="G511" s="85" t="s">
        <v>312</v>
      </c>
      <c r="H511" s="85" t="s">
        <v>9</v>
      </c>
      <c r="I511" s="85" t="s">
        <v>258</v>
      </c>
      <c r="J511" s="86" t="s">
        <v>313</v>
      </c>
      <c r="K511" s="85" t="s">
        <v>346</v>
      </c>
      <c r="L511" s="87">
        <v>9.94</v>
      </c>
      <c r="M511" s="87">
        <f t="shared" si="135"/>
        <v>10.188499999999999</v>
      </c>
      <c r="N511" s="88">
        <f>prodnorm46</f>
        <v>0</v>
      </c>
      <c r="O511" s="33">
        <f>dagwerk46</f>
        <v>0</v>
      </c>
      <c r="P511" s="85" t="s">
        <v>109</v>
      </c>
      <c r="Q511" s="21">
        <f>uurtarief46</f>
        <v>0</v>
      </c>
      <c r="R511" s="87" t="e">
        <f t="shared" si="136"/>
        <v>#DIV/0!</v>
      </c>
      <c r="S511" s="87" t="e">
        <f t="shared" si="137"/>
        <v>#DIV/0!</v>
      </c>
      <c r="T511" s="21" t="e">
        <f t="shared" si="138"/>
        <v>#DIV/0!</v>
      </c>
      <c r="U511" s="87" t="e">
        <f t="shared" si="139"/>
        <v>#DIV/0!</v>
      </c>
      <c r="V511" s="22" t="e">
        <f t="shared" si="140"/>
        <v>#DIV/0!</v>
      </c>
    </row>
    <row r="512" spans="1:22" x14ac:dyDescent="0.25">
      <c r="A512" s="84" t="s">
        <v>857</v>
      </c>
      <c r="B512" s="85" t="s">
        <v>42</v>
      </c>
      <c r="C512" s="85" t="s">
        <v>342</v>
      </c>
      <c r="D512" s="85" t="s">
        <v>936</v>
      </c>
      <c r="E512" s="86" t="s">
        <v>937</v>
      </c>
      <c r="F512" s="85" t="s">
        <v>666</v>
      </c>
      <c r="G512" s="85" t="s">
        <v>312</v>
      </c>
      <c r="H512" s="85" t="s">
        <v>9</v>
      </c>
      <c r="I512" s="85" t="s">
        <v>258</v>
      </c>
      <c r="J512" s="86" t="s">
        <v>313</v>
      </c>
      <c r="K512" s="85" t="s">
        <v>346</v>
      </c>
      <c r="L512" s="87">
        <v>22.55</v>
      </c>
      <c r="M512" s="87">
        <f t="shared" si="135"/>
        <v>23.11375</v>
      </c>
      <c r="N512" s="88">
        <f>prodnorm46</f>
        <v>0</v>
      </c>
      <c r="O512" s="33">
        <f>dagwerk46</f>
        <v>0</v>
      </c>
      <c r="P512" s="85" t="s">
        <v>109</v>
      </c>
      <c r="Q512" s="21">
        <f>uurtarief46</f>
        <v>0</v>
      </c>
      <c r="R512" s="87" t="e">
        <f t="shared" si="136"/>
        <v>#DIV/0!</v>
      </c>
      <c r="S512" s="87" t="e">
        <f t="shared" si="137"/>
        <v>#DIV/0!</v>
      </c>
      <c r="T512" s="21" t="e">
        <f t="shared" si="138"/>
        <v>#DIV/0!</v>
      </c>
      <c r="U512" s="87" t="e">
        <f t="shared" si="139"/>
        <v>#DIV/0!</v>
      </c>
      <c r="V512" s="22" t="e">
        <f t="shared" si="140"/>
        <v>#DIV/0!</v>
      </c>
    </row>
    <row r="513" spans="1:22" x14ac:dyDescent="0.25">
      <c r="A513" s="84" t="s">
        <v>857</v>
      </c>
      <c r="B513" s="85" t="s">
        <v>42</v>
      </c>
      <c r="C513" s="85" t="s">
        <v>342</v>
      </c>
      <c r="D513" s="85" t="s">
        <v>938</v>
      </c>
      <c r="E513" s="86" t="s">
        <v>939</v>
      </c>
      <c r="F513" s="85" t="s">
        <v>666</v>
      </c>
      <c r="G513" s="85" t="s">
        <v>312</v>
      </c>
      <c r="H513" s="85" t="s">
        <v>9</v>
      </c>
      <c r="I513" s="85" t="s">
        <v>258</v>
      </c>
      <c r="J513" s="86" t="s">
        <v>313</v>
      </c>
      <c r="K513" s="85" t="s">
        <v>346</v>
      </c>
      <c r="L513" s="87">
        <v>99.43</v>
      </c>
      <c r="M513" s="87">
        <f t="shared" si="135"/>
        <v>101.91575</v>
      </c>
      <c r="N513" s="88">
        <f>prodnorm46</f>
        <v>0</v>
      </c>
      <c r="O513" s="33">
        <f>dagwerk46</f>
        <v>0</v>
      </c>
      <c r="P513" s="85" t="s">
        <v>109</v>
      </c>
      <c r="Q513" s="21">
        <f>uurtarief46</f>
        <v>0</v>
      </c>
      <c r="R513" s="87" t="e">
        <f t="shared" si="136"/>
        <v>#DIV/0!</v>
      </c>
      <c r="S513" s="87" t="e">
        <f t="shared" si="137"/>
        <v>#DIV/0!</v>
      </c>
      <c r="T513" s="21" t="e">
        <f t="shared" si="138"/>
        <v>#DIV/0!</v>
      </c>
      <c r="U513" s="87" t="e">
        <f t="shared" si="139"/>
        <v>#DIV/0!</v>
      </c>
      <c r="V513" s="22" t="e">
        <f t="shared" si="140"/>
        <v>#DIV/0!</v>
      </c>
    </row>
    <row r="514" spans="1:22" x14ac:dyDescent="0.25">
      <c r="A514" s="84" t="s">
        <v>857</v>
      </c>
      <c r="B514" s="85" t="s">
        <v>42</v>
      </c>
      <c r="C514" s="85" t="s">
        <v>342</v>
      </c>
      <c r="D514" s="85" t="s">
        <v>940</v>
      </c>
      <c r="E514" s="86" t="s">
        <v>941</v>
      </c>
      <c r="F514" s="85" t="s">
        <v>666</v>
      </c>
      <c r="G514" s="85" t="s">
        <v>308</v>
      </c>
      <c r="H514" s="85" t="s">
        <v>9</v>
      </c>
      <c r="I514" s="85" t="s">
        <v>258</v>
      </c>
      <c r="J514" s="86" t="s">
        <v>309</v>
      </c>
      <c r="K514" s="85" t="s">
        <v>417</v>
      </c>
      <c r="L514" s="87">
        <v>34.849999999999994</v>
      </c>
      <c r="M514" s="87">
        <f t="shared" si="135"/>
        <v>35.721249999999991</v>
      </c>
      <c r="N514" s="88">
        <f>prodnorm43</f>
        <v>0</v>
      </c>
      <c r="O514" s="33">
        <f>dagwerk43</f>
        <v>0</v>
      </c>
      <c r="P514" s="85" t="s">
        <v>109</v>
      </c>
      <c r="Q514" s="21">
        <f>uurtarief43</f>
        <v>0</v>
      </c>
      <c r="R514" s="87" t="e">
        <f t="shared" si="136"/>
        <v>#DIV/0!</v>
      </c>
      <c r="S514" s="87" t="e">
        <f t="shared" si="137"/>
        <v>#DIV/0!</v>
      </c>
      <c r="T514" s="21" t="e">
        <f t="shared" si="138"/>
        <v>#DIV/0!</v>
      </c>
      <c r="U514" s="87" t="e">
        <f t="shared" si="139"/>
        <v>#DIV/0!</v>
      </c>
      <c r="V514" s="22" t="e">
        <f t="shared" si="140"/>
        <v>#DIV/0!</v>
      </c>
    </row>
    <row r="515" spans="1:22" x14ac:dyDescent="0.25">
      <c r="A515" s="84" t="s">
        <v>857</v>
      </c>
      <c r="B515" s="85" t="s">
        <v>42</v>
      </c>
      <c r="C515" s="85" t="s">
        <v>342</v>
      </c>
      <c r="D515" s="85" t="s">
        <v>942</v>
      </c>
      <c r="E515" s="86" t="s">
        <v>943</v>
      </c>
      <c r="F515" s="85" t="s">
        <v>666</v>
      </c>
      <c r="G515" s="85" t="s">
        <v>308</v>
      </c>
      <c r="H515" s="85" t="s">
        <v>9</v>
      </c>
      <c r="I515" s="85" t="s">
        <v>258</v>
      </c>
      <c r="J515" s="86" t="s">
        <v>309</v>
      </c>
      <c r="K515" s="85" t="s">
        <v>417</v>
      </c>
      <c r="L515" s="87">
        <v>29.73</v>
      </c>
      <c r="M515" s="87">
        <f t="shared" si="135"/>
        <v>30.473249999999997</v>
      </c>
      <c r="N515" s="88">
        <f>prodnorm43</f>
        <v>0</v>
      </c>
      <c r="O515" s="33">
        <f>dagwerk43</f>
        <v>0</v>
      </c>
      <c r="P515" s="85" t="s">
        <v>109</v>
      </c>
      <c r="Q515" s="21">
        <f>uurtarief43</f>
        <v>0</v>
      </c>
      <c r="R515" s="87" t="e">
        <f t="shared" si="136"/>
        <v>#DIV/0!</v>
      </c>
      <c r="S515" s="87" t="e">
        <f t="shared" si="137"/>
        <v>#DIV/0!</v>
      </c>
      <c r="T515" s="21" t="e">
        <f t="shared" si="138"/>
        <v>#DIV/0!</v>
      </c>
      <c r="U515" s="87" t="e">
        <f t="shared" si="139"/>
        <v>#DIV/0!</v>
      </c>
      <c r="V515" s="22" t="e">
        <f t="shared" si="140"/>
        <v>#DIV/0!</v>
      </c>
    </row>
    <row r="516" spans="1:22" ht="23" x14ac:dyDescent="0.25">
      <c r="A516" s="84" t="s">
        <v>857</v>
      </c>
      <c r="B516" s="85" t="s">
        <v>42</v>
      </c>
      <c r="C516" s="85" t="s">
        <v>342</v>
      </c>
      <c r="D516" s="85" t="s">
        <v>944</v>
      </c>
      <c r="E516" s="86" t="s">
        <v>945</v>
      </c>
      <c r="F516" s="85" t="s">
        <v>670</v>
      </c>
      <c r="G516" s="85" t="s">
        <v>270</v>
      </c>
      <c r="H516" s="85" t="s">
        <v>16</v>
      </c>
      <c r="I516" s="85" t="s">
        <v>258</v>
      </c>
      <c r="J516" s="86" t="s">
        <v>271</v>
      </c>
      <c r="K516" s="85" t="s">
        <v>346</v>
      </c>
      <c r="L516" s="87">
        <v>39.4</v>
      </c>
      <c r="M516" s="87">
        <f t="shared" si="135"/>
        <v>8.077</v>
      </c>
      <c r="N516" s="88">
        <f>prodnorm16</f>
        <v>0</v>
      </c>
      <c r="O516" s="33">
        <f>dagwerk16</f>
        <v>0</v>
      </c>
      <c r="P516" s="85" t="s">
        <v>109</v>
      </c>
      <c r="Q516" s="21">
        <f>uurtarief16</f>
        <v>0</v>
      </c>
      <c r="R516" s="87" t="e">
        <f t="shared" si="136"/>
        <v>#DIV/0!</v>
      </c>
      <c r="S516" s="87" t="e">
        <f t="shared" si="137"/>
        <v>#DIV/0!</v>
      </c>
      <c r="T516" s="21" t="e">
        <f t="shared" si="138"/>
        <v>#DIV/0!</v>
      </c>
      <c r="U516" s="87" t="e">
        <f t="shared" si="139"/>
        <v>#DIV/0!</v>
      </c>
      <c r="V516" s="22" t="e">
        <f t="shared" si="140"/>
        <v>#DIV/0!</v>
      </c>
    </row>
    <row r="517" spans="1:22" ht="23" x14ac:dyDescent="0.25">
      <c r="A517" s="84" t="s">
        <v>857</v>
      </c>
      <c r="B517" s="85" t="s">
        <v>42</v>
      </c>
      <c r="C517" s="85" t="s">
        <v>342</v>
      </c>
      <c r="D517" s="85" t="s">
        <v>946</v>
      </c>
      <c r="E517" s="86" t="s">
        <v>947</v>
      </c>
      <c r="F517" s="85" t="s">
        <v>666</v>
      </c>
      <c r="G517" s="85" t="s">
        <v>312</v>
      </c>
      <c r="H517" s="85" t="s">
        <v>9</v>
      </c>
      <c r="I517" s="85" t="s">
        <v>258</v>
      </c>
      <c r="J517" s="86" t="s">
        <v>313</v>
      </c>
      <c r="K517" s="85" t="s">
        <v>346</v>
      </c>
      <c r="L517" s="87">
        <v>103.53</v>
      </c>
      <c r="M517" s="87">
        <f t="shared" si="135"/>
        <v>106.11824999999999</v>
      </c>
      <c r="N517" s="88">
        <f>prodnorm46</f>
        <v>0</v>
      </c>
      <c r="O517" s="33">
        <f>dagwerk46</f>
        <v>0</v>
      </c>
      <c r="P517" s="85" t="s">
        <v>109</v>
      </c>
      <c r="Q517" s="21">
        <f>uurtarief46</f>
        <v>0</v>
      </c>
      <c r="R517" s="87" t="e">
        <f t="shared" si="136"/>
        <v>#DIV/0!</v>
      </c>
      <c r="S517" s="87" t="e">
        <f t="shared" si="137"/>
        <v>#DIV/0!</v>
      </c>
      <c r="T517" s="21" t="e">
        <f t="shared" si="138"/>
        <v>#DIV/0!</v>
      </c>
      <c r="U517" s="87" t="e">
        <f t="shared" si="139"/>
        <v>#DIV/0!</v>
      </c>
      <c r="V517" s="22" t="e">
        <f t="shared" si="140"/>
        <v>#DIV/0!</v>
      </c>
    </row>
    <row r="518" spans="1:22" x14ac:dyDescent="0.25">
      <c r="A518" s="84" t="s">
        <v>857</v>
      </c>
      <c r="B518" s="85" t="s">
        <v>42</v>
      </c>
      <c r="C518" s="85" t="s">
        <v>342</v>
      </c>
      <c r="D518" s="85" t="s">
        <v>948</v>
      </c>
      <c r="E518" s="86" t="s">
        <v>949</v>
      </c>
      <c r="F518" s="85" t="s">
        <v>666</v>
      </c>
      <c r="G518" s="85" t="s">
        <v>310</v>
      </c>
      <c r="H518" s="85" t="s">
        <v>9</v>
      </c>
      <c r="I518" s="85" t="s">
        <v>258</v>
      </c>
      <c r="J518" s="86" t="s">
        <v>311</v>
      </c>
      <c r="K518" s="85" t="s">
        <v>417</v>
      </c>
      <c r="L518" s="87">
        <v>1.6500000000000001</v>
      </c>
      <c r="M518" s="87">
        <f t="shared" si="135"/>
        <v>1.6912499999999999</v>
      </c>
      <c r="N518" s="88">
        <f>prodnorm45</f>
        <v>0</v>
      </c>
      <c r="O518" s="33">
        <f>dagwerk45</f>
        <v>0</v>
      </c>
      <c r="P518" s="85" t="s">
        <v>109</v>
      </c>
      <c r="Q518" s="21">
        <f>uurtarief45</f>
        <v>0</v>
      </c>
      <c r="R518" s="87" t="e">
        <f t="shared" si="136"/>
        <v>#DIV/0!</v>
      </c>
      <c r="S518" s="87" t="e">
        <f t="shared" si="137"/>
        <v>#DIV/0!</v>
      </c>
      <c r="T518" s="21" t="e">
        <f t="shared" si="138"/>
        <v>#DIV/0!</v>
      </c>
      <c r="U518" s="87" t="e">
        <f t="shared" si="139"/>
        <v>#DIV/0!</v>
      </c>
      <c r="V518" s="22" t="e">
        <f t="shared" si="140"/>
        <v>#DIV/0!</v>
      </c>
    </row>
    <row r="519" spans="1:22" x14ac:dyDescent="0.25">
      <c r="A519" s="84" t="s">
        <v>857</v>
      </c>
      <c r="B519" s="85" t="s">
        <v>42</v>
      </c>
      <c r="C519" s="85" t="s">
        <v>342</v>
      </c>
      <c r="D519" s="85" t="s">
        <v>950</v>
      </c>
      <c r="E519" s="86" t="s">
        <v>951</v>
      </c>
      <c r="F519" s="85" t="s">
        <v>666</v>
      </c>
      <c r="G519" s="85" t="s">
        <v>310</v>
      </c>
      <c r="H519" s="85" t="s">
        <v>9</v>
      </c>
      <c r="I519" s="85" t="s">
        <v>258</v>
      </c>
      <c r="J519" s="86" t="s">
        <v>311</v>
      </c>
      <c r="K519" s="85" t="s">
        <v>417</v>
      </c>
      <c r="L519" s="87">
        <v>1.6500000000000001</v>
      </c>
      <c r="M519" s="87">
        <f t="shared" si="135"/>
        <v>1.6912499999999999</v>
      </c>
      <c r="N519" s="88">
        <f>prodnorm45</f>
        <v>0</v>
      </c>
      <c r="O519" s="33">
        <f>dagwerk45</f>
        <v>0</v>
      </c>
      <c r="P519" s="85" t="s">
        <v>109</v>
      </c>
      <c r="Q519" s="21">
        <f>uurtarief45</f>
        <v>0</v>
      </c>
      <c r="R519" s="87" t="e">
        <f t="shared" si="136"/>
        <v>#DIV/0!</v>
      </c>
      <c r="S519" s="87" t="e">
        <f t="shared" si="137"/>
        <v>#DIV/0!</v>
      </c>
      <c r="T519" s="21" t="e">
        <f t="shared" si="138"/>
        <v>#DIV/0!</v>
      </c>
      <c r="U519" s="87" t="e">
        <f t="shared" si="139"/>
        <v>#DIV/0!</v>
      </c>
      <c r="V519" s="22" t="e">
        <f t="shared" si="140"/>
        <v>#DIV/0!</v>
      </c>
    </row>
    <row r="520" spans="1:22" ht="23" x14ac:dyDescent="0.25">
      <c r="A520" s="84" t="s">
        <v>857</v>
      </c>
      <c r="B520" s="85" t="s">
        <v>42</v>
      </c>
      <c r="C520" s="85" t="s">
        <v>342</v>
      </c>
      <c r="D520" s="85" t="s">
        <v>952</v>
      </c>
      <c r="E520" s="86" t="s">
        <v>953</v>
      </c>
      <c r="F520" s="85" t="s">
        <v>699</v>
      </c>
      <c r="G520" s="85" t="s">
        <v>310</v>
      </c>
      <c r="H520" s="85" t="s">
        <v>9</v>
      </c>
      <c r="I520" s="85" t="s">
        <v>258</v>
      </c>
      <c r="J520" s="86" t="s">
        <v>311</v>
      </c>
      <c r="K520" s="85" t="s">
        <v>417</v>
      </c>
      <c r="L520" s="87">
        <v>5.4300000000000006</v>
      </c>
      <c r="M520" s="87">
        <f t="shared" si="135"/>
        <v>5.5657500000000004</v>
      </c>
      <c r="N520" s="88">
        <f>prodnorm45</f>
        <v>0</v>
      </c>
      <c r="O520" s="33">
        <f>dagwerk45</f>
        <v>0</v>
      </c>
      <c r="P520" s="85" t="s">
        <v>109</v>
      </c>
      <c r="Q520" s="21">
        <f>uurtarief45</f>
        <v>0</v>
      </c>
      <c r="R520" s="87" t="e">
        <f t="shared" si="136"/>
        <v>#DIV/0!</v>
      </c>
      <c r="S520" s="87" t="e">
        <f t="shared" si="137"/>
        <v>#DIV/0!</v>
      </c>
      <c r="T520" s="21" t="e">
        <f t="shared" si="138"/>
        <v>#DIV/0!</v>
      </c>
      <c r="U520" s="87" t="e">
        <f t="shared" si="139"/>
        <v>#DIV/0!</v>
      </c>
      <c r="V520" s="22" t="e">
        <f t="shared" si="140"/>
        <v>#DIV/0!</v>
      </c>
    </row>
    <row r="521" spans="1:22" ht="23" x14ac:dyDescent="0.25">
      <c r="A521" s="84" t="s">
        <v>857</v>
      </c>
      <c r="B521" s="85" t="s">
        <v>42</v>
      </c>
      <c r="C521" s="85" t="s">
        <v>342</v>
      </c>
      <c r="D521" s="85" t="s">
        <v>954</v>
      </c>
      <c r="E521" s="86" t="s">
        <v>955</v>
      </c>
      <c r="F521" s="85" t="s">
        <v>699</v>
      </c>
      <c r="G521" s="85" t="s">
        <v>310</v>
      </c>
      <c r="H521" s="85" t="s">
        <v>9</v>
      </c>
      <c r="I521" s="85" t="s">
        <v>258</v>
      </c>
      <c r="J521" s="86" t="s">
        <v>311</v>
      </c>
      <c r="K521" s="85" t="s">
        <v>417</v>
      </c>
      <c r="L521" s="87">
        <v>5.95</v>
      </c>
      <c r="M521" s="87">
        <f t="shared" si="135"/>
        <v>6.0987499999999999</v>
      </c>
      <c r="N521" s="88">
        <f>prodnorm45</f>
        <v>0</v>
      </c>
      <c r="O521" s="33">
        <f>dagwerk45</f>
        <v>0</v>
      </c>
      <c r="P521" s="85" t="s">
        <v>109</v>
      </c>
      <c r="Q521" s="21">
        <f>uurtarief45</f>
        <v>0</v>
      </c>
      <c r="R521" s="87" t="e">
        <f t="shared" si="136"/>
        <v>#DIV/0!</v>
      </c>
      <c r="S521" s="87" t="e">
        <f t="shared" si="137"/>
        <v>#DIV/0!</v>
      </c>
      <c r="T521" s="21" t="e">
        <f t="shared" si="138"/>
        <v>#DIV/0!</v>
      </c>
      <c r="U521" s="87" t="e">
        <f t="shared" si="139"/>
        <v>#DIV/0!</v>
      </c>
      <c r="V521" s="22" t="e">
        <f t="shared" si="140"/>
        <v>#DIV/0!</v>
      </c>
    </row>
    <row r="522" spans="1:22" ht="23" x14ac:dyDescent="0.25">
      <c r="A522" s="84" t="s">
        <v>857</v>
      </c>
      <c r="B522" s="85" t="s">
        <v>42</v>
      </c>
      <c r="C522" s="85" t="s">
        <v>342</v>
      </c>
      <c r="D522" s="85" t="s">
        <v>956</v>
      </c>
      <c r="E522" s="86" t="s">
        <v>957</v>
      </c>
      <c r="F522" s="85" t="s">
        <v>699</v>
      </c>
      <c r="G522" s="85" t="s">
        <v>310</v>
      </c>
      <c r="H522" s="85" t="s">
        <v>9</v>
      </c>
      <c r="I522" s="85" t="s">
        <v>258</v>
      </c>
      <c r="J522" s="86" t="s">
        <v>311</v>
      </c>
      <c r="K522" s="85" t="s">
        <v>417</v>
      </c>
      <c r="L522" s="87">
        <v>8.51</v>
      </c>
      <c r="M522" s="87">
        <f t="shared" si="135"/>
        <v>8.7227499999999996</v>
      </c>
      <c r="N522" s="88">
        <f>prodnorm45</f>
        <v>0</v>
      </c>
      <c r="O522" s="33">
        <f>dagwerk45</f>
        <v>0</v>
      </c>
      <c r="P522" s="85" t="s">
        <v>109</v>
      </c>
      <c r="Q522" s="21">
        <f>uurtarief45</f>
        <v>0</v>
      </c>
      <c r="R522" s="87" t="e">
        <f t="shared" si="136"/>
        <v>#DIV/0!</v>
      </c>
      <c r="S522" s="87" t="e">
        <f t="shared" si="137"/>
        <v>#DIV/0!</v>
      </c>
      <c r="T522" s="21" t="e">
        <f t="shared" si="138"/>
        <v>#DIV/0!</v>
      </c>
      <c r="U522" s="87" t="e">
        <f t="shared" si="139"/>
        <v>#DIV/0!</v>
      </c>
      <c r="V522" s="22" t="e">
        <f t="shared" si="140"/>
        <v>#DIV/0!</v>
      </c>
    </row>
    <row r="523" spans="1:22" ht="23" x14ac:dyDescent="0.25">
      <c r="A523" s="84" t="s">
        <v>857</v>
      </c>
      <c r="B523" s="85" t="s">
        <v>42</v>
      </c>
      <c r="C523" s="85" t="s">
        <v>342</v>
      </c>
      <c r="D523" s="85" t="s">
        <v>958</v>
      </c>
      <c r="E523" s="86" t="s">
        <v>959</v>
      </c>
      <c r="F523" s="85" t="s">
        <v>666</v>
      </c>
      <c r="G523" s="85" t="s">
        <v>312</v>
      </c>
      <c r="H523" s="85" t="s">
        <v>9</v>
      </c>
      <c r="I523" s="85" t="s">
        <v>258</v>
      </c>
      <c r="J523" s="86" t="s">
        <v>313</v>
      </c>
      <c r="K523" s="85" t="s">
        <v>346</v>
      </c>
      <c r="L523" s="87">
        <v>55.349999999999994</v>
      </c>
      <c r="M523" s="87">
        <f t="shared" si="135"/>
        <v>56.733749999999986</v>
      </c>
      <c r="N523" s="88">
        <f>prodnorm46</f>
        <v>0</v>
      </c>
      <c r="O523" s="33">
        <f>dagwerk46</f>
        <v>0</v>
      </c>
      <c r="P523" s="85" t="s">
        <v>109</v>
      </c>
      <c r="Q523" s="21">
        <f>uurtarief46</f>
        <v>0</v>
      </c>
      <c r="R523" s="87" t="e">
        <f t="shared" si="136"/>
        <v>#DIV/0!</v>
      </c>
      <c r="S523" s="87" t="e">
        <f t="shared" si="137"/>
        <v>#DIV/0!</v>
      </c>
      <c r="T523" s="21" t="e">
        <f t="shared" si="138"/>
        <v>#DIV/0!</v>
      </c>
      <c r="U523" s="87" t="e">
        <f t="shared" si="139"/>
        <v>#DIV/0!</v>
      </c>
      <c r="V523" s="22" t="e">
        <f t="shared" si="140"/>
        <v>#DIV/0!</v>
      </c>
    </row>
    <row r="524" spans="1:22" x14ac:dyDescent="0.25">
      <c r="A524" s="84" t="s">
        <v>857</v>
      </c>
      <c r="B524" s="85" t="s">
        <v>42</v>
      </c>
      <c r="C524" s="85" t="s">
        <v>342</v>
      </c>
      <c r="D524" s="85" t="s">
        <v>960</v>
      </c>
      <c r="E524" s="86" t="s">
        <v>961</v>
      </c>
      <c r="F524" s="85" t="s">
        <v>349</v>
      </c>
      <c r="G524" s="85" t="s">
        <v>312</v>
      </c>
      <c r="H524" s="85" t="s">
        <v>9</v>
      </c>
      <c r="I524" s="85" t="s">
        <v>258</v>
      </c>
      <c r="J524" s="86" t="s">
        <v>313</v>
      </c>
      <c r="K524" s="85" t="s">
        <v>346</v>
      </c>
      <c r="L524" s="87">
        <v>30.24</v>
      </c>
      <c r="M524" s="87">
        <f t="shared" si="135"/>
        <v>30.995999999999995</v>
      </c>
      <c r="N524" s="88">
        <f>prodnorm46</f>
        <v>0</v>
      </c>
      <c r="O524" s="33">
        <f>dagwerk46</f>
        <v>0</v>
      </c>
      <c r="P524" s="85" t="s">
        <v>109</v>
      </c>
      <c r="Q524" s="21">
        <f>uurtarief46</f>
        <v>0</v>
      </c>
      <c r="R524" s="87" t="e">
        <f t="shared" si="136"/>
        <v>#DIV/0!</v>
      </c>
      <c r="S524" s="87" t="e">
        <f t="shared" si="137"/>
        <v>#DIV/0!</v>
      </c>
      <c r="T524" s="21" t="e">
        <f t="shared" si="138"/>
        <v>#DIV/0!</v>
      </c>
      <c r="U524" s="87" t="e">
        <f t="shared" si="139"/>
        <v>#DIV/0!</v>
      </c>
      <c r="V524" s="22" t="e">
        <f t="shared" si="140"/>
        <v>#DIV/0!</v>
      </c>
    </row>
    <row r="525" spans="1:22" x14ac:dyDescent="0.25">
      <c r="A525" s="84" t="s">
        <v>857</v>
      </c>
      <c r="B525" s="85" t="s">
        <v>42</v>
      </c>
      <c r="C525" s="85" t="s">
        <v>342</v>
      </c>
      <c r="D525" s="85" t="s">
        <v>962</v>
      </c>
      <c r="E525" s="86" t="s">
        <v>963</v>
      </c>
      <c r="F525" s="85" t="s">
        <v>349</v>
      </c>
      <c r="G525" s="85" t="s">
        <v>312</v>
      </c>
      <c r="H525" s="85" t="s">
        <v>9</v>
      </c>
      <c r="I525" s="85" t="s">
        <v>258</v>
      </c>
      <c r="J525" s="86" t="s">
        <v>313</v>
      </c>
      <c r="K525" s="85" t="s">
        <v>346</v>
      </c>
      <c r="L525" s="87">
        <v>49.2</v>
      </c>
      <c r="M525" s="87">
        <f t="shared" si="135"/>
        <v>50.43</v>
      </c>
      <c r="N525" s="88">
        <f>prodnorm46</f>
        <v>0</v>
      </c>
      <c r="O525" s="33">
        <f>dagwerk46</f>
        <v>0</v>
      </c>
      <c r="P525" s="85" t="s">
        <v>109</v>
      </c>
      <c r="Q525" s="21">
        <f>uurtarief46</f>
        <v>0</v>
      </c>
      <c r="R525" s="87" t="e">
        <f t="shared" si="136"/>
        <v>#DIV/0!</v>
      </c>
      <c r="S525" s="87" t="e">
        <f t="shared" si="137"/>
        <v>#DIV/0!</v>
      </c>
      <c r="T525" s="21" t="e">
        <f t="shared" si="138"/>
        <v>#DIV/0!</v>
      </c>
      <c r="U525" s="87" t="e">
        <f t="shared" si="139"/>
        <v>#DIV/0!</v>
      </c>
      <c r="V525" s="22" t="e">
        <f t="shared" si="140"/>
        <v>#DIV/0!</v>
      </c>
    </row>
    <row r="526" spans="1:22" x14ac:dyDescent="0.25">
      <c r="A526" s="84" t="s">
        <v>857</v>
      </c>
      <c r="B526" s="85" t="s">
        <v>42</v>
      </c>
      <c r="C526" s="85" t="s">
        <v>342</v>
      </c>
      <c r="D526" s="85" t="s">
        <v>964</v>
      </c>
      <c r="E526" s="86" t="s">
        <v>965</v>
      </c>
      <c r="F526" s="85" t="s">
        <v>966</v>
      </c>
      <c r="G526" s="85" t="s">
        <v>322</v>
      </c>
      <c r="H526" s="85" t="s">
        <v>20</v>
      </c>
      <c r="I526" s="85" t="s">
        <v>258</v>
      </c>
      <c r="J526" s="86" t="s">
        <v>323</v>
      </c>
      <c r="K526" s="85" t="s">
        <v>346</v>
      </c>
      <c r="L526" s="87">
        <v>9</v>
      </c>
      <c r="M526" s="87">
        <f t="shared" si="135"/>
        <v>0.54</v>
      </c>
      <c r="N526" s="88">
        <f>prodnorm53</f>
        <v>0</v>
      </c>
      <c r="O526" s="33">
        <f>dagwerk53</f>
        <v>0</v>
      </c>
      <c r="P526" s="85" t="s">
        <v>109</v>
      </c>
      <c r="Q526" s="21">
        <f>uurtarief53</f>
        <v>0</v>
      </c>
      <c r="R526" s="87" t="e">
        <f t="shared" si="136"/>
        <v>#DIV/0!</v>
      </c>
      <c r="S526" s="87" t="e">
        <f t="shared" si="137"/>
        <v>#DIV/0!</v>
      </c>
      <c r="T526" s="21" t="e">
        <f t="shared" si="138"/>
        <v>#DIV/0!</v>
      </c>
      <c r="U526" s="87" t="e">
        <f t="shared" si="139"/>
        <v>#DIV/0!</v>
      </c>
      <c r="V526" s="22" t="e">
        <f t="shared" si="140"/>
        <v>#DIV/0!</v>
      </c>
    </row>
    <row r="527" spans="1:22" x14ac:dyDescent="0.25">
      <c r="A527" s="84" t="s">
        <v>857</v>
      </c>
      <c r="B527" s="85" t="s">
        <v>42</v>
      </c>
      <c r="C527" s="85" t="s">
        <v>342</v>
      </c>
      <c r="D527" s="85" t="s">
        <v>967</v>
      </c>
      <c r="E527" s="86" t="s">
        <v>968</v>
      </c>
      <c r="F527" s="85" t="s">
        <v>349</v>
      </c>
      <c r="G527" s="85" t="s">
        <v>312</v>
      </c>
      <c r="H527" s="85" t="s">
        <v>9</v>
      </c>
      <c r="I527" s="85" t="s">
        <v>258</v>
      </c>
      <c r="J527" s="86" t="s">
        <v>313</v>
      </c>
      <c r="K527" s="85" t="s">
        <v>346</v>
      </c>
      <c r="L527" s="87">
        <v>34.65</v>
      </c>
      <c r="M527" s="87">
        <f t="shared" si="135"/>
        <v>35.516249999999992</v>
      </c>
      <c r="N527" s="88">
        <f>prodnorm46</f>
        <v>0</v>
      </c>
      <c r="O527" s="33">
        <f>dagwerk46</f>
        <v>0</v>
      </c>
      <c r="P527" s="85" t="s">
        <v>109</v>
      </c>
      <c r="Q527" s="21">
        <f>uurtarief46</f>
        <v>0</v>
      </c>
      <c r="R527" s="87" t="e">
        <f t="shared" si="136"/>
        <v>#DIV/0!</v>
      </c>
      <c r="S527" s="87" t="e">
        <f t="shared" si="137"/>
        <v>#DIV/0!</v>
      </c>
      <c r="T527" s="21" t="e">
        <f t="shared" si="138"/>
        <v>#DIV/0!</v>
      </c>
      <c r="U527" s="87" t="e">
        <f t="shared" si="139"/>
        <v>#DIV/0!</v>
      </c>
      <c r="V527" s="22" t="e">
        <f t="shared" si="140"/>
        <v>#DIV/0!</v>
      </c>
    </row>
    <row r="528" spans="1:22" x14ac:dyDescent="0.25">
      <c r="A528" s="84" t="s">
        <v>857</v>
      </c>
      <c r="B528" s="85" t="s">
        <v>42</v>
      </c>
      <c r="C528" s="85" t="s">
        <v>464</v>
      </c>
      <c r="D528" s="85" t="s">
        <v>969</v>
      </c>
      <c r="E528" s="86" t="s">
        <v>873</v>
      </c>
      <c r="F528" s="85" t="s">
        <v>349</v>
      </c>
      <c r="G528" s="85" t="s">
        <v>298</v>
      </c>
      <c r="H528" s="85" t="s">
        <v>9</v>
      </c>
      <c r="I528" s="85" t="s">
        <v>258</v>
      </c>
      <c r="J528" s="86" t="s">
        <v>299</v>
      </c>
      <c r="K528" s="85" t="s">
        <v>386</v>
      </c>
      <c r="L528" s="87">
        <v>102.6</v>
      </c>
      <c r="M528" s="87">
        <f t="shared" si="135"/>
        <v>105.16499999999999</v>
      </c>
      <c r="N528" s="88">
        <f>prodnorm35</f>
        <v>0</v>
      </c>
      <c r="O528" s="33">
        <f>dagwerk35</f>
        <v>0</v>
      </c>
      <c r="P528" s="85" t="s">
        <v>109</v>
      </c>
      <c r="Q528" s="21">
        <f>uurtarief35</f>
        <v>0</v>
      </c>
      <c r="R528" s="87" t="e">
        <f t="shared" si="136"/>
        <v>#DIV/0!</v>
      </c>
      <c r="S528" s="87" t="e">
        <f t="shared" si="137"/>
        <v>#DIV/0!</v>
      </c>
      <c r="T528" s="21" t="e">
        <f t="shared" si="138"/>
        <v>#DIV/0!</v>
      </c>
      <c r="U528" s="87" t="e">
        <f t="shared" si="139"/>
        <v>#DIV/0!</v>
      </c>
      <c r="V528" s="22" t="e">
        <f t="shared" si="140"/>
        <v>#DIV/0!</v>
      </c>
    </row>
    <row r="529" spans="1:22" x14ac:dyDescent="0.25">
      <c r="A529" s="84" t="s">
        <v>857</v>
      </c>
      <c r="B529" s="85" t="s">
        <v>42</v>
      </c>
      <c r="C529" s="85" t="s">
        <v>464</v>
      </c>
      <c r="D529" s="85" t="s">
        <v>970</v>
      </c>
      <c r="E529" s="86" t="s">
        <v>423</v>
      </c>
      <c r="F529" s="85" t="s">
        <v>349</v>
      </c>
      <c r="G529" s="85" t="s">
        <v>282</v>
      </c>
      <c r="H529" s="85" t="s">
        <v>9</v>
      </c>
      <c r="I529" s="85" t="s">
        <v>258</v>
      </c>
      <c r="J529" s="86" t="s">
        <v>283</v>
      </c>
      <c r="K529" s="85" t="s">
        <v>386</v>
      </c>
      <c r="L529" s="87">
        <v>56</v>
      </c>
      <c r="M529" s="87">
        <f t="shared" si="135"/>
        <v>57.399999999999991</v>
      </c>
      <c r="N529" s="88">
        <f>prodnorm24</f>
        <v>0</v>
      </c>
      <c r="O529" s="33">
        <f>dagwerk24</f>
        <v>0</v>
      </c>
      <c r="P529" s="85" t="s">
        <v>109</v>
      </c>
      <c r="Q529" s="21">
        <f>uurtarief24</f>
        <v>0</v>
      </c>
      <c r="R529" s="87" t="e">
        <f t="shared" si="136"/>
        <v>#DIV/0!</v>
      </c>
      <c r="S529" s="87" t="e">
        <f t="shared" si="137"/>
        <v>#DIV/0!</v>
      </c>
      <c r="T529" s="21" t="e">
        <f t="shared" si="138"/>
        <v>#DIV/0!</v>
      </c>
      <c r="U529" s="87" t="e">
        <f t="shared" si="139"/>
        <v>#DIV/0!</v>
      </c>
      <c r="V529" s="22" t="e">
        <f t="shared" si="140"/>
        <v>#DIV/0!</v>
      </c>
    </row>
    <row r="530" spans="1:22" x14ac:dyDescent="0.25">
      <c r="A530" s="84" t="s">
        <v>857</v>
      </c>
      <c r="B530" s="85" t="s">
        <v>42</v>
      </c>
      <c r="C530" s="85" t="s">
        <v>464</v>
      </c>
      <c r="D530" s="85" t="s">
        <v>971</v>
      </c>
      <c r="E530" s="86" t="s">
        <v>423</v>
      </c>
      <c r="F530" s="85" t="s">
        <v>349</v>
      </c>
      <c r="G530" s="85" t="s">
        <v>282</v>
      </c>
      <c r="H530" s="85" t="s">
        <v>9</v>
      </c>
      <c r="I530" s="85" t="s">
        <v>258</v>
      </c>
      <c r="J530" s="86" t="s">
        <v>283</v>
      </c>
      <c r="K530" s="85" t="s">
        <v>386</v>
      </c>
      <c r="L530" s="87">
        <v>56</v>
      </c>
      <c r="M530" s="87">
        <f t="shared" si="135"/>
        <v>57.399999999999991</v>
      </c>
      <c r="N530" s="88">
        <f>prodnorm24</f>
        <v>0</v>
      </c>
      <c r="O530" s="33">
        <f>dagwerk24</f>
        <v>0</v>
      </c>
      <c r="P530" s="85" t="s">
        <v>109</v>
      </c>
      <c r="Q530" s="21">
        <f>uurtarief24</f>
        <v>0</v>
      </c>
      <c r="R530" s="87" t="e">
        <f t="shared" si="136"/>
        <v>#DIV/0!</v>
      </c>
      <c r="S530" s="87" t="e">
        <f t="shared" si="137"/>
        <v>#DIV/0!</v>
      </c>
      <c r="T530" s="21" t="e">
        <f t="shared" si="138"/>
        <v>#DIV/0!</v>
      </c>
      <c r="U530" s="87" t="e">
        <f t="shared" si="139"/>
        <v>#DIV/0!</v>
      </c>
      <c r="V530" s="22" t="e">
        <f t="shared" si="140"/>
        <v>#DIV/0!</v>
      </c>
    </row>
    <row r="531" spans="1:22" x14ac:dyDescent="0.25">
      <c r="A531" s="84" t="s">
        <v>857</v>
      </c>
      <c r="B531" s="85" t="s">
        <v>42</v>
      </c>
      <c r="C531" s="85" t="s">
        <v>464</v>
      </c>
      <c r="D531" s="85" t="s">
        <v>972</v>
      </c>
      <c r="E531" s="86" t="s">
        <v>973</v>
      </c>
      <c r="F531" s="85" t="s">
        <v>349</v>
      </c>
      <c r="G531" s="85" t="s">
        <v>298</v>
      </c>
      <c r="H531" s="85" t="s">
        <v>9</v>
      </c>
      <c r="I531" s="85" t="s">
        <v>258</v>
      </c>
      <c r="J531" s="86" t="s">
        <v>299</v>
      </c>
      <c r="K531" s="85" t="s">
        <v>386</v>
      </c>
      <c r="L531" s="87">
        <v>88.5</v>
      </c>
      <c r="M531" s="87">
        <f t="shared" si="135"/>
        <v>90.712499999999991</v>
      </c>
      <c r="N531" s="88">
        <f>prodnorm35</f>
        <v>0</v>
      </c>
      <c r="O531" s="33">
        <f>dagwerk35</f>
        <v>0</v>
      </c>
      <c r="P531" s="85" t="s">
        <v>109</v>
      </c>
      <c r="Q531" s="21">
        <f>uurtarief35</f>
        <v>0</v>
      </c>
      <c r="R531" s="87" t="e">
        <f t="shared" si="136"/>
        <v>#DIV/0!</v>
      </c>
      <c r="S531" s="87" t="e">
        <f t="shared" si="137"/>
        <v>#DIV/0!</v>
      </c>
      <c r="T531" s="21" t="e">
        <f t="shared" si="138"/>
        <v>#DIV/0!</v>
      </c>
      <c r="U531" s="87" t="e">
        <f t="shared" si="139"/>
        <v>#DIV/0!</v>
      </c>
      <c r="V531" s="22" t="e">
        <f t="shared" si="140"/>
        <v>#DIV/0!</v>
      </c>
    </row>
    <row r="532" spans="1:22" x14ac:dyDescent="0.25">
      <c r="A532" s="84" t="s">
        <v>857</v>
      </c>
      <c r="B532" s="85" t="s">
        <v>42</v>
      </c>
      <c r="C532" s="85" t="s">
        <v>464</v>
      </c>
      <c r="D532" s="85" t="s">
        <v>974</v>
      </c>
      <c r="E532" s="86" t="s">
        <v>975</v>
      </c>
      <c r="F532" s="85" t="s">
        <v>349</v>
      </c>
      <c r="G532" s="85" t="s">
        <v>298</v>
      </c>
      <c r="H532" s="85" t="s">
        <v>9</v>
      </c>
      <c r="I532" s="85" t="s">
        <v>258</v>
      </c>
      <c r="J532" s="86" t="s">
        <v>299</v>
      </c>
      <c r="K532" s="85" t="s">
        <v>386</v>
      </c>
      <c r="L532" s="87">
        <v>53.5</v>
      </c>
      <c r="M532" s="87">
        <f t="shared" si="135"/>
        <v>54.837499999999999</v>
      </c>
      <c r="N532" s="88">
        <f>prodnorm35</f>
        <v>0</v>
      </c>
      <c r="O532" s="33">
        <f>dagwerk35</f>
        <v>0</v>
      </c>
      <c r="P532" s="85" t="s">
        <v>109</v>
      </c>
      <c r="Q532" s="21">
        <f>uurtarief35</f>
        <v>0</v>
      </c>
      <c r="R532" s="87" t="e">
        <f t="shared" si="136"/>
        <v>#DIV/0!</v>
      </c>
      <c r="S532" s="87" t="e">
        <f t="shared" si="137"/>
        <v>#DIV/0!</v>
      </c>
      <c r="T532" s="21" t="e">
        <f t="shared" si="138"/>
        <v>#DIV/0!</v>
      </c>
      <c r="U532" s="87" t="e">
        <f t="shared" si="139"/>
        <v>#DIV/0!</v>
      </c>
      <c r="V532" s="22" t="e">
        <f t="shared" si="140"/>
        <v>#DIV/0!</v>
      </c>
    </row>
    <row r="533" spans="1:22" x14ac:dyDescent="0.25">
      <c r="A533" s="84" t="s">
        <v>857</v>
      </c>
      <c r="B533" s="85" t="s">
        <v>42</v>
      </c>
      <c r="C533" s="85" t="s">
        <v>464</v>
      </c>
      <c r="D533" s="85" t="s">
        <v>976</v>
      </c>
      <c r="E533" s="86" t="s">
        <v>841</v>
      </c>
      <c r="F533" s="85" t="s">
        <v>349</v>
      </c>
      <c r="G533" s="85" t="s">
        <v>298</v>
      </c>
      <c r="H533" s="85" t="s">
        <v>9</v>
      </c>
      <c r="I533" s="85" t="s">
        <v>258</v>
      </c>
      <c r="J533" s="86" t="s">
        <v>299</v>
      </c>
      <c r="K533" s="85" t="s">
        <v>386</v>
      </c>
      <c r="L533" s="87">
        <v>20.45</v>
      </c>
      <c r="M533" s="87">
        <f t="shared" si="135"/>
        <v>20.961249999999996</v>
      </c>
      <c r="N533" s="88">
        <f>prodnorm35</f>
        <v>0</v>
      </c>
      <c r="O533" s="33">
        <f>dagwerk35</f>
        <v>0</v>
      </c>
      <c r="P533" s="85" t="s">
        <v>109</v>
      </c>
      <c r="Q533" s="21">
        <f>uurtarief35</f>
        <v>0</v>
      </c>
      <c r="R533" s="87" t="e">
        <f t="shared" si="136"/>
        <v>#DIV/0!</v>
      </c>
      <c r="S533" s="87" t="e">
        <f t="shared" si="137"/>
        <v>#DIV/0!</v>
      </c>
      <c r="T533" s="21" t="e">
        <f t="shared" si="138"/>
        <v>#DIV/0!</v>
      </c>
      <c r="U533" s="87" t="e">
        <f t="shared" si="139"/>
        <v>#DIV/0!</v>
      </c>
      <c r="V533" s="22" t="e">
        <f t="shared" si="140"/>
        <v>#DIV/0!</v>
      </c>
    </row>
    <row r="534" spans="1:22" x14ac:dyDescent="0.25">
      <c r="A534" s="84" t="s">
        <v>857</v>
      </c>
      <c r="B534" s="85" t="s">
        <v>42</v>
      </c>
      <c r="C534" s="85" t="s">
        <v>464</v>
      </c>
      <c r="D534" s="85" t="s">
        <v>977</v>
      </c>
      <c r="E534" s="86" t="s">
        <v>423</v>
      </c>
      <c r="F534" s="85" t="s">
        <v>349</v>
      </c>
      <c r="G534" s="85" t="s">
        <v>282</v>
      </c>
      <c r="H534" s="85" t="s">
        <v>9</v>
      </c>
      <c r="I534" s="85" t="s">
        <v>258</v>
      </c>
      <c r="J534" s="86" t="s">
        <v>283</v>
      </c>
      <c r="K534" s="85" t="s">
        <v>386</v>
      </c>
      <c r="L534" s="87">
        <v>72.900000000000006</v>
      </c>
      <c r="M534" s="87">
        <f t="shared" si="135"/>
        <v>74.722499999999997</v>
      </c>
      <c r="N534" s="88">
        <f>prodnorm24</f>
        <v>0</v>
      </c>
      <c r="O534" s="33">
        <f>dagwerk24</f>
        <v>0</v>
      </c>
      <c r="P534" s="85" t="s">
        <v>109</v>
      </c>
      <c r="Q534" s="21">
        <f>uurtarief24</f>
        <v>0</v>
      </c>
      <c r="R534" s="87" t="e">
        <f t="shared" si="136"/>
        <v>#DIV/0!</v>
      </c>
      <c r="S534" s="87" t="e">
        <f t="shared" si="137"/>
        <v>#DIV/0!</v>
      </c>
      <c r="T534" s="21" t="e">
        <f t="shared" si="138"/>
        <v>#DIV/0!</v>
      </c>
      <c r="U534" s="87" t="e">
        <f t="shared" si="139"/>
        <v>#DIV/0!</v>
      </c>
      <c r="V534" s="22" t="e">
        <f t="shared" si="140"/>
        <v>#DIV/0!</v>
      </c>
    </row>
    <row r="535" spans="1:22" x14ac:dyDescent="0.25">
      <c r="A535" s="84" t="s">
        <v>857</v>
      </c>
      <c r="B535" s="85" t="s">
        <v>42</v>
      </c>
      <c r="C535" s="85" t="s">
        <v>464</v>
      </c>
      <c r="D535" s="85" t="s">
        <v>978</v>
      </c>
      <c r="E535" s="86" t="s">
        <v>373</v>
      </c>
      <c r="F535" s="85" t="s">
        <v>349</v>
      </c>
      <c r="G535" s="85" t="s">
        <v>312</v>
      </c>
      <c r="H535" s="85" t="s">
        <v>9</v>
      </c>
      <c r="I535" s="85" t="s">
        <v>258</v>
      </c>
      <c r="J535" s="86" t="s">
        <v>313</v>
      </c>
      <c r="K535" s="85" t="s">
        <v>346</v>
      </c>
      <c r="L535" s="87">
        <v>60.190000000000005</v>
      </c>
      <c r="M535" s="87">
        <f t="shared" si="135"/>
        <v>61.694749999999999</v>
      </c>
      <c r="N535" s="88">
        <f>prodnorm46</f>
        <v>0</v>
      </c>
      <c r="O535" s="33">
        <f>dagwerk46</f>
        <v>0</v>
      </c>
      <c r="P535" s="85" t="s">
        <v>109</v>
      </c>
      <c r="Q535" s="21">
        <f>uurtarief46</f>
        <v>0</v>
      </c>
      <c r="R535" s="87" t="e">
        <f t="shared" si="136"/>
        <v>#DIV/0!</v>
      </c>
      <c r="S535" s="87" t="e">
        <f t="shared" si="137"/>
        <v>#DIV/0!</v>
      </c>
      <c r="T535" s="21" t="e">
        <f t="shared" si="138"/>
        <v>#DIV/0!</v>
      </c>
      <c r="U535" s="87" t="e">
        <f t="shared" si="139"/>
        <v>#DIV/0!</v>
      </c>
      <c r="V535" s="22" t="e">
        <f t="shared" si="140"/>
        <v>#DIV/0!</v>
      </c>
    </row>
    <row r="536" spans="1:22" x14ac:dyDescent="0.25">
      <c r="A536" s="84" t="s">
        <v>857</v>
      </c>
      <c r="B536" s="85" t="s">
        <v>42</v>
      </c>
      <c r="C536" s="85" t="s">
        <v>464</v>
      </c>
      <c r="D536" s="85" t="s">
        <v>979</v>
      </c>
      <c r="E536" s="86" t="s">
        <v>882</v>
      </c>
      <c r="F536" s="85" t="s">
        <v>666</v>
      </c>
      <c r="G536" s="85" t="s">
        <v>310</v>
      </c>
      <c r="H536" s="85" t="s">
        <v>9</v>
      </c>
      <c r="I536" s="85" t="s">
        <v>258</v>
      </c>
      <c r="J536" s="86" t="s">
        <v>311</v>
      </c>
      <c r="K536" s="85" t="s">
        <v>417</v>
      </c>
      <c r="L536" s="87">
        <v>12</v>
      </c>
      <c r="M536" s="87">
        <f t="shared" si="135"/>
        <v>12.299999999999999</v>
      </c>
      <c r="N536" s="88">
        <f>prodnorm45</f>
        <v>0</v>
      </c>
      <c r="O536" s="33">
        <f>dagwerk45</f>
        <v>0</v>
      </c>
      <c r="P536" s="85" t="s">
        <v>109</v>
      </c>
      <c r="Q536" s="21">
        <f>uurtarief45</f>
        <v>0</v>
      </c>
      <c r="R536" s="87" t="e">
        <f t="shared" si="136"/>
        <v>#DIV/0!</v>
      </c>
      <c r="S536" s="87" t="e">
        <f t="shared" si="137"/>
        <v>#DIV/0!</v>
      </c>
      <c r="T536" s="21" t="e">
        <f t="shared" si="138"/>
        <v>#DIV/0!</v>
      </c>
      <c r="U536" s="87" t="e">
        <f t="shared" si="139"/>
        <v>#DIV/0!</v>
      </c>
      <c r="V536" s="22" t="e">
        <f t="shared" si="140"/>
        <v>#DIV/0!</v>
      </c>
    </row>
    <row r="537" spans="1:22" x14ac:dyDescent="0.25">
      <c r="A537" s="90" t="s">
        <v>857</v>
      </c>
      <c r="B537" s="91" t="s">
        <v>42</v>
      </c>
      <c r="C537" s="91" t="s">
        <v>464</v>
      </c>
      <c r="D537" s="91" t="s">
        <v>980</v>
      </c>
      <c r="E537" s="92" t="s">
        <v>882</v>
      </c>
      <c r="F537" s="91" t="s">
        <v>666</v>
      </c>
      <c r="G537" s="91" t="s">
        <v>310</v>
      </c>
      <c r="H537" s="91" t="s">
        <v>9</v>
      </c>
      <c r="I537" s="91" t="s">
        <v>258</v>
      </c>
      <c r="J537" s="92" t="s">
        <v>311</v>
      </c>
      <c r="K537" s="91" t="s">
        <v>417</v>
      </c>
      <c r="L537" s="93">
        <v>8.6</v>
      </c>
      <c r="M537" s="93">
        <f t="shared" si="135"/>
        <v>8.8149999999999995</v>
      </c>
      <c r="N537" s="94">
        <f>prodnorm45</f>
        <v>0</v>
      </c>
      <c r="O537" s="95">
        <f>dagwerk45</f>
        <v>0</v>
      </c>
      <c r="P537" s="91" t="s">
        <v>109</v>
      </c>
      <c r="Q537" s="30">
        <f>uurtarief45</f>
        <v>0</v>
      </c>
      <c r="R537" s="93" t="e">
        <f t="shared" si="136"/>
        <v>#DIV/0!</v>
      </c>
      <c r="S537" s="93" t="e">
        <f t="shared" si="137"/>
        <v>#DIV/0!</v>
      </c>
      <c r="T537" s="30" t="e">
        <f t="shared" si="138"/>
        <v>#DIV/0!</v>
      </c>
      <c r="U537" s="93" t="e">
        <f t="shared" si="139"/>
        <v>#DIV/0!</v>
      </c>
      <c r="V537" s="31" t="e">
        <f t="shared" si="140"/>
        <v>#DIV/0!</v>
      </c>
    </row>
    <row r="538" spans="1:22" x14ac:dyDescent="0.25">
      <c r="A538" s="96" t="s">
        <v>631</v>
      </c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8" t="e">
        <f>IF(_xlfn.SINGLE(object3_urenjaar1)&gt;0,_xlfn.SINGLE(object3_prijsjaar1)/_xlfn.SINGLE(object3_urenjaar1),0)</f>
        <v>#DIV/0!</v>
      </c>
      <c r="R538" s="67" t="e">
        <f>SUM(R451:R537)</f>
        <v>#DIV/0!</v>
      </c>
      <c r="S538" s="67" t="e">
        <f>SUM(S451:S537)</f>
        <v>#DIV/0!</v>
      </c>
      <c r="T538" s="68" t="e">
        <f>SUM(T451:T537)</f>
        <v>#DIV/0!</v>
      </c>
      <c r="U538" s="67" t="e">
        <f>SUM(U451:U537)</f>
        <v>#DIV/0!</v>
      </c>
      <c r="V538" s="69" t="e">
        <f>SUM(V451:V537)</f>
        <v>#DIV/0!</v>
      </c>
    </row>
    <row r="539" spans="1:22" x14ac:dyDescent="0.25">
      <c r="A539" s="74" t="s">
        <v>981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75"/>
    </row>
    <row r="540" spans="1:22" x14ac:dyDescent="0.25">
      <c r="A540" s="76" t="s">
        <v>982</v>
      </c>
      <c r="B540" s="77" t="s">
        <v>42</v>
      </c>
      <c r="C540" s="77" t="s">
        <v>342</v>
      </c>
      <c r="D540" s="77" t="s">
        <v>983</v>
      </c>
      <c r="E540" s="78" t="s">
        <v>984</v>
      </c>
      <c r="F540" s="77" t="s">
        <v>666</v>
      </c>
      <c r="G540" s="77" t="s">
        <v>350</v>
      </c>
      <c r="H540" s="77"/>
      <c r="I540" s="77"/>
      <c r="J540" s="77"/>
      <c r="K540" s="77" t="s">
        <v>42</v>
      </c>
      <c r="L540" s="79">
        <v>900</v>
      </c>
      <c r="M540" s="79"/>
      <c r="N540" s="80"/>
      <c r="O540" s="81"/>
      <c r="P540" s="77"/>
      <c r="Q540" s="82"/>
      <c r="R540" s="79"/>
      <c r="S540" s="79"/>
      <c r="T540" s="82"/>
      <c r="U540" s="98"/>
      <c r="V540" s="83"/>
    </row>
    <row r="541" spans="1:22" x14ac:dyDescent="0.25">
      <c r="A541" s="84" t="s">
        <v>982</v>
      </c>
      <c r="B541" s="85" t="s">
        <v>42</v>
      </c>
      <c r="C541" s="85" t="s">
        <v>342</v>
      </c>
      <c r="D541" s="85" t="s">
        <v>343</v>
      </c>
      <c r="E541" s="86" t="s">
        <v>722</v>
      </c>
      <c r="F541" s="85" t="s">
        <v>691</v>
      </c>
      <c r="G541" s="85" t="s">
        <v>316</v>
      </c>
      <c r="H541" s="85" t="s">
        <v>9</v>
      </c>
      <c r="I541" s="85" t="s">
        <v>258</v>
      </c>
      <c r="J541" s="86" t="s">
        <v>317</v>
      </c>
      <c r="K541" s="85" t="s">
        <v>346</v>
      </c>
      <c r="L541" s="87">
        <v>16.7</v>
      </c>
      <c r="M541" s="87">
        <f t="shared" ref="M541:M548" si="141">L541*VLOOKUP(H541,dagsoorttabel1,2,FALSE)</f>
        <v>17.117499999999996</v>
      </c>
      <c r="N541" s="88">
        <f>prodnorm48</f>
        <v>0</v>
      </c>
      <c r="O541" s="33">
        <f>dagwerk48</f>
        <v>0</v>
      </c>
      <c r="P541" s="85" t="s">
        <v>109</v>
      </c>
      <c r="Q541" s="21">
        <f>uurtarief48</f>
        <v>0</v>
      </c>
      <c r="R541" s="87" t="e">
        <f t="shared" ref="R541:R548" si="142">IF(ISBLANK(N541),0,M541/ROUND(N541,4))</f>
        <v>#DIV/0!</v>
      </c>
      <c r="S541" s="87" t="e">
        <f t="shared" ref="S541:S548" si="143">IF(ISBLANK(N541),0,R541*ROUND(O541,2))</f>
        <v>#DIV/0!</v>
      </c>
      <c r="T541" s="21" t="e">
        <f t="shared" ref="T541:T548" si="144">ROUND(Q541,2)*R541</f>
        <v>#DIV/0!</v>
      </c>
      <c r="U541" s="87" t="e">
        <f t="shared" ref="U541:U548" si="145">R541*dagenperjaar1</f>
        <v>#DIV/0!</v>
      </c>
      <c r="V541" s="22" t="e">
        <f t="shared" ref="V541:V548" si="146">U541*ROUND(Q541,2)</f>
        <v>#DIV/0!</v>
      </c>
    </row>
    <row r="542" spans="1:22" x14ac:dyDescent="0.25">
      <c r="A542" s="84" t="s">
        <v>982</v>
      </c>
      <c r="B542" s="85" t="s">
        <v>42</v>
      </c>
      <c r="C542" s="85" t="s">
        <v>342</v>
      </c>
      <c r="D542" s="85" t="s">
        <v>347</v>
      </c>
      <c r="E542" s="86" t="s">
        <v>344</v>
      </c>
      <c r="F542" s="85" t="s">
        <v>985</v>
      </c>
      <c r="G542" s="85" t="s">
        <v>272</v>
      </c>
      <c r="H542" s="85" t="s">
        <v>9</v>
      </c>
      <c r="I542" s="85" t="s">
        <v>258</v>
      </c>
      <c r="J542" s="86" t="s">
        <v>273</v>
      </c>
      <c r="K542" s="85" t="s">
        <v>346</v>
      </c>
      <c r="L542" s="87">
        <v>925</v>
      </c>
      <c r="M542" s="87">
        <f t="shared" si="141"/>
        <v>948.12499999999989</v>
      </c>
      <c r="N542" s="88">
        <f>prodnorm19</f>
        <v>0</v>
      </c>
      <c r="O542" s="33">
        <f>dagwerk19</f>
        <v>0</v>
      </c>
      <c r="P542" s="85" t="s">
        <v>109</v>
      </c>
      <c r="Q542" s="21">
        <f>uurtarief19</f>
        <v>0</v>
      </c>
      <c r="R542" s="87" t="e">
        <f t="shared" si="142"/>
        <v>#DIV/0!</v>
      </c>
      <c r="S542" s="87" t="e">
        <f t="shared" si="143"/>
        <v>#DIV/0!</v>
      </c>
      <c r="T542" s="21" t="e">
        <f t="shared" si="144"/>
        <v>#DIV/0!</v>
      </c>
      <c r="U542" s="87" t="e">
        <f t="shared" si="145"/>
        <v>#DIV/0!</v>
      </c>
      <c r="V542" s="22" t="e">
        <f t="shared" si="146"/>
        <v>#DIV/0!</v>
      </c>
    </row>
    <row r="543" spans="1:22" x14ac:dyDescent="0.25">
      <c r="A543" s="84" t="s">
        <v>982</v>
      </c>
      <c r="B543" s="85" t="s">
        <v>42</v>
      </c>
      <c r="C543" s="85" t="s">
        <v>342</v>
      </c>
      <c r="D543" s="85" t="s">
        <v>351</v>
      </c>
      <c r="E543" s="86" t="s">
        <v>986</v>
      </c>
      <c r="F543" s="85" t="s">
        <v>985</v>
      </c>
      <c r="G543" s="85" t="s">
        <v>260</v>
      </c>
      <c r="H543" s="85" t="s">
        <v>14</v>
      </c>
      <c r="I543" s="85" t="s">
        <v>258</v>
      </c>
      <c r="J543" s="86" t="s">
        <v>261</v>
      </c>
      <c r="K543" s="85" t="s">
        <v>365</v>
      </c>
      <c r="L543" s="87">
        <v>20</v>
      </c>
      <c r="M543" s="87">
        <f t="shared" si="141"/>
        <v>8.1999999999999993</v>
      </c>
      <c r="N543" s="88">
        <f>prodnorm7</f>
        <v>0</v>
      </c>
      <c r="O543" s="33">
        <f>dagwerk7</f>
        <v>0</v>
      </c>
      <c r="P543" s="85" t="s">
        <v>109</v>
      </c>
      <c r="Q543" s="21">
        <f>uurtarief7</f>
        <v>0</v>
      </c>
      <c r="R543" s="87" t="e">
        <f t="shared" si="142"/>
        <v>#DIV/0!</v>
      </c>
      <c r="S543" s="87" t="e">
        <f t="shared" si="143"/>
        <v>#DIV/0!</v>
      </c>
      <c r="T543" s="21" t="e">
        <f t="shared" si="144"/>
        <v>#DIV/0!</v>
      </c>
      <c r="U543" s="87" t="e">
        <f t="shared" si="145"/>
        <v>#DIV/0!</v>
      </c>
      <c r="V543" s="22" t="e">
        <f t="shared" si="146"/>
        <v>#DIV/0!</v>
      </c>
    </row>
    <row r="544" spans="1:22" x14ac:dyDescent="0.25">
      <c r="A544" s="84" t="s">
        <v>982</v>
      </c>
      <c r="B544" s="85" t="s">
        <v>42</v>
      </c>
      <c r="C544" s="85" t="s">
        <v>342</v>
      </c>
      <c r="D544" s="85" t="s">
        <v>354</v>
      </c>
      <c r="E544" s="86" t="s">
        <v>987</v>
      </c>
      <c r="F544" s="85" t="s">
        <v>985</v>
      </c>
      <c r="G544" s="85" t="s">
        <v>312</v>
      </c>
      <c r="H544" s="85" t="s">
        <v>9</v>
      </c>
      <c r="I544" s="85" t="s">
        <v>258</v>
      </c>
      <c r="J544" s="86" t="s">
        <v>313</v>
      </c>
      <c r="K544" s="85" t="s">
        <v>346</v>
      </c>
      <c r="L544" s="87">
        <v>200</v>
      </c>
      <c r="M544" s="87">
        <f t="shared" si="141"/>
        <v>204.99999999999997</v>
      </c>
      <c r="N544" s="88">
        <f>prodnorm46</f>
        <v>0</v>
      </c>
      <c r="O544" s="33">
        <f>dagwerk46</f>
        <v>0</v>
      </c>
      <c r="P544" s="85" t="s">
        <v>109</v>
      </c>
      <c r="Q544" s="21">
        <f>uurtarief46</f>
        <v>0</v>
      </c>
      <c r="R544" s="87" t="e">
        <f t="shared" si="142"/>
        <v>#DIV/0!</v>
      </c>
      <c r="S544" s="87" t="e">
        <f t="shared" si="143"/>
        <v>#DIV/0!</v>
      </c>
      <c r="T544" s="21" t="e">
        <f t="shared" si="144"/>
        <v>#DIV/0!</v>
      </c>
      <c r="U544" s="87" t="e">
        <f t="shared" si="145"/>
        <v>#DIV/0!</v>
      </c>
      <c r="V544" s="22" t="e">
        <f t="shared" si="146"/>
        <v>#DIV/0!</v>
      </c>
    </row>
    <row r="545" spans="1:22" x14ac:dyDescent="0.25">
      <c r="A545" s="84" t="s">
        <v>982</v>
      </c>
      <c r="B545" s="85" t="s">
        <v>42</v>
      </c>
      <c r="C545" s="85" t="s">
        <v>342</v>
      </c>
      <c r="D545" s="85" t="s">
        <v>356</v>
      </c>
      <c r="E545" s="86" t="s">
        <v>988</v>
      </c>
      <c r="F545" s="85" t="s">
        <v>985</v>
      </c>
      <c r="G545" s="85" t="s">
        <v>322</v>
      </c>
      <c r="H545" s="85" t="s">
        <v>9</v>
      </c>
      <c r="I545" s="85" t="s">
        <v>258</v>
      </c>
      <c r="J545" s="86" t="s">
        <v>323</v>
      </c>
      <c r="K545" s="85" t="s">
        <v>346</v>
      </c>
      <c r="L545" s="87">
        <v>20</v>
      </c>
      <c r="M545" s="87">
        <f t="shared" si="141"/>
        <v>20.5</v>
      </c>
      <c r="N545" s="88">
        <f>prodnorm54</f>
        <v>0</v>
      </c>
      <c r="O545" s="33">
        <f>dagwerk54</f>
        <v>0</v>
      </c>
      <c r="P545" s="85" t="s">
        <v>109</v>
      </c>
      <c r="Q545" s="21">
        <f>uurtarief54</f>
        <v>0</v>
      </c>
      <c r="R545" s="87" t="e">
        <f t="shared" si="142"/>
        <v>#DIV/0!</v>
      </c>
      <c r="S545" s="87" t="e">
        <f t="shared" si="143"/>
        <v>#DIV/0!</v>
      </c>
      <c r="T545" s="21" t="e">
        <f t="shared" si="144"/>
        <v>#DIV/0!</v>
      </c>
      <c r="U545" s="87" t="e">
        <f t="shared" si="145"/>
        <v>#DIV/0!</v>
      </c>
      <c r="V545" s="22" t="e">
        <f t="shared" si="146"/>
        <v>#DIV/0!</v>
      </c>
    </row>
    <row r="546" spans="1:22" x14ac:dyDescent="0.25">
      <c r="A546" s="84" t="s">
        <v>982</v>
      </c>
      <c r="B546" s="85" t="s">
        <v>42</v>
      </c>
      <c r="C546" s="85" t="s">
        <v>342</v>
      </c>
      <c r="D546" s="85" t="s">
        <v>989</v>
      </c>
      <c r="E546" s="86" t="s">
        <v>990</v>
      </c>
      <c r="F546" s="85" t="s">
        <v>353</v>
      </c>
      <c r="G546" s="85" t="s">
        <v>312</v>
      </c>
      <c r="H546" s="85" t="s">
        <v>9</v>
      </c>
      <c r="I546" s="85" t="s">
        <v>258</v>
      </c>
      <c r="J546" s="86" t="s">
        <v>313</v>
      </c>
      <c r="K546" s="85" t="s">
        <v>346</v>
      </c>
      <c r="L546" s="87">
        <v>14.5</v>
      </c>
      <c r="M546" s="87">
        <f t="shared" si="141"/>
        <v>14.862499999999999</v>
      </c>
      <c r="N546" s="88">
        <f>prodnorm46</f>
        <v>0</v>
      </c>
      <c r="O546" s="33">
        <f>dagwerk46</f>
        <v>0</v>
      </c>
      <c r="P546" s="85" t="s">
        <v>109</v>
      </c>
      <c r="Q546" s="21">
        <f>uurtarief46</f>
        <v>0</v>
      </c>
      <c r="R546" s="87" t="e">
        <f t="shared" si="142"/>
        <v>#DIV/0!</v>
      </c>
      <c r="S546" s="87" t="e">
        <f t="shared" si="143"/>
        <v>#DIV/0!</v>
      </c>
      <c r="T546" s="21" t="e">
        <f t="shared" si="144"/>
        <v>#DIV/0!</v>
      </c>
      <c r="U546" s="87" t="e">
        <f t="shared" si="145"/>
        <v>#DIV/0!</v>
      </c>
      <c r="V546" s="22" t="e">
        <f t="shared" si="146"/>
        <v>#DIV/0!</v>
      </c>
    </row>
    <row r="547" spans="1:22" x14ac:dyDescent="0.25">
      <c r="A547" s="84" t="s">
        <v>982</v>
      </c>
      <c r="B547" s="85" t="s">
        <v>42</v>
      </c>
      <c r="C547" s="85" t="s">
        <v>342</v>
      </c>
      <c r="D547" s="85" t="s">
        <v>358</v>
      </c>
      <c r="E547" s="86" t="s">
        <v>991</v>
      </c>
      <c r="F547" s="85" t="s">
        <v>349</v>
      </c>
      <c r="G547" s="85" t="s">
        <v>318</v>
      </c>
      <c r="H547" s="85" t="s">
        <v>9</v>
      </c>
      <c r="I547" s="85" t="s">
        <v>258</v>
      </c>
      <c r="J547" s="86" t="s">
        <v>319</v>
      </c>
      <c r="K547" s="85" t="s">
        <v>346</v>
      </c>
      <c r="L547" s="87">
        <v>2</v>
      </c>
      <c r="M547" s="87">
        <f t="shared" si="141"/>
        <v>2.0499999999999998</v>
      </c>
      <c r="N547" s="88">
        <f>prodnorm49</f>
        <v>0</v>
      </c>
      <c r="O547" s="33">
        <f>dagwerk49</f>
        <v>0</v>
      </c>
      <c r="P547" s="85" t="s">
        <v>109</v>
      </c>
      <c r="Q547" s="21">
        <f>uurtarief49</f>
        <v>0</v>
      </c>
      <c r="R547" s="87" t="e">
        <f t="shared" si="142"/>
        <v>#DIV/0!</v>
      </c>
      <c r="S547" s="87" t="e">
        <f t="shared" si="143"/>
        <v>#DIV/0!</v>
      </c>
      <c r="T547" s="21" t="e">
        <f t="shared" si="144"/>
        <v>#DIV/0!</v>
      </c>
      <c r="U547" s="87" t="e">
        <f t="shared" si="145"/>
        <v>#DIV/0!</v>
      </c>
      <c r="V547" s="22" t="e">
        <f t="shared" si="146"/>
        <v>#DIV/0!</v>
      </c>
    </row>
    <row r="548" spans="1:22" x14ac:dyDescent="0.25">
      <c r="A548" s="84" t="s">
        <v>982</v>
      </c>
      <c r="B548" s="85" t="s">
        <v>42</v>
      </c>
      <c r="C548" s="85" t="s">
        <v>342</v>
      </c>
      <c r="D548" s="85" t="s">
        <v>360</v>
      </c>
      <c r="E548" s="86" t="s">
        <v>590</v>
      </c>
      <c r="F548" s="85" t="s">
        <v>353</v>
      </c>
      <c r="G548" s="85" t="s">
        <v>262</v>
      </c>
      <c r="H548" s="85" t="s">
        <v>14</v>
      </c>
      <c r="I548" s="85" t="s">
        <v>258</v>
      </c>
      <c r="J548" s="86" t="s">
        <v>263</v>
      </c>
      <c r="K548" s="85" t="s">
        <v>365</v>
      </c>
      <c r="L548" s="87">
        <v>16</v>
      </c>
      <c r="M548" s="87">
        <f t="shared" si="141"/>
        <v>6.56</v>
      </c>
      <c r="N548" s="88">
        <f>prodnorm10</f>
        <v>0</v>
      </c>
      <c r="O548" s="33">
        <f>dagwerk10</f>
        <v>0</v>
      </c>
      <c r="P548" s="85" t="s">
        <v>109</v>
      </c>
      <c r="Q548" s="21">
        <f>uurtarief10</f>
        <v>0</v>
      </c>
      <c r="R548" s="87" t="e">
        <f t="shared" si="142"/>
        <v>#DIV/0!</v>
      </c>
      <c r="S548" s="87" t="e">
        <f t="shared" si="143"/>
        <v>#DIV/0!</v>
      </c>
      <c r="T548" s="21" t="e">
        <f t="shared" si="144"/>
        <v>#DIV/0!</v>
      </c>
      <c r="U548" s="87" t="e">
        <f t="shared" si="145"/>
        <v>#DIV/0!</v>
      </c>
      <c r="V548" s="22" t="e">
        <f t="shared" si="146"/>
        <v>#DIV/0!</v>
      </c>
    </row>
    <row r="549" spans="1:22" x14ac:dyDescent="0.25">
      <c r="A549" s="84" t="s">
        <v>982</v>
      </c>
      <c r="B549" s="85" t="s">
        <v>42</v>
      </c>
      <c r="C549" s="85" t="s">
        <v>342</v>
      </c>
      <c r="D549" s="85" t="s">
        <v>362</v>
      </c>
      <c r="E549" s="86" t="s">
        <v>570</v>
      </c>
      <c r="F549" s="85" t="s">
        <v>42</v>
      </c>
      <c r="G549" s="85" t="s">
        <v>350</v>
      </c>
      <c r="H549" s="85"/>
      <c r="I549" s="85"/>
      <c r="J549" s="85"/>
      <c r="K549" s="85" t="s">
        <v>42</v>
      </c>
      <c r="L549" s="87">
        <v>0</v>
      </c>
      <c r="M549" s="87"/>
      <c r="N549" s="88"/>
      <c r="O549" s="33"/>
      <c r="P549" s="85"/>
      <c r="Q549" s="21"/>
      <c r="R549" s="87"/>
      <c r="S549" s="87"/>
      <c r="T549" s="21"/>
      <c r="U549" s="89"/>
      <c r="V549" s="22"/>
    </row>
    <row r="550" spans="1:22" x14ac:dyDescent="0.25">
      <c r="A550" s="84" t="s">
        <v>982</v>
      </c>
      <c r="B550" s="85" t="s">
        <v>42</v>
      </c>
      <c r="C550" s="85" t="s">
        <v>342</v>
      </c>
      <c r="D550" s="85" t="s">
        <v>363</v>
      </c>
      <c r="E550" s="86" t="s">
        <v>570</v>
      </c>
      <c r="F550" s="85" t="s">
        <v>42</v>
      </c>
      <c r="G550" s="85" t="s">
        <v>350</v>
      </c>
      <c r="H550" s="85"/>
      <c r="I550" s="85"/>
      <c r="J550" s="85"/>
      <c r="K550" s="85" t="s">
        <v>42</v>
      </c>
      <c r="L550" s="87">
        <v>0</v>
      </c>
      <c r="M550" s="87"/>
      <c r="N550" s="88"/>
      <c r="O550" s="33"/>
      <c r="P550" s="85"/>
      <c r="Q550" s="21"/>
      <c r="R550" s="87"/>
      <c r="S550" s="87"/>
      <c r="T550" s="21"/>
      <c r="U550" s="89"/>
      <c r="V550" s="22"/>
    </row>
    <row r="551" spans="1:22" x14ac:dyDescent="0.25">
      <c r="A551" s="84" t="s">
        <v>982</v>
      </c>
      <c r="B551" s="85" t="s">
        <v>42</v>
      </c>
      <c r="C551" s="85" t="s">
        <v>342</v>
      </c>
      <c r="D551" s="85" t="s">
        <v>366</v>
      </c>
      <c r="E551" s="86" t="s">
        <v>992</v>
      </c>
      <c r="F551" s="85" t="s">
        <v>985</v>
      </c>
      <c r="G551" s="85" t="s">
        <v>260</v>
      </c>
      <c r="H551" s="85" t="s">
        <v>14</v>
      </c>
      <c r="I551" s="85" t="s">
        <v>258</v>
      </c>
      <c r="J551" s="86" t="s">
        <v>261</v>
      </c>
      <c r="K551" s="85" t="s">
        <v>365</v>
      </c>
      <c r="L551" s="87">
        <v>18</v>
      </c>
      <c r="M551" s="87">
        <f>L551*VLOOKUP(H551,dagsoorttabel1,2,FALSE)</f>
        <v>7.38</v>
      </c>
      <c r="N551" s="88">
        <f>prodnorm7</f>
        <v>0</v>
      </c>
      <c r="O551" s="33">
        <f>dagwerk7</f>
        <v>0</v>
      </c>
      <c r="P551" s="85" t="s">
        <v>109</v>
      </c>
      <c r="Q551" s="21">
        <f>uurtarief7</f>
        <v>0</v>
      </c>
      <c r="R551" s="87" t="e">
        <f>IF(ISBLANK(N551),0,M551/ROUND(N551,4))</f>
        <v>#DIV/0!</v>
      </c>
      <c r="S551" s="87" t="e">
        <f>IF(ISBLANK(N551),0,R551*ROUND(O551,2))</f>
        <v>#DIV/0!</v>
      </c>
      <c r="T551" s="21" t="e">
        <f>ROUND(Q551,2)*R551</f>
        <v>#DIV/0!</v>
      </c>
      <c r="U551" s="87" t="e">
        <f>R551*dagenperjaar1</f>
        <v>#DIV/0!</v>
      </c>
      <c r="V551" s="22" t="e">
        <f>U551*ROUND(Q551,2)</f>
        <v>#DIV/0!</v>
      </c>
    </row>
    <row r="552" spans="1:22" x14ac:dyDescent="0.25">
      <c r="A552" s="84" t="s">
        <v>982</v>
      </c>
      <c r="B552" s="85" t="s">
        <v>42</v>
      </c>
      <c r="C552" s="85" t="s">
        <v>342</v>
      </c>
      <c r="D552" s="85" t="s">
        <v>368</v>
      </c>
      <c r="E552" s="86" t="s">
        <v>993</v>
      </c>
      <c r="F552" s="85" t="s">
        <v>699</v>
      </c>
      <c r="G552" s="85" t="s">
        <v>350</v>
      </c>
      <c r="H552" s="85"/>
      <c r="I552" s="85"/>
      <c r="J552" s="85"/>
      <c r="K552" s="85" t="s">
        <v>42</v>
      </c>
      <c r="L552" s="87">
        <v>60</v>
      </c>
      <c r="M552" s="87"/>
      <c r="N552" s="88"/>
      <c r="O552" s="33"/>
      <c r="P552" s="85"/>
      <c r="Q552" s="21"/>
      <c r="R552" s="87"/>
      <c r="S552" s="87"/>
      <c r="T552" s="21"/>
      <c r="U552" s="89"/>
      <c r="V552" s="22"/>
    </row>
    <row r="553" spans="1:22" x14ac:dyDescent="0.25">
      <c r="A553" s="84" t="s">
        <v>982</v>
      </c>
      <c r="B553" s="85" t="s">
        <v>42</v>
      </c>
      <c r="C553" s="85" t="s">
        <v>342</v>
      </c>
      <c r="D553" s="85" t="s">
        <v>370</v>
      </c>
      <c r="E553" s="86" t="s">
        <v>406</v>
      </c>
      <c r="F553" s="85" t="s">
        <v>42</v>
      </c>
      <c r="G553" s="85" t="s">
        <v>350</v>
      </c>
      <c r="H553" s="85"/>
      <c r="I553" s="85"/>
      <c r="J553" s="85"/>
      <c r="K553" s="85" t="s">
        <v>42</v>
      </c>
      <c r="L553" s="87">
        <v>0</v>
      </c>
      <c r="M553" s="87"/>
      <c r="N553" s="88"/>
      <c r="O553" s="33"/>
      <c r="P553" s="85"/>
      <c r="Q553" s="21"/>
      <c r="R553" s="87"/>
      <c r="S553" s="87"/>
      <c r="T553" s="21"/>
      <c r="U553" s="89"/>
      <c r="V553" s="22"/>
    </row>
    <row r="554" spans="1:22" x14ac:dyDescent="0.25">
      <c r="A554" s="84" t="s">
        <v>982</v>
      </c>
      <c r="B554" s="85" t="s">
        <v>42</v>
      </c>
      <c r="C554" s="85" t="s">
        <v>342</v>
      </c>
      <c r="D554" s="85" t="s">
        <v>994</v>
      </c>
      <c r="E554" s="86" t="s">
        <v>570</v>
      </c>
      <c r="F554" s="85" t="s">
        <v>42</v>
      </c>
      <c r="G554" s="85" t="s">
        <v>350</v>
      </c>
      <c r="H554" s="85"/>
      <c r="I554" s="85"/>
      <c r="J554" s="85"/>
      <c r="K554" s="85" t="s">
        <v>42</v>
      </c>
      <c r="L554" s="87">
        <v>0</v>
      </c>
      <c r="M554" s="87"/>
      <c r="N554" s="88"/>
      <c r="O554" s="33"/>
      <c r="P554" s="85"/>
      <c r="Q554" s="21"/>
      <c r="R554" s="87"/>
      <c r="S554" s="87"/>
      <c r="T554" s="21"/>
      <c r="U554" s="89"/>
      <c r="V554" s="22"/>
    </row>
    <row r="555" spans="1:22" x14ac:dyDescent="0.25">
      <c r="A555" s="84" t="s">
        <v>982</v>
      </c>
      <c r="B555" s="85" t="s">
        <v>42</v>
      </c>
      <c r="C555" s="85" t="s">
        <v>342</v>
      </c>
      <c r="D555" s="85" t="s">
        <v>995</v>
      </c>
      <c r="E555" s="86" t="s">
        <v>996</v>
      </c>
      <c r="F555" s="85" t="s">
        <v>699</v>
      </c>
      <c r="G555" s="85" t="s">
        <v>310</v>
      </c>
      <c r="H555" s="85" t="s">
        <v>9</v>
      </c>
      <c r="I555" s="85" t="s">
        <v>258</v>
      </c>
      <c r="J555" s="86" t="s">
        <v>311</v>
      </c>
      <c r="K555" s="85" t="s">
        <v>417</v>
      </c>
      <c r="L555" s="87">
        <v>6.31</v>
      </c>
      <c r="M555" s="87">
        <f>L555*VLOOKUP(H555,dagsoorttabel1,2,FALSE)</f>
        <v>6.4677499999999988</v>
      </c>
      <c r="N555" s="88">
        <f>prodnorm45</f>
        <v>0</v>
      </c>
      <c r="O555" s="33">
        <f>dagwerk45</f>
        <v>0</v>
      </c>
      <c r="P555" s="85" t="s">
        <v>109</v>
      </c>
      <c r="Q555" s="21">
        <f>uurtarief45</f>
        <v>0</v>
      </c>
      <c r="R555" s="87" t="e">
        <f>IF(ISBLANK(N555),0,M555/ROUND(N555,4))</f>
        <v>#DIV/0!</v>
      </c>
      <c r="S555" s="87" t="e">
        <f>IF(ISBLANK(N555),0,R555*ROUND(O555,2))</f>
        <v>#DIV/0!</v>
      </c>
      <c r="T555" s="21" t="e">
        <f>ROUND(Q555,2)*R555</f>
        <v>#DIV/0!</v>
      </c>
      <c r="U555" s="87" t="e">
        <f>R555*dagenperjaar1</f>
        <v>#DIV/0!</v>
      </c>
      <c r="V555" s="22" t="e">
        <f>U555*ROUND(Q555,2)</f>
        <v>#DIV/0!</v>
      </c>
    </row>
    <row r="556" spans="1:22" x14ac:dyDescent="0.25">
      <c r="A556" s="84" t="s">
        <v>982</v>
      </c>
      <c r="B556" s="85" t="s">
        <v>42</v>
      </c>
      <c r="C556" s="85" t="s">
        <v>342</v>
      </c>
      <c r="D556" s="85" t="s">
        <v>997</v>
      </c>
      <c r="E556" s="86" t="s">
        <v>998</v>
      </c>
      <c r="F556" s="85" t="s">
        <v>42</v>
      </c>
      <c r="G556" s="85" t="s">
        <v>350</v>
      </c>
      <c r="H556" s="85"/>
      <c r="I556" s="85"/>
      <c r="J556" s="85"/>
      <c r="K556" s="85" t="s">
        <v>42</v>
      </c>
      <c r="L556" s="87">
        <v>0</v>
      </c>
      <c r="M556" s="87"/>
      <c r="N556" s="88"/>
      <c r="O556" s="33"/>
      <c r="P556" s="85"/>
      <c r="Q556" s="21"/>
      <c r="R556" s="87"/>
      <c r="S556" s="87"/>
      <c r="T556" s="21"/>
      <c r="U556" s="89"/>
      <c r="V556" s="22"/>
    </row>
    <row r="557" spans="1:22" x14ac:dyDescent="0.25">
      <c r="A557" s="84" t="s">
        <v>982</v>
      </c>
      <c r="B557" s="85" t="s">
        <v>42</v>
      </c>
      <c r="C557" s="85" t="s">
        <v>342</v>
      </c>
      <c r="D557" s="85" t="s">
        <v>999</v>
      </c>
      <c r="E557" s="86" t="s">
        <v>1000</v>
      </c>
      <c r="F557" s="85" t="s">
        <v>42</v>
      </c>
      <c r="G557" s="85" t="s">
        <v>350</v>
      </c>
      <c r="H557" s="85"/>
      <c r="I557" s="85"/>
      <c r="J557" s="85"/>
      <c r="K557" s="85" t="s">
        <v>42</v>
      </c>
      <c r="L557" s="87">
        <v>0</v>
      </c>
      <c r="M557" s="87"/>
      <c r="N557" s="88"/>
      <c r="O557" s="33"/>
      <c r="P557" s="85"/>
      <c r="Q557" s="21"/>
      <c r="R557" s="87"/>
      <c r="S557" s="87"/>
      <c r="T557" s="21"/>
      <c r="U557" s="89"/>
      <c r="V557" s="22"/>
    </row>
    <row r="558" spans="1:22" x14ac:dyDescent="0.25">
      <c r="A558" s="84" t="s">
        <v>982</v>
      </c>
      <c r="B558" s="85" t="s">
        <v>42</v>
      </c>
      <c r="C558" s="85" t="s">
        <v>342</v>
      </c>
      <c r="D558" s="85" t="s">
        <v>384</v>
      </c>
      <c r="E558" s="86" t="s">
        <v>373</v>
      </c>
      <c r="F558" s="85" t="s">
        <v>985</v>
      </c>
      <c r="G558" s="85" t="s">
        <v>312</v>
      </c>
      <c r="H558" s="85" t="s">
        <v>9</v>
      </c>
      <c r="I558" s="85" t="s">
        <v>258</v>
      </c>
      <c r="J558" s="86" t="s">
        <v>313</v>
      </c>
      <c r="K558" s="85" t="s">
        <v>346</v>
      </c>
      <c r="L558" s="87">
        <v>115</v>
      </c>
      <c r="M558" s="87">
        <f>L558*VLOOKUP(H558,dagsoorttabel1,2,FALSE)</f>
        <v>117.87499999999999</v>
      </c>
      <c r="N558" s="88">
        <f>prodnorm46</f>
        <v>0</v>
      </c>
      <c r="O558" s="33">
        <f>dagwerk46</f>
        <v>0</v>
      </c>
      <c r="P558" s="85" t="s">
        <v>109</v>
      </c>
      <c r="Q558" s="21">
        <f>uurtarief46</f>
        <v>0</v>
      </c>
      <c r="R558" s="87" t="e">
        <f>IF(ISBLANK(N558),0,M558/ROUND(N558,4))</f>
        <v>#DIV/0!</v>
      </c>
      <c r="S558" s="87" t="e">
        <f>IF(ISBLANK(N558),0,R558*ROUND(O558,2))</f>
        <v>#DIV/0!</v>
      </c>
      <c r="T558" s="21" t="e">
        <f>ROUND(Q558,2)*R558</f>
        <v>#DIV/0!</v>
      </c>
      <c r="U558" s="87" t="e">
        <f>R558*dagenperjaar1</f>
        <v>#DIV/0!</v>
      </c>
      <c r="V558" s="22" t="e">
        <f>U558*ROUND(Q558,2)</f>
        <v>#DIV/0!</v>
      </c>
    </row>
    <row r="559" spans="1:22" x14ac:dyDescent="0.25">
      <c r="A559" s="84" t="s">
        <v>982</v>
      </c>
      <c r="B559" s="85" t="s">
        <v>42</v>
      </c>
      <c r="C559" s="85" t="s">
        <v>342</v>
      </c>
      <c r="D559" s="85" t="s">
        <v>387</v>
      </c>
      <c r="E559" s="86" t="s">
        <v>864</v>
      </c>
      <c r="F559" s="85" t="s">
        <v>349</v>
      </c>
      <c r="G559" s="85" t="s">
        <v>282</v>
      </c>
      <c r="H559" s="85" t="s">
        <v>9</v>
      </c>
      <c r="I559" s="85" t="s">
        <v>258</v>
      </c>
      <c r="J559" s="86" t="s">
        <v>283</v>
      </c>
      <c r="K559" s="85" t="s">
        <v>386</v>
      </c>
      <c r="L559" s="87">
        <v>26</v>
      </c>
      <c r="M559" s="87">
        <f>L559*VLOOKUP(H559,dagsoorttabel1,2,FALSE)</f>
        <v>26.65</v>
      </c>
      <c r="N559" s="88">
        <f>prodnorm24</f>
        <v>0</v>
      </c>
      <c r="O559" s="33">
        <f>dagwerk24</f>
        <v>0</v>
      </c>
      <c r="P559" s="85" t="s">
        <v>109</v>
      </c>
      <c r="Q559" s="21">
        <f>uurtarief24</f>
        <v>0</v>
      </c>
      <c r="R559" s="87" t="e">
        <f>IF(ISBLANK(N559),0,M559/ROUND(N559,4))</f>
        <v>#DIV/0!</v>
      </c>
      <c r="S559" s="87" t="e">
        <f>IF(ISBLANK(N559),0,R559*ROUND(O559,2))</f>
        <v>#DIV/0!</v>
      </c>
      <c r="T559" s="21" t="e">
        <f>ROUND(Q559,2)*R559</f>
        <v>#DIV/0!</v>
      </c>
      <c r="U559" s="87" t="e">
        <f>R559*dagenperjaar1</f>
        <v>#DIV/0!</v>
      </c>
      <c r="V559" s="22" t="e">
        <f>U559*ROUND(Q559,2)</f>
        <v>#DIV/0!</v>
      </c>
    </row>
    <row r="560" spans="1:22" x14ac:dyDescent="0.25">
      <c r="A560" s="84" t="s">
        <v>982</v>
      </c>
      <c r="B560" s="85" t="s">
        <v>42</v>
      </c>
      <c r="C560" s="85" t="s">
        <v>342</v>
      </c>
      <c r="D560" s="85" t="s">
        <v>388</v>
      </c>
      <c r="E560" s="86" t="s">
        <v>1001</v>
      </c>
      <c r="F560" s="85" t="s">
        <v>42</v>
      </c>
      <c r="G560" s="85" t="s">
        <v>350</v>
      </c>
      <c r="H560" s="85"/>
      <c r="I560" s="85"/>
      <c r="J560" s="85"/>
      <c r="K560" s="85" t="s">
        <v>42</v>
      </c>
      <c r="L560" s="87">
        <v>0</v>
      </c>
      <c r="M560" s="87"/>
      <c r="N560" s="88"/>
      <c r="O560" s="33"/>
      <c r="P560" s="85"/>
      <c r="Q560" s="21"/>
      <c r="R560" s="87"/>
      <c r="S560" s="87"/>
      <c r="T560" s="21"/>
      <c r="U560" s="89"/>
      <c r="V560" s="22"/>
    </row>
    <row r="561" spans="1:22" x14ac:dyDescent="0.25">
      <c r="A561" s="84" t="s">
        <v>982</v>
      </c>
      <c r="B561" s="85" t="s">
        <v>42</v>
      </c>
      <c r="C561" s="85" t="s">
        <v>342</v>
      </c>
      <c r="D561" s="85" t="s">
        <v>389</v>
      </c>
      <c r="E561" s="86" t="s">
        <v>1002</v>
      </c>
      <c r="F561" s="85" t="s">
        <v>349</v>
      </c>
      <c r="G561" s="85" t="s">
        <v>260</v>
      </c>
      <c r="H561" s="85" t="s">
        <v>14</v>
      </c>
      <c r="I561" s="85" t="s">
        <v>258</v>
      </c>
      <c r="J561" s="86" t="s">
        <v>261</v>
      </c>
      <c r="K561" s="85" t="s">
        <v>365</v>
      </c>
      <c r="L561" s="87">
        <v>18</v>
      </c>
      <c r="M561" s="87">
        <f t="shared" ref="M561:M566" si="147">L561*VLOOKUP(H561,dagsoorttabel1,2,FALSE)</f>
        <v>7.38</v>
      </c>
      <c r="N561" s="88">
        <f>prodnorm7</f>
        <v>0</v>
      </c>
      <c r="O561" s="33">
        <f>dagwerk7</f>
        <v>0</v>
      </c>
      <c r="P561" s="85" t="s">
        <v>109</v>
      </c>
      <c r="Q561" s="21">
        <f>uurtarief7</f>
        <v>0</v>
      </c>
      <c r="R561" s="87" t="e">
        <f t="shared" ref="R561:R566" si="148">IF(ISBLANK(N561),0,M561/ROUND(N561,4))</f>
        <v>#DIV/0!</v>
      </c>
      <c r="S561" s="87" t="e">
        <f t="shared" ref="S561:S566" si="149">IF(ISBLANK(N561),0,R561*ROUND(O561,2))</f>
        <v>#DIV/0!</v>
      </c>
      <c r="T561" s="21" t="e">
        <f t="shared" ref="T561:T566" si="150">ROUND(Q561,2)*R561</f>
        <v>#DIV/0!</v>
      </c>
      <c r="U561" s="87" t="e">
        <f t="shared" ref="U561:U566" si="151">R561*dagenperjaar1</f>
        <v>#DIV/0!</v>
      </c>
      <c r="V561" s="22" t="e">
        <f t="shared" ref="V561:V566" si="152">U561*ROUND(Q561,2)</f>
        <v>#DIV/0!</v>
      </c>
    </row>
    <row r="562" spans="1:22" x14ac:dyDescent="0.25">
      <c r="A562" s="84" t="s">
        <v>982</v>
      </c>
      <c r="B562" s="85" t="s">
        <v>42</v>
      </c>
      <c r="C562" s="85" t="s">
        <v>342</v>
      </c>
      <c r="D562" s="85" t="s">
        <v>390</v>
      </c>
      <c r="E562" s="86" t="s">
        <v>1003</v>
      </c>
      <c r="F562" s="85" t="s">
        <v>699</v>
      </c>
      <c r="G562" s="85" t="s">
        <v>310</v>
      </c>
      <c r="H562" s="85" t="s">
        <v>9</v>
      </c>
      <c r="I562" s="85" t="s">
        <v>258</v>
      </c>
      <c r="J562" s="86" t="s">
        <v>311</v>
      </c>
      <c r="K562" s="85" t="s">
        <v>417</v>
      </c>
      <c r="L562" s="87">
        <v>4</v>
      </c>
      <c r="M562" s="87">
        <f t="shared" si="147"/>
        <v>4.0999999999999996</v>
      </c>
      <c r="N562" s="88">
        <f>prodnorm45</f>
        <v>0</v>
      </c>
      <c r="O562" s="33">
        <f>dagwerk45</f>
        <v>0</v>
      </c>
      <c r="P562" s="85" t="s">
        <v>109</v>
      </c>
      <c r="Q562" s="21">
        <f>uurtarief45</f>
        <v>0</v>
      </c>
      <c r="R562" s="87" t="e">
        <f t="shared" si="148"/>
        <v>#DIV/0!</v>
      </c>
      <c r="S562" s="87" t="e">
        <f t="shared" si="149"/>
        <v>#DIV/0!</v>
      </c>
      <c r="T562" s="21" t="e">
        <f t="shared" si="150"/>
        <v>#DIV/0!</v>
      </c>
      <c r="U562" s="87" t="e">
        <f t="shared" si="151"/>
        <v>#DIV/0!</v>
      </c>
      <c r="V562" s="22" t="e">
        <f t="shared" si="152"/>
        <v>#DIV/0!</v>
      </c>
    </row>
    <row r="563" spans="1:22" x14ac:dyDescent="0.25">
      <c r="A563" s="84" t="s">
        <v>982</v>
      </c>
      <c r="B563" s="85" t="s">
        <v>42</v>
      </c>
      <c r="C563" s="85" t="s">
        <v>342</v>
      </c>
      <c r="D563" s="85" t="s">
        <v>392</v>
      </c>
      <c r="E563" s="86" t="s">
        <v>373</v>
      </c>
      <c r="F563" s="85" t="s">
        <v>985</v>
      </c>
      <c r="G563" s="85" t="s">
        <v>312</v>
      </c>
      <c r="H563" s="85" t="s">
        <v>9</v>
      </c>
      <c r="I563" s="85" t="s">
        <v>258</v>
      </c>
      <c r="J563" s="86" t="s">
        <v>313</v>
      </c>
      <c r="K563" s="85" t="s">
        <v>346</v>
      </c>
      <c r="L563" s="87">
        <v>69</v>
      </c>
      <c r="M563" s="87">
        <f t="shared" si="147"/>
        <v>70.724999999999994</v>
      </c>
      <c r="N563" s="88">
        <f>prodnorm46</f>
        <v>0</v>
      </c>
      <c r="O563" s="33">
        <f>dagwerk46</f>
        <v>0</v>
      </c>
      <c r="P563" s="85" t="s">
        <v>109</v>
      </c>
      <c r="Q563" s="21">
        <f>uurtarief46</f>
        <v>0</v>
      </c>
      <c r="R563" s="87" t="e">
        <f t="shared" si="148"/>
        <v>#DIV/0!</v>
      </c>
      <c r="S563" s="87" t="e">
        <f t="shared" si="149"/>
        <v>#DIV/0!</v>
      </c>
      <c r="T563" s="21" t="e">
        <f t="shared" si="150"/>
        <v>#DIV/0!</v>
      </c>
      <c r="U563" s="87" t="e">
        <f t="shared" si="151"/>
        <v>#DIV/0!</v>
      </c>
      <c r="V563" s="22" t="e">
        <f t="shared" si="152"/>
        <v>#DIV/0!</v>
      </c>
    </row>
    <row r="564" spans="1:22" x14ac:dyDescent="0.25">
      <c r="A564" s="84" t="s">
        <v>982</v>
      </c>
      <c r="B564" s="85" t="s">
        <v>42</v>
      </c>
      <c r="C564" s="85" t="s">
        <v>342</v>
      </c>
      <c r="D564" s="85" t="s">
        <v>394</v>
      </c>
      <c r="E564" s="86" t="s">
        <v>988</v>
      </c>
      <c r="F564" s="85" t="s">
        <v>985</v>
      </c>
      <c r="G564" s="85" t="s">
        <v>322</v>
      </c>
      <c r="H564" s="85" t="s">
        <v>9</v>
      </c>
      <c r="I564" s="85" t="s">
        <v>258</v>
      </c>
      <c r="J564" s="86" t="s">
        <v>323</v>
      </c>
      <c r="K564" s="85" t="s">
        <v>346</v>
      </c>
      <c r="L564" s="87">
        <v>27</v>
      </c>
      <c r="M564" s="87">
        <f t="shared" si="147"/>
        <v>27.674999999999997</v>
      </c>
      <c r="N564" s="88">
        <f>prodnorm54</f>
        <v>0</v>
      </c>
      <c r="O564" s="33">
        <f>dagwerk54</f>
        <v>0</v>
      </c>
      <c r="P564" s="85" t="s">
        <v>109</v>
      </c>
      <c r="Q564" s="21">
        <f>uurtarief54</f>
        <v>0</v>
      </c>
      <c r="R564" s="87" t="e">
        <f t="shared" si="148"/>
        <v>#DIV/0!</v>
      </c>
      <c r="S564" s="87" t="e">
        <f t="shared" si="149"/>
        <v>#DIV/0!</v>
      </c>
      <c r="T564" s="21" t="e">
        <f t="shared" si="150"/>
        <v>#DIV/0!</v>
      </c>
      <c r="U564" s="87" t="e">
        <f t="shared" si="151"/>
        <v>#DIV/0!</v>
      </c>
      <c r="V564" s="22" t="e">
        <f t="shared" si="152"/>
        <v>#DIV/0!</v>
      </c>
    </row>
    <row r="565" spans="1:22" x14ac:dyDescent="0.25">
      <c r="A565" s="84" t="s">
        <v>982</v>
      </c>
      <c r="B565" s="85" t="s">
        <v>42</v>
      </c>
      <c r="C565" s="85" t="s">
        <v>342</v>
      </c>
      <c r="D565" s="85" t="s">
        <v>395</v>
      </c>
      <c r="E565" s="86" t="s">
        <v>1004</v>
      </c>
      <c r="F565" s="85" t="s">
        <v>345</v>
      </c>
      <c r="G565" s="85" t="s">
        <v>260</v>
      </c>
      <c r="H565" s="85" t="s">
        <v>14</v>
      </c>
      <c r="I565" s="85" t="s">
        <v>258</v>
      </c>
      <c r="J565" s="86" t="s">
        <v>261</v>
      </c>
      <c r="K565" s="85" t="s">
        <v>365</v>
      </c>
      <c r="L565" s="87">
        <v>116</v>
      </c>
      <c r="M565" s="87">
        <f t="shared" si="147"/>
        <v>47.559999999999995</v>
      </c>
      <c r="N565" s="88">
        <f>prodnorm7</f>
        <v>0</v>
      </c>
      <c r="O565" s="33">
        <f>dagwerk7</f>
        <v>0</v>
      </c>
      <c r="P565" s="85" t="s">
        <v>109</v>
      </c>
      <c r="Q565" s="21">
        <f>uurtarief7</f>
        <v>0</v>
      </c>
      <c r="R565" s="87" t="e">
        <f t="shared" si="148"/>
        <v>#DIV/0!</v>
      </c>
      <c r="S565" s="87" t="e">
        <f t="shared" si="149"/>
        <v>#DIV/0!</v>
      </c>
      <c r="T565" s="21" t="e">
        <f t="shared" si="150"/>
        <v>#DIV/0!</v>
      </c>
      <c r="U565" s="87" t="e">
        <f t="shared" si="151"/>
        <v>#DIV/0!</v>
      </c>
      <c r="V565" s="22" t="e">
        <f t="shared" si="152"/>
        <v>#DIV/0!</v>
      </c>
    </row>
    <row r="566" spans="1:22" x14ac:dyDescent="0.25">
      <c r="A566" s="84" t="s">
        <v>982</v>
      </c>
      <c r="B566" s="85" t="s">
        <v>42</v>
      </c>
      <c r="C566" s="85" t="s">
        <v>342</v>
      </c>
      <c r="D566" s="85" t="s">
        <v>396</v>
      </c>
      <c r="E566" s="86" t="s">
        <v>1005</v>
      </c>
      <c r="F566" s="85" t="s">
        <v>349</v>
      </c>
      <c r="G566" s="85" t="s">
        <v>268</v>
      </c>
      <c r="H566" s="85" t="s">
        <v>14</v>
      </c>
      <c r="I566" s="85" t="s">
        <v>258</v>
      </c>
      <c r="J566" s="86" t="s">
        <v>269</v>
      </c>
      <c r="K566" s="85" t="s">
        <v>386</v>
      </c>
      <c r="L566" s="87">
        <v>70</v>
      </c>
      <c r="M566" s="87">
        <f t="shared" si="147"/>
        <v>28.7</v>
      </c>
      <c r="N566" s="88">
        <f>prodnorm15</f>
        <v>0</v>
      </c>
      <c r="O566" s="33">
        <f>dagwerk15</f>
        <v>0</v>
      </c>
      <c r="P566" s="85" t="s">
        <v>109</v>
      </c>
      <c r="Q566" s="21">
        <f>uurtarief15</f>
        <v>0</v>
      </c>
      <c r="R566" s="87" t="e">
        <f t="shared" si="148"/>
        <v>#DIV/0!</v>
      </c>
      <c r="S566" s="87" t="e">
        <f t="shared" si="149"/>
        <v>#DIV/0!</v>
      </c>
      <c r="T566" s="21" t="e">
        <f t="shared" si="150"/>
        <v>#DIV/0!</v>
      </c>
      <c r="U566" s="87" t="e">
        <f t="shared" si="151"/>
        <v>#DIV/0!</v>
      </c>
      <c r="V566" s="22" t="e">
        <f t="shared" si="152"/>
        <v>#DIV/0!</v>
      </c>
    </row>
    <row r="567" spans="1:22" x14ac:dyDescent="0.25">
      <c r="A567" s="84" t="s">
        <v>982</v>
      </c>
      <c r="B567" s="85" t="s">
        <v>42</v>
      </c>
      <c r="C567" s="85" t="s">
        <v>342</v>
      </c>
      <c r="D567" s="85" t="s">
        <v>398</v>
      </c>
      <c r="E567" s="86" t="s">
        <v>570</v>
      </c>
      <c r="F567" s="85" t="s">
        <v>42</v>
      </c>
      <c r="G567" s="85" t="s">
        <v>350</v>
      </c>
      <c r="H567" s="85"/>
      <c r="I567" s="85"/>
      <c r="J567" s="85"/>
      <c r="K567" s="85" t="s">
        <v>42</v>
      </c>
      <c r="L567" s="87">
        <v>0</v>
      </c>
      <c r="M567" s="87"/>
      <c r="N567" s="88"/>
      <c r="O567" s="33"/>
      <c r="P567" s="85"/>
      <c r="Q567" s="21"/>
      <c r="R567" s="87"/>
      <c r="S567" s="87"/>
      <c r="T567" s="21"/>
      <c r="U567" s="89"/>
      <c r="V567" s="22"/>
    </row>
    <row r="568" spans="1:22" x14ac:dyDescent="0.25">
      <c r="A568" s="84" t="s">
        <v>982</v>
      </c>
      <c r="B568" s="85" t="s">
        <v>42</v>
      </c>
      <c r="C568" s="85" t="s">
        <v>342</v>
      </c>
      <c r="D568" s="85" t="s">
        <v>399</v>
      </c>
      <c r="E568" s="86" t="s">
        <v>1006</v>
      </c>
      <c r="F568" s="85" t="s">
        <v>349</v>
      </c>
      <c r="G568" s="85" t="s">
        <v>260</v>
      </c>
      <c r="H568" s="85" t="s">
        <v>14</v>
      </c>
      <c r="I568" s="85" t="s">
        <v>258</v>
      </c>
      <c r="J568" s="86" t="s">
        <v>261</v>
      </c>
      <c r="K568" s="85" t="s">
        <v>365</v>
      </c>
      <c r="L568" s="87">
        <v>26</v>
      </c>
      <c r="M568" s="87">
        <f t="shared" ref="M568:M582" si="153">L568*VLOOKUP(H568,dagsoorttabel1,2,FALSE)</f>
        <v>10.66</v>
      </c>
      <c r="N568" s="88">
        <f>prodnorm7</f>
        <v>0</v>
      </c>
      <c r="O568" s="33">
        <f>dagwerk7</f>
        <v>0</v>
      </c>
      <c r="P568" s="85" t="s">
        <v>109</v>
      </c>
      <c r="Q568" s="21">
        <f>uurtarief7</f>
        <v>0</v>
      </c>
      <c r="R568" s="87" t="e">
        <f t="shared" ref="R568:R582" si="154">IF(ISBLANK(N568),0,M568/ROUND(N568,4))</f>
        <v>#DIV/0!</v>
      </c>
      <c r="S568" s="87" t="e">
        <f t="shared" ref="S568:S582" si="155">IF(ISBLANK(N568),0,R568*ROUND(O568,2))</f>
        <v>#DIV/0!</v>
      </c>
      <c r="T568" s="21" t="e">
        <f t="shared" ref="T568:T582" si="156">ROUND(Q568,2)*R568</f>
        <v>#DIV/0!</v>
      </c>
      <c r="U568" s="87" t="e">
        <f t="shared" ref="U568:U582" si="157">R568*dagenperjaar1</f>
        <v>#DIV/0!</v>
      </c>
      <c r="V568" s="22" t="e">
        <f t="shared" ref="V568:V582" si="158">U568*ROUND(Q568,2)</f>
        <v>#DIV/0!</v>
      </c>
    </row>
    <row r="569" spans="1:22" x14ac:dyDescent="0.25">
      <c r="A569" s="84" t="s">
        <v>982</v>
      </c>
      <c r="B569" s="85" t="s">
        <v>42</v>
      </c>
      <c r="C569" s="85" t="s">
        <v>342</v>
      </c>
      <c r="D569" s="85" t="s">
        <v>400</v>
      </c>
      <c r="E569" s="86" t="s">
        <v>1007</v>
      </c>
      <c r="F569" s="85" t="s">
        <v>699</v>
      </c>
      <c r="G569" s="85" t="s">
        <v>310</v>
      </c>
      <c r="H569" s="85" t="s">
        <v>9</v>
      </c>
      <c r="I569" s="85" t="s">
        <v>258</v>
      </c>
      <c r="J569" s="86" t="s">
        <v>311</v>
      </c>
      <c r="K569" s="85" t="s">
        <v>417</v>
      </c>
      <c r="L569" s="87">
        <v>9.6</v>
      </c>
      <c r="M569" s="87">
        <f t="shared" si="153"/>
        <v>9.8399999999999981</v>
      </c>
      <c r="N569" s="88">
        <f>prodnorm45</f>
        <v>0</v>
      </c>
      <c r="O569" s="33">
        <f>dagwerk45</f>
        <v>0</v>
      </c>
      <c r="P569" s="85" t="s">
        <v>109</v>
      </c>
      <c r="Q569" s="21">
        <f>uurtarief45</f>
        <v>0</v>
      </c>
      <c r="R569" s="87" t="e">
        <f t="shared" si="154"/>
        <v>#DIV/0!</v>
      </c>
      <c r="S569" s="87" t="e">
        <f t="shared" si="155"/>
        <v>#DIV/0!</v>
      </c>
      <c r="T569" s="21" t="e">
        <f t="shared" si="156"/>
        <v>#DIV/0!</v>
      </c>
      <c r="U569" s="87" t="e">
        <f t="shared" si="157"/>
        <v>#DIV/0!</v>
      </c>
      <c r="V569" s="22" t="e">
        <f t="shared" si="158"/>
        <v>#DIV/0!</v>
      </c>
    </row>
    <row r="570" spans="1:22" x14ac:dyDescent="0.25">
      <c r="A570" s="84" t="s">
        <v>982</v>
      </c>
      <c r="B570" s="85" t="s">
        <v>42</v>
      </c>
      <c r="C570" s="85" t="s">
        <v>342</v>
      </c>
      <c r="D570" s="85" t="s">
        <v>401</v>
      </c>
      <c r="E570" s="86" t="s">
        <v>790</v>
      </c>
      <c r="F570" s="85" t="s">
        <v>699</v>
      </c>
      <c r="G570" s="85" t="s">
        <v>320</v>
      </c>
      <c r="H570" s="85" t="s">
        <v>9</v>
      </c>
      <c r="I570" s="85" t="s">
        <v>258</v>
      </c>
      <c r="J570" s="86" t="s">
        <v>321</v>
      </c>
      <c r="K570" s="85" t="s">
        <v>346</v>
      </c>
      <c r="L570" s="87">
        <v>16</v>
      </c>
      <c r="M570" s="87">
        <f t="shared" si="153"/>
        <v>16.399999999999999</v>
      </c>
      <c r="N570" s="88">
        <f>prodnorm51</f>
        <v>0</v>
      </c>
      <c r="O570" s="33">
        <f>dagwerk51</f>
        <v>0</v>
      </c>
      <c r="P570" s="85" t="s">
        <v>109</v>
      </c>
      <c r="Q570" s="21">
        <f>uurtarief51</f>
        <v>0</v>
      </c>
      <c r="R570" s="87" t="e">
        <f t="shared" si="154"/>
        <v>#DIV/0!</v>
      </c>
      <c r="S570" s="87" t="e">
        <f t="shared" si="155"/>
        <v>#DIV/0!</v>
      </c>
      <c r="T570" s="21" t="e">
        <f t="shared" si="156"/>
        <v>#DIV/0!</v>
      </c>
      <c r="U570" s="87" t="e">
        <f t="shared" si="157"/>
        <v>#DIV/0!</v>
      </c>
      <c r="V570" s="22" t="e">
        <f t="shared" si="158"/>
        <v>#DIV/0!</v>
      </c>
    </row>
    <row r="571" spans="1:22" x14ac:dyDescent="0.25">
      <c r="A571" s="84" t="s">
        <v>982</v>
      </c>
      <c r="B571" s="85" t="s">
        <v>42</v>
      </c>
      <c r="C571" s="85" t="s">
        <v>342</v>
      </c>
      <c r="D571" s="85" t="s">
        <v>403</v>
      </c>
      <c r="E571" s="86" t="s">
        <v>1008</v>
      </c>
      <c r="F571" s="85" t="s">
        <v>699</v>
      </c>
      <c r="G571" s="85" t="s">
        <v>310</v>
      </c>
      <c r="H571" s="85" t="s">
        <v>9</v>
      </c>
      <c r="I571" s="85" t="s">
        <v>258</v>
      </c>
      <c r="J571" s="86" t="s">
        <v>311</v>
      </c>
      <c r="K571" s="85" t="s">
        <v>417</v>
      </c>
      <c r="L571" s="87">
        <v>9.3000000000000007</v>
      </c>
      <c r="M571" s="87">
        <f t="shared" si="153"/>
        <v>9.5325000000000006</v>
      </c>
      <c r="N571" s="88">
        <f>prodnorm45</f>
        <v>0</v>
      </c>
      <c r="O571" s="33">
        <f>dagwerk45</f>
        <v>0</v>
      </c>
      <c r="P571" s="85" t="s">
        <v>109</v>
      </c>
      <c r="Q571" s="21">
        <f>uurtarief45</f>
        <v>0</v>
      </c>
      <c r="R571" s="87" t="e">
        <f t="shared" si="154"/>
        <v>#DIV/0!</v>
      </c>
      <c r="S571" s="87" t="e">
        <f t="shared" si="155"/>
        <v>#DIV/0!</v>
      </c>
      <c r="T571" s="21" t="e">
        <f t="shared" si="156"/>
        <v>#DIV/0!</v>
      </c>
      <c r="U571" s="87" t="e">
        <f t="shared" si="157"/>
        <v>#DIV/0!</v>
      </c>
      <c r="V571" s="22" t="e">
        <f t="shared" si="158"/>
        <v>#DIV/0!</v>
      </c>
    </row>
    <row r="572" spans="1:22" x14ac:dyDescent="0.25">
      <c r="A572" s="84" t="s">
        <v>982</v>
      </c>
      <c r="B572" s="85" t="s">
        <v>42</v>
      </c>
      <c r="C572" s="85" t="s">
        <v>342</v>
      </c>
      <c r="D572" s="85" t="s">
        <v>404</v>
      </c>
      <c r="E572" s="86" t="s">
        <v>373</v>
      </c>
      <c r="F572" s="85" t="s">
        <v>699</v>
      </c>
      <c r="G572" s="85" t="s">
        <v>312</v>
      </c>
      <c r="H572" s="85" t="s">
        <v>9</v>
      </c>
      <c r="I572" s="85" t="s">
        <v>258</v>
      </c>
      <c r="J572" s="86" t="s">
        <v>313</v>
      </c>
      <c r="K572" s="85" t="s">
        <v>346</v>
      </c>
      <c r="L572" s="87">
        <v>12</v>
      </c>
      <c r="M572" s="87">
        <f t="shared" si="153"/>
        <v>12.299999999999999</v>
      </c>
      <c r="N572" s="88">
        <f>prodnorm46</f>
        <v>0</v>
      </c>
      <c r="O572" s="33">
        <f>dagwerk46</f>
        <v>0</v>
      </c>
      <c r="P572" s="85" t="s">
        <v>109</v>
      </c>
      <c r="Q572" s="21">
        <f>uurtarief46</f>
        <v>0</v>
      </c>
      <c r="R572" s="87" t="e">
        <f t="shared" si="154"/>
        <v>#DIV/0!</v>
      </c>
      <c r="S572" s="87" t="e">
        <f t="shared" si="155"/>
        <v>#DIV/0!</v>
      </c>
      <c r="T572" s="21" t="e">
        <f t="shared" si="156"/>
        <v>#DIV/0!</v>
      </c>
      <c r="U572" s="87" t="e">
        <f t="shared" si="157"/>
        <v>#DIV/0!</v>
      </c>
      <c r="V572" s="22" t="e">
        <f t="shared" si="158"/>
        <v>#DIV/0!</v>
      </c>
    </row>
    <row r="573" spans="1:22" x14ac:dyDescent="0.25">
      <c r="A573" s="84" t="s">
        <v>982</v>
      </c>
      <c r="B573" s="85" t="s">
        <v>42</v>
      </c>
      <c r="C573" s="85" t="s">
        <v>342</v>
      </c>
      <c r="D573" s="85" t="s">
        <v>405</v>
      </c>
      <c r="E573" s="86" t="s">
        <v>678</v>
      </c>
      <c r="F573" s="85" t="s">
        <v>345</v>
      </c>
      <c r="G573" s="85" t="s">
        <v>274</v>
      </c>
      <c r="H573" s="85" t="s">
        <v>9</v>
      </c>
      <c r="I573" s="85" t="s">
        <v>258</v>
      </c>
      <c r="J573" s="86" t="s">
        <v>275</v>
      </c>
      <c r="K573" s="85" t="s">
        <v>346</v>
      </c>
      <c r="L573" s="87">
        <v>141</v>
      </c>
      <c r="M573" s="87">
        <f t="shared" si="153"/>
        <v>144.52499999999998</v>
      </c>
      <c r="N573" s="88">
        <f>prodnorm20</f>
        <v>0</v>
      </c>
      <c r="O573" s="33">
        <f>dagwerk20</f>
        <v>0</v>
      </c>
      <c r="P573" s="85" t="s">
        <v>109</v>
      </c>
      <c r="Q573" s="21">
        <f>uurtarief20</f>
        <v>0</v>
      </c>
      <c r="R573" s="87" t="e">
        <f t="shared" si="154"/>
        <v>#DIV/0!</v>
      </c>
      <c r="S573" s="87" t="e">
        <f t="shared" si="155"/>
        <v>#DIV/0!</v>
      </c>
      <c r="T573" s="21" t="e">
        <f t="shared" si="156"/>
        <v>#DIV/0!</v>
      </c>
      <c r="U573" s="87" t="e">
        <f t="shared" si="157"/>
        <v>#DIV/0!</v>
      </c>
      <c r="V573" s="22" t="e">
        <f t="shared" si="158"/>
        <v>#DIV/0!</v>
      </c>
    </row>
    <row r="574" spans="1:22" x14ac:dyDescent="0.25">
      <c r="A574" s="84" t="s">
        <v>982</v>
      </c>
      <c r="B574" s="85" t="s">
        <v>42</v>
      </c>
      <c r="C574" s="85" t="s">
        <v>342</v>
      </c>
      <c r="D574" s="85" t="s">
        <v>407</v>
      </c>
      <c r="E574" s="86" t="s">
        <v>1009</v>
      </c>
      <c r="F574" s="85" t="s">
        <v>349</v>
      </c>
      <c r="G574" s="85" t="s">
        <v>260</v>
      </c>
      <c r="H574" s="85" t="s">
        <v>9</v>
      </c>
      <c r="I574" s="85" t="s">
        <v>258</v>
      </c>
      <c r="J574" s="86" t="s">
        <v>261</v>
      </c>
      <c r="K574" s="85" t="s">
        <v>365</v>
      </c>
      <c r="L574" s="87">
        <v>14.3</v>
      </c>
      <c r="M574" s="87">
        <f t="shared" si="153"/>
        <v>14.657499999999999</v>
      </c>
      <c r="N574" s="88">
        <f>prodnorm6</f>
        <v>0</v>
      </c>
      <c r="O574" s="33">
        <f>dagwerk6</f>
        <v>0</v>
      </c>
      <c r="P574" s="85" t="s">
        <v>109</v>
      </c>
      <c r="Q574" s="21">
        <f>uurtarief6</f>
        <v>0</v>
      </c>
      <c r="R574" s="87" t="e">
        <f t="shared" si="154"/>
        <v>#DIV/0!</v>
      </c>
      <c r="S574" s="87" t="e">
        <f t="shared" si="155"/>
        <v>#DIV/0!</v>
      </c>
      <c r="T574" s="21" t="e">
        <f t="shared" si="156"/>
        <v>#DIV/0!</v>
      </c>
      <c r="U574" s="87" t="e">
        <f t="shared" si="157"/>
        <v>#DIV/0!</v>
      </c>
      <c r="V574" s="22" t="e">
        <f t="shared" si="158"/>
        <v>#DIV/0!</v>
      </c>
    </row>
    <row r="575" spans="1:22" x14ac:dyDescent="0.25">
      <c r="A575" s="84" t="s">
        <v>982</v>
      </c>
      <c r="B575" s="85" t="s">
        <v>42</v>
      </c>
      <c r="C575" s="85" t="s">
        <v>342</v>
      </c>
      <c r="D575" s="85" t="s">
        <v>1010</v>
      </c>
      <c r="E575" s="86" t="s">
        <v>1011</v>
      </c>
      <c r="F575" s="85" t="s">
        <v>345</v>
      </c>
      <c r="G575" s="85" t="s">
        <v>260</v>
      </c>
      <c r="H575" s="85" t="s">
        <v>9</v>
      </c>
      <c r="I575" s="85" t="s">
        <v>258</v>
      </c>
      <c r="J575" s="86" t="s">
        <v>261</v>
      </c>
      <c r="K575" s="85" t="s">
        <v>346</v>
      </c>
      <c r="L575" s="87">
        <v>23.6</v>
      </c>
      <c r="M575" s="87">
        <f t="shared" si="153"/>
        <v>24.189999999999998</v>
      </c>
      <c r="N575" s="88">
        <f>prodnorm6</f>
        <v>0</v>
      </c>
      <c r="O575" s="33">
        <f>dagwerk6</f>
        <v>0</v>
      </c>
      <c r="P575" s="85" t="s">
        <v>109</v>
      </c>
      <c r="Q575" s="21">
        <f>uurtarief6</f>
        <v>0</v>
      </c>
      <c r="R575" s="87" t="e">
        <f t="shared" si="154"/>
        <v>#DIV/0!</v>
      </c>
      <c r="S575" s="87" t="e">
        <f t="shared" si="155"/>
        <v>#DIV/0!</v>
      </c>
      <c r="T575" s="21" t="e">
        <f t="shared" si="156"/>
        <v>#DIV/0!</v>
      </c>
      <c r="U575" s="87" t="e">
        <f t="shared" si="157"/>
        <v>#DIV/0!</v>
      </c>
      <c r="V575" s="22" t="e">
        <f t="shared" si="158"/>
        <v>#DIV/0!</v>
      </c>
    </row>
    <row r="576" spans="1:22" x14ac:dyDescent="0.25">
      <c r="A576" s="84" t="s">
        <v>982</v>
      </c>
      <c r="B576" s="85" t="s">
        <v>42</v>
      </c>
      <c r="C576" s="85" t="s">
        <v>342</v>
      </c>
      <c r="D576" s="85" t="s">
        <v>409</v>
      </c>
      <c r="E576" s="86" t="s">
        <v>996</v>
      </c>
      <c r="F576" s="85" t="s">
        <v>699</v>
      </c>
      <c r="G576" s="85" t="s">
        <v>310</v>
      </c>
      <c r="H576" s="85" t="s">
        <v>9</v>
      </c>
      <c r="I576" s="85" t="s">
        <v>258</v>
      </c>
      <c r="J576" s="86" t="s">
        <v>311</v>
      </c>
      <c r="K576" s="85" t="s">
        <v>417</v>
      </c>
      <c r="L576" s="87">
        <v>7.4300000000000006</v>
      </c>
      <c r="M576" s="87">
        <f t="shared" si="153"/>
        <v>7.6157500000000002</v>
      </c>
      <c r="N576" s="88">
        <f>prodnorm45</f>
        <v>0</v>
      </c>
      <c r="O576" s="33">
        <f>dagwerk45</f>
        <v>0</v>
      </c>
      <c r="P576" s="85" t="s">
        <v>109</v>
      </c>
      <c r="Q576" s="21">
        <f>uurtarief45</f>
        <v>0</v>
      </c>
      <c r="R576" s="87" t="e">
        <f t="shared" si="154"/>
        <v>#DIV/0!</v>
      </c>
      <c r="S576" s="87" t="e">
        <f t="shared" si="155"/>
        <v>#DIV/0!</v>
      </c>
      <c r="T576" s="21" t="e">
        <f t="shared" si="156"/>
        <v>#DIV/0!</v>
      </c>
      <c r="U576" s="87" t="e">
        <f t="shared" si="157"/>
        <v>#DIV/0!</v>
      </c>
      <c r="V576" s="22" t="e">
        <f t="shared" si="158"/>
        <v>#DIV/0!</v>
      </c>
    </row>
    <row r="577" spans="1:22" x14ac:dyDescent="0.25">
      <c r="A577" s="84" t="s">
        <v>982</v>
      </c>
      <c r="B577" s="85" t="s">
        <v>42</v>
      </c>
      <c r="C577" s="85" t="s">
        <v>342</v>
      </c>
      <c r="D577" s="85" t="s">
        <v>410</v>
      </c>
      <c r="E577" s="86" t="s">
        <v>991</v>
      </c>
      <c r="F577" s="85" t="s">
        <v>349</v>
      </c>
      <c r="G577" s="85" t="s">
        <v>318</v>
      </c>
      <c r="H577" s="85" t="s">
        <v>14</v>
      </c>
      <c r="I577" s="85" t="s">
        <v>258</v>
      </c>
      <c r="J577" s="86" t="s">
        <v>319</v>
      </c>
      <c r="K577" s="85" t="s">
        <v>346</v>
      </c>
      <c r="L577" s="87">
        <v>3</v>
      </c>
      <c r="M577" s="87">
        <f t="shared" si="153"/>
        <v>1.23</v>
      </c>
      <c r="N577" s="88">
        <f>prodnorm50</f>
        <v>0</v>
      </c>
      <c r="O577" s="33">
        <f>dagwerk50</f>
        <v>0</v>
      </c>
      <c r="P577" s="85" t="s">
        <v>109</v>
      </c>
      <c r="Q577" s="21">
        <f>uurtarief50</f>
        <v>0</v>
      </c>
      <c r="R577" s="87" t="e">
        <f t="shared" si="154"/>
        <v>#DIV/0!</v>
      </c>
      <c r="S577" s="87" t="e">
        <f t="shared" si="155"/>
        <v>#DIV/0!</v>
      </c>
      <c r="T577" s="21" t="e">
        <f t="shared" si="156"/>
        <v>#DIV/0!</v>
      </c>
      <c r="U577" s="87" t="e">
        <f t="shared" si="157"/>
        <v>#DIV/0!</v>
      </c>
      <c r="V577" s="22" t="e">
        <f t="shared" si="158"/>
        <v>#DIV/0!</v>
      </c>
    </row>
    <row r="578" spans="1:22" x14ac:dyDescent="0.25">
      <c r="A578" s="84" t="s">
        <v>982</v>
      </c>
      <c r="B578" s="85" t="s">
        <v>42</v>
      </c>
      <c r="C578" s="85" t="s">
        <v>342</v>
      </c>
      <c r="D578" s="85" t="s">
        <v>1012</v>
      </c>
      <c r="E578" s="86" t="s">
        <v>996</v>
      </c>
      <c r="F578" s="85" t="s">
        <v>699</v>
      </c>
      <c r="G578" s="85" t="s">
        <v>310</v>
      </c>
      <c r="H578" s="85" t="s">
        <v>9</v>
      </c>
      <c r="I578" s="85" t="s">
        <v>258</v>
      </c>
      <c r="J578" s="86" t="s">
        <v>311</v>
      </c>
      <c r="K578" s="85" t="s">
        <v>417</v>
      </c>
      <c r="L578" s="87">
        <v>16.600000000000001</v>
      </c>
      <c r="M578" s="87">
        <f t="shared" si="153"/>
        <v>17.015000000000001</v>
      </c>
      <c r="N578" s="88">
        <f>prodnorm45</f>
        <v>0</v>
      </c>
      <c r="O578" s="33">
        <f>dagwerk45</f>
        <v>0</v>
      </c>
      <c r="P578" s="85" t="s">
        <v>109</v>
      </c>
      <c r="Q578" s="21">
        <f>uurtarief45</f>
        <v>0</v>
      </c>
      <c r="R578" s="87" t="e">
        <f t="shared" si="154"/>
        <v>#DIV/0!</v>
      </c>
      <c r="S578" s="87" t="e">
        <f t="shared" si="155"/>
        <v>#DIV/0!</v>
      </c>
      <c r="T578" s="21" t="e">
        <f t="shared" si="156"/>
        <v>#DIV/0!</v>
      </c>
      <c r="U578" s="87" t="e">
        <f t="shared" si="157"/>
        <v>#DIV/0!</v>
      </c>
      <c r="V578" s="22" t="e">
        <f t="shared" si="158"/>
        <v>#DIV/0!</v>
      </c>
    </row>
    <row r="579" spans="1:22" x14ac:dyDescent="0.25">
      <c r="A579" s="84" t="s">
        <v>982</v>
      </c>
      <c r="B579" s="85" t="s">
        <v>42</v>
      </c>
      <c r="C579" s="85" t="s">
        <v>342</v>
      </c>
      <c r="D579" s="85" t="s">
        <v>1013</v>
      </c>
      <c r="E579" s="86" t="s">
        <v>1014</v>
      </c>
      <c r="F579" s="85" t="s">
        <v>349</v>
      </c>
      <c r="G579" s="85" t="s">
        <v>320</v>
      </c>
      <c r="H579" s="85" t="s">
        <v>14</v>
      </c>
      <c r="I579" s="85" t="s">
        <v>258</v>
      </c>
      <c r="J579" s="86" t="s">
        <v>321</v>
      </c>
      <c r="K579" s="85" t="s">
        <v>346</v>
      </c>
      <c r="L579" s="87">
        <v>72</v>
      </c>
      <c r="M579" s="87">
        <f t="shared" si="153"/>
        <v>29.52</v>
      </c>
      <c r="N579" s="88">
        <f>prodnorm52</f>
        <v>0</v>
      </c>
      <c r="O579" s="33">
        <f>dagwerk52</f>
        <v>0</v>
      </c>
      <c r="P579" s="85" t="s">
        <v>109</v>
      </c>
      <c r="Q579" s="21">
        <f>uurtarief52</f>
        <v>0</v>
      </c>
      <c r="R579" s="87" t="e">
        <f t="shared" si="154"/>
        <v>#DIV/0!</v>
      </c>
      <c r="S579" s="87" t="e">
        <f t="shared" si="155"/>
        <v>#DIV/0!</v>
      </c>
      <c r="T579" s="21" t="e">
        <f t="shared" si="156"/>
        <v>#DIV/0!</v>
      </c>
      <c r="U579" s="87" t="e">
        <f t="shared" si="157"/>
        <v>#DIV/0!</v>
      </c>
      <c r="V579" s="22" t="e">
        <f t="shared" si="158"/>
        <v>#DIV/0!</v>
      </c>
    </row>
    <row r="580" spans="1:22" x14ac:dyDescent="0.25">
      <c r="A580" s="84" t="s">
        <v>982</v>
      </c>
      <c r="B580" s="85" t="s">
        <v>42</v>
      </c>
      <c r="C580" s="85" t="s">
        <v>342</v>
      </c>
      <c r="D580" s="85" t="s">
        <v>1015</v>
      </c>
      <c r="E580" s="86" t="s">
        <v>1016</v>
      </c>
      <c r="F580" s="85" t="s">
        <v>349</v>
      </c>
      <c r="G580" s="85" t="s">
        <v>260</v>
      </c>
      <c r="H580" s="85" t="s">
        <v>14</v>
      </c>
      <c r="I580" s="85" t="s">
        <v>258</v>
      </c>
      <c r="J580" s="86" t="s">
        <v>261</v>
      </c>
      <c r="K580" s="85" t="s">
        <v>365</v>
      </c>
      <c r="L580" s="87">
        <v>3</v>
      </c>
      <c r="M580" s="87">
        <f t="shared" si="153"/>
        <v>1.23</v>
      </c>
      <c r="N580" s="88">
        <f>prodnorm7</f>
        <v>0</v>
      </c>
      <c r="O580" s="33">
        <f>dagwerk7</f>
        <v>0</v>
      </c>
      <c r="P580" s="85" t="s">
        <v>109</v>
      </c>
      <c r="Q580" s="21">
        <f>uurtarief7</f>
        <v>0</v>
      </c>
      <c r="R580" s="87" t="e">
        <f t="shared" si="154"/>
        <v>#DIV/0!</v>
      </c>
      <c r="S580" s="87" t="e">
        <f t="shared" si="155"/>
        <v>#DIV/0!</v>
      </c>
      <c r="T580" s="21" t="e">
        <f t="shared" si="156"/>
        <v>#DIV/0!</v>
      </c>
      <c r="U580" s="87" t="e">
        <f t="shared" si="157"/>
        <v>#DIV/0!</v>
      </c>
      <c r="V580" s="22" t="e">
        <f t="shared" si="158"/>
        <v>#DIV/0!</v>
      </c>
    </row>
    <row r="581" spans="1:22" x14ac:dyDescent="0.25">
      <c r="A581" s="84" t="s">
        <v>982</v>
      </c>
      <c r="B581" s="85" t="s">
        <v>42</v>
      </c>
      <c r="C581" s="85" t="s">
        <v>342</v>
      </c>
      <c r="D581" s="85" t="s">
        <v>1017</v>
      </c>
      <c r="E581" s="86" t="s">
        <v>1018</v>
      </c>
      <c r="F581" s="85" t="s">
        <v>349</v>
      </c>
      <c r="G581" s="85" t="s">
        <v>260</v>
      </c>
      <c r="H581" s="85" t="s">
        <v>14</v>
      </c>
      <c r="I581" s="85" t="s">
        <v>258</v>
      </c>
      <c r="J581" s="86" t="s">
        <v>261</v>
      </c>
      <c r="K581" s="85" t="s">
        <v>365</v>
      </c>
      <c r="L581" s="87">
        <v>3</v>
      </c>
      <c r="M581" s="87">
        <f t="shared" si="153"/>
        <v>1.23</v>
      </c>
      <c r="N581" s="88">
        <f>prodnorm7</f>
        <v>0</v>
      </c>
      <c r="O581" s="33">
        <f>dagwerk7</f>
        <v>0</v>
      </c>
      <c r="P581" s="85" t="s">
        <v>109</v>
      </c>
      <c r="Q581" s="21">
        <f>uurtarief7</f>
        <v>0</v>
      </c>
      <c r="R581" s="87" t="e">
        <f t="shared" si="154"/>
        <v>#DIV/0!</v>
      </c>
      <c r="S581" s="87" t="e">
        <f t="shared" si="155"/>
        <v>#DIV/0!</v>
      </c>
      <c r="T581" s="21" t="e">
        <f t="shared" si="156"/>
        <v>#DIV/0!</v>
      </c>
      <c r="U581" s="87" t="e">
        <f t="shared" si="157"/>
        <v>#DIV/0!</v>
      </c>
      <c r="V581" s="22" t="e">
        <f t="shared" si="158"/>
        <v>#DIV/0!</v>
      </c>
    </row>
    <row r="582" spans="1:22" x14ac:dyDescent="0.25">
      <c r="A582" s="84" t="s">
        <v>982</v>
      </c>
      <c r="B582" s="85" t="s">
        <v>42</v>
      </c>
      <c r="C582" s="85" t="s">
        <v>342</v>
      </c>
      <c r="D582" s="85" t="s">
        <v>1019</v>
      </c>
      <c r="E582" s="86" t="s">
        <v>1020</v>
      </c>
      <c r="F582" s="85" t="s">
        <v>349</v>
      </c>
      <c r="G582" s="85" t="s">
        <v>260</v>
      </c>
      <c r="H582" s="85" t="s">
        <v>14</v>
      </c>
      <c r="I582" s="85" t="s">
        <v>258</v>
      </c>
      <c r="J582" s="86" t="s">
        <v>261</v>
      </c>
      <c r="K582" s="85" t="s">
        <v>365</v>
      </c>
      <c r="L582" s="87">
        <v>87.8</v>
      </c>
      <c r="M582" s="87">
        <f t="shared" si="153"/>
        <v>35.997999999999998</v>
      </c>
      <c r="N582" s="88">
        <f>prodnorm7</f>
        <v>0</v>
      </c>
      <c r="O582" s="33">
        <f>dagwerk7</f>
        <v>0</v>
      </c>
      <c r="P582" s="85" t="s">
        <v>109</v>
      </c>
      <c r="Q582" s="21">
        <f>uurtarief7</f>
        <v>0</v>
      </c>
      <c r="R582" s="87" t="e">
        <f t="shared" si="154"/>
        <v>#DIV/0!</v>
      </c>
      <c r="S582" s="87" t="e">
        <f t="shared" si="155"/>
        <v>#DIV/0!</v>
      </c>
      <c r="T582" s="21" t="e">
        <f t="shared" si="156"/>
        <v>#DIV/0!</v>
      </c>
      <c r="U582" s="87" t="e">
        <f t="shared" si="157"/>
        <v>#DIV/0!</v>
      </c>
      <c r="V582" s="22" t="e">
        <f t="shared" si="158"/>
        <v>#DIV/0!</v>
      </c>
    </row>
    <row r="583" spans="1:22" x14ac:dyDescent="0.25">
      <c r="A583" s="84" t="s">
        <v>982</v>
      </c>
      <c r="B583" s="85" t="s">
        <v>42</v>
      </c>
      <c r="C583" s="85" t="s">
        <v>342</v>
      </c>
      <c r="D583" s="85" t="s">
        <v>1021</v>
      </c>
      <c r="E583" s="86" t="s">
        <v>1022</v>
      </c>
      <c r="F583" s="85" t="s">
        <v>42</v>
      </c>
      <c r="G583" s="85" t="s">
        <v>350</v>
      </c>
      <c r="H583" s="85"/>
      <c r="I583" s="85"/>
      <c r="J583" s="85"/>
      <c r="K583" s="85" t="s">
        <v>42</v>
      </c>
      <c r="L583" s="87">
        <v>0</v>
      </c>
      <c r="M583" s="87"/>
      <c r="N583" s="88"/>
      <c r="O583" s="33"/>
      <c r="P583" s="85"/>
      <c r="Q583" s="21"/>
      <c r="R583" s="87"/>
      <c r="S583" s="87"/>
      <c r="T583" s="21"/>
      <c r="U583" s="89"/>
      <c r="V583" s="22"/>
    </row>
    <row r="584" spans="1:22" x14ac:dyDescent="0.25">
      <c r="A584" s="84" t="s">
        <v>982</v>
      </c>
      <c r="B584" s="85" t="s">
        <v>42</v>
      </c>
      <c r="C584" s="85" t="s">
        <v>342</v>
      </c>
      <c r="D584" s="85" t="s">
        <v>1023</v>
      </c>
      <c r="E584" s="86" t="s">
        <v>373</v>
      </c>
      <c r="F584" s="85" t="s">
        <v>985</v>
      </c>
      <c r="G584" s="85" t="s">
        <v>312</v>
      </c>
      <c r="H584" s="85" t="s">
        <v>9</v>
      </c>
      <c r="I584" s="85" t="s">
        <v>258</v>
      </c>
      <c r="J584" s="86" t="s">
        <v>313</v>
      </c>
      <c r="K584" s="85" t="s">
        <v>346</v>
      </c>
      <c r="L584" s="87">
        <v>126</v>
      </c>
      <c r="M584" s="87">
        <f t="shared" ref="M584:M589" si="159">L584*VLOOKUP(H584,dagsoorttabel1,2,FALSE)</f>
        <v>129.14999999999998</v>
      </c>
      <c r="N584" s="88">
        <f>prodnorm46</f>
        <v>0</v>
      </c>
      <c r="O584" s="33">
        <f>dagwerk46</f>
        <v>0</v>
      </c>
      <c r="P584" s="85" t="s">
        <v>109</v>
      </c>
      <c r="Q584" s="21">
        <f>uurtarief46</f>
        <v>0</v>
      </c>
      <c r="R584" s="87" t="e">
        <f t="shared" ref="R584:R589" si="160">IF(ISBLANK(N584),0,M584/ROUND(N584,4))</f>
        <v>#DIV/0!</v>
      </c>
      <c r="S584" s="87" t="e">
        <f t="shared" ref="S584:S589" si="161">IF(ISBLANK(N584),0,R584*ROUND(O584,2))</f>
        <v>#DIV/0!</v>
      </c>
      <c r="T584" s="21" t="e">
        <f t="shared" ref="T584:T589" si="162">ROUND(Q584,2)*R584</f>
        <v>#DIV/0!</v>
      </c>
      <c r="U584" s="87" t="e">
        <f t="shared" ref="U584:U589" si="163">R584*dagenperjaar1</f>
        <v>#DIV/0!</v>
      </c>
      <c r="V584" s="22" t="e">
        <f t="shared" ref="V584:V589" si="164">U584*ROUND(Q584,2)</f>
        <v>#DIV/0!</v>
      </c>
    </row>
    <row r="585" spans="1:22" x14ac:dyDescent="0.25">
      <c r="A585" s="84" t="s">
        <v>982</v>
      </c>
      <c r="B585" s="85" t="s">
        <v>42</v>
      </c>
      <c r="C585" s="85" t="s">
        <v>342</v>
      </c>
      <c r="D585" s="85" t="s">
        <v>1024</v>
      </c>
      <c r="E585" s="86" t="s">
        <v>590</v>
      </c>
      <c r="F585" s="85" t="s">
        <v>349</v>
      </c>
      <c r="G585" s="85" t="s">
        <v>260</v>
      </c>
      <c r="H585" s="85" t="s">
        <v>14</v>
      </c>
      <c r="I585" s="85" t="s">
        <v>258</v>
      </c>
      <c r="J585" s="86" t="s">
        <v>261</v>
      </c>
      <c r="K585" s="85" t="s">
        <v>365</v>
      </c>
      <c r="L585" s="87">
        <v>52</v>
      </c>
      <c r="M585" s="87">
        <f t="shared" si="159"/>
        <v>21.32</v>
      </c>
      <c r="N585" s="88">
        <f>prodnorm7</f>
        <v>0</v>
      </c>
      <c r="O585" s="33">
        <f>dagwerk7</f>
        <v>0</v>
      </c>
      <c r="P585" s="85" t="s">
        <v>109</v>
      </c>
      <c r="Q585" s="21">
        <f>uurtarief7</f>
        <v>0</v>
      </c>
      <c r="R585" s="87" t="e">
        <f t="shared" si="160"/>
        <v>#DIV/0!</v>
      </c>
      <c r="S585" s="87" t="e">
        <f t="shared" si="161"/>
        <v>#DIV/0!</v>
      </c>
      <c r="T585" s="21" t="e">
        <f t="shared" si="162"/>
        <v>#DIV/0!</v>
      </c>
      <c r="U585" s="87" t="e">
        <f t="shared" si="163"/>
        <v>#DIV/0!</v>
      </c>
      <c r="V585" s="22" t="e">
        <f t="shared" si="164"/>
        <v>#DIV/0!</v>
      </c>
    </row>
    <row r="586" spans="1:22" x14ac:dyDescent="0.25">
      <c r="A586" s="84" t="s">
        <v>982</v>
      </c>
      <c r="B586" s="85" t="s">
        <v>42</v>
      </c>
      <c r="C586" s="85" t="s">
        <v>342</v>
      </c>
      <c r="D586" s="85" t="s">
        <v>1025</v>
      </c>
      <c r="E586" s="86" t="s">
        <v>590</v>
      </c>
      <c r="F586" s="85" t="s">
        <v>349</v>
      </c>
      <c r="G586" s="85" t="s">
        <v>260</v>
      </c>
      <c r="H586" s="85" t="s">
        <v>14</v>
      </c>
      <c r="I586" s="85" t="s">
        <v>258</v>
      </c>
      <c r="J586" s="86" t="s">
        <v>261</v>
      </c>
      <c r="K586" s="85" t="s">
        <v>365</v>
      </c>
      <c r="L586" s="87">
        <v>27</v>
      </c>
      <c r="M586" s="87">
        <f t="shared" si="159"/>
        <v>11.069999999999999</v>
      </c>
      <c r="N586" s="88">
        <f>prodnorm7</f>
        <v>0</v>
      </c>
      <c r="O586" s="33">
        <f>dagwerk7</f>
        <v>0</v>
      </c>
      <c r="P586" s="85" t="s">
        <v>109</v>
      </c>
      <c r="Q586" s="21">
        <f>uurtarief7</f>
        <v>0</v>
      </c>
      <c r="R586" s="87" t="e">
        <f t="shared" si="160"/>
        <v>#DIV/0!</v>
      </c>
      <c r="S586" s="87" t="e">
        <f t="shared" si="161"/>
        <v>#DIV/0!</v>
      </c>
      <c r="T586" s="21" t="e">
        <f t="shared" si="162"/>
        <v>#DIV/0!</v>
      </c>
      <c r="U586" s="87" t="e">
        <f t="shared" si="163"/>
        <v>#DIV/0!</v>
      </c>
      <c r="V586" s="22" t="e">
        <f t="shared" si="164"/>
        <v>#DIV/0!</v>
      </c>
    </row>
    <row r="587" spans="1:22" x14ac:dyDescent="0.25">
      <c r="A587" s="84" t="s">
        <v>982</v>
      </c>
      <c r="B587" s="85" t="s">
        <v>42</v>
      </c>
      <c r="C587" s="85" t="s">
        <v>342</v>
      </c>
      <c r="D587" s="85" t="s">
        <v>1026</v>
      </c>
      <c r="E587" s="86" t="s">
        <v>590</v>
      </c>
      <c r="F587" s="85" t="s">
        <v>349</v>
      </c>
      <c r="G587" s="85" t="s">
        <v>260</v>
      </c>
      <c r="H587" s="85" t="s">
        <v>14</v>
      </c>
      <c r="I587" s="85" t="s">
        <v>258</v>
      </c>
      <c r="J587" s="86" t="s">
        <v>261</v>
      </c>
      <c r="K587" s="85" t="s">
        <v>365</v>
      </c>
      <c r="L587" s="87">
        <v>27</v>
      </c>
      <c r="M587" s="87">
        <f t="shared" si="159"/>
        <v>11.069999999999999</v>
      </c>
      <c r="N587" s="88">
        <f>prodnorm7</f>
        <v>0</v>
      </c>
      <c r="O587" s="33">
        <f>dagwerk7</f>
        <v>0</v>
      </c>
      <c r="P587" s="85" t="s">
        <v>109</v>
      </c>
      <c r="Q587" s="21">
        <f>uurtarief7</f>
        <v>0</v>
      </c>
      <c r="R587" s="87" t="e">
        <f t="shared" si="160"/>
        <v>#DIV/0!</v>
      </c>
      <c r="S587" s="87" t="e">
        <f t="shared" si="161"/>
        <v>#DIV/0!</v>
      </c>
      <c r="T587" s="21" t="e">
        <f t="shared" si="162"/>
        <v>#DIV/0!</v>
      </c>
      <c r="U587" s="87" t="e">
        <f t="shared" si="163"/>
        <v>#DIV/0!</v>
      </c>
      <c r="V587" s="22" t="e">
        <f t="shared" si="164"/>
        <v>#DIV/0!</v>
      </c>
    </row>
    <row r="588" spans="1:22" x14ac:dyDescent="0.25">
      <c r="A588" s="84" t="s">
        <v>982</v>
      </c>
      <c r="B588" s="85" t="s">
        <v>42</v>
      </c>
      <c r="C588" s="85" t="s">
        <v>342</v>
      </c>
      <c r="D588" s="85" t="s">
        <v>1027</v>
      </c>
      <c r="E588" s="86" t="s">
        <v>590</v>
      </c>
      <c r="F588" s="85" t="s">
        <v>349</v>
      </c>
      <c r="G588" s="85" t="s">
        <v>260</v>
      </c>
      <c r="H588" s="85" t="s">
        <v>14</v>
      </c>
      <c r="I588" s="85" t="s">
        <v>258</v>
      </c>
      <c r="J588" s="86" t="s">
        <v>261</v>
      </c>
      <c r="K588" s="85" t="s">
        <v>365</v>
      </c>
      <c r="L588" s="87">
        <v>27</v>
      </c>
      <c r="M588" s="87">
        <f t="shared" si="159"/>
        <v>11.069999999999999</v>
      </c>
      <c r="N588" s="88">
        <f>prodnorm7</f>
        <v>0</v>
      </c>
      <c r="O588" s="33">
        <f>dagwerk7</f>
        <v>0</v>
      </c>
      <c r="P588" s="85" t="s">
        <v>109</v>
      </c>
      <c r="Q588" s="21">
        <f>uurtarief7</f>
        <v>0</v>
      </c>
      <c r="R588" s="87" t="e">
        <f t="shared" si="160"/>
        <v>#DIV/0!</v>
      </c>
      <c r="S588" s="87" t="e">
        <f t="shared" si="161"/>
        <v>#DIV/0!</v>
      </c>
      <c r="T588" s="21" t="e">
        <f t="shared" si="162"/>
        <v>#DIV/0!</v>
      </c>
      <c r="U588" s="87" t="e">
        <f t="shared" si="163"/>
        <v>#DIV/0!</v>
      </c>
      <c r="V588" s="22" t="e">
        <f t="shared" si="164"/>
        <v>#DIV/0!</v>
      </c>
    </row>
    <row r="589" spans="1:22" x14ac:dyDescent="0.25">
      <c r="A589" s="84" t="s">
        <v>982</v>
      </c>
      <c r="B589" s="85" t="s">
        <v>42</v>
      </c>
      <c r="C589" s="85" t="s">
        <v>342</v>
      </c>
      <c r="D589" s="85" t="s">
        <v>411</v>
      </c>
      <c r="E589" s="86" t="s">
        <v>864</v>
      </c>
      <c r="F589" s="85" t="s">
        <v>349</v>
      </c>
      <c r="G589" s="85" t="s">
        <v>282</v>
      </c>
      <c r="H589" s="85" t="s">
        <v>9</v>
      </c>
      <c r="I589" s="85" t="s">
        <v>258</v>
      </c>
      <c r="J589" s="86" t="s">
        <v>283</v>
      </c>
      <c r="K589" s="85" t="s">
        <v>386</v>
      </c>
      <c r="L589" s="87">
        <v>136</v>
      </c>
      <c r="M589" s="87">
        <f t="shared" si="159"/>
        <v>139.39999999999998</v>
      </c>
      <c r="N589" s="88">
        <f>prodnorm24</f>
        <v>0</v>
      </c>
      <c r="O589" s="33">
        <f>dagwerk24</f>
        <v>0</v>
      </c>
      <c r="P589" s="85" t="s">
        <v>109</v>
      </c>
      <c r="Q589" s="21">
        <f>uurtarief24</f>
        <v>0</v>
      </c>
      <c r="R589" s="87" t="e">
        <f t="shared" si="160"/>
        <v>#DIV/0!</v>
      </c>
      <c r="S589" s="87" t="e">
        <f t="shared" si="161"/>
        <v>#DIV/0!</v>
      </c>
      <c r="T589" s="21" t="e">
        <f t="shared" si="162"/>
        <v>#DIV/0!</v>
      </c>
      <c r="U589" s="87" t="e">
        <f t="shared" si="163"/>
        <v>#DIV/0!</v>
      </c>
      <c r="V589" s="22" t="e">
        <f t="shared" si="164"/>
        <v>#DIV/0!</v>
      </c>
    </row>
    <row r="590" spans="1:22" x14ac:dyDescent="0.25">
      <c r="A590" s="84" t="s">
        <v>982</v>
      </c>
      <c r="B590" s="85" t="s">
        <v>42</v>
      </c>
      <c r="C590" s="85" t="s">
        <v>342</v>
      </c>
      <c r="D590" s="85" t="s">
        <v>414</v>
      </c>
      <c r="E590" s="86" t="s">
        <v>570</v>
      </c>
      <c r="F590" s="85" t="s">
        <v>42</v>
      </c>
      <c r="G590" s="85" t="s">
        <v>350</v>
      </c>
      <c r="H590" s="85"/>
      <c r="I590" s="85"/>
      <c r="J590" s="85"/>
      <c r="K590" s="85" t="s">
        <v>42</v>
      </c>
      <c r="L590" s="87">
        <v>0</v>
      </c>
      <c r="M590" s="87"/>
      <c r="N590" s="88"/>
      <c r="O590" s="33"/>
      <c r="P590" s="85"/>
      <c r="Q590" s="21"/>
      <c r="R590" s="87"/>
      <c r="S590" s="87"/>
      <c r="T590" s="21"/>
      <c r="U590" s="89"/>
      <c r="V590" s="22"/>
    </row>
    <row r="591" spans="1:22" x14ac:dyDescent="0.25">
      <c r="A591" s="84" t="s">
        <v>982</v>
      </c>
      <c r="B591" s="85" t="s">
        <v>42</v>
      </c>
      <c r="C591" s="85" t="s">
        <v>342</v>
      </c>
      <c r="D591" s="85" t="s">
        <v>1028</v>
      </c>
      <c r="E591" s="86" t="s">
        <v>1029</v>
      </c>
      <c r="F591" s="85" t="s">
        <v>42</v>
      </c>
      <c r="G591" s="85" t="s">
        <v>350</v>
      </c>
      <c r="H591" s="85"/>
      <c r="I591" s="85"/>
      <c r="J591" s="85"/>
      <c r="K591" s="85" t="s">
        <v>42</v>
      </c>
      <c r="L591" s="87">
        <v>0</v>
      </c>
      <c r="M591" s="87"/>
      <c r="N591" s="88"/>
      <c r="O591" s="33"/>
      <c r="P591" s="85"/>
      <c r="Q591" s="21"/>
      <c r="R591" s="87"/>
      <c r="S591" s="87"/>
      <c r="T591" s="21"/>
      <c r="U591" s="89"/>
      <c r="V591" s="22"/>
    </row>
    <row r="592" spans="1:22" x14ac:dyDescent="0.25">
      <c r="A592" s="84" t="s">
        <v>982</v>
      </c>
      <c r="B592" s="85" t="s">
        <v>42</v>
      </c>
      <c r="C592" s="85" t="s">
        <v>342</v>
      </c>
      <c r="D592" s="85" t="s">
        <v>415</v>
      </c>
      <c r="E592" s="86" t="s">
        <v>864</v>
      </c>
      <c r="F592" s="85" t="s">
        <v>349</v>
      </c>
      <c r="G592" s="85" t="s">
        <v>282</v>
      </c>
      <c r="H592" s="85" t="s">
        <v>9</v>
      </c>
      <c r="I592" s="85" t="s">
        <v>258</v>
      </c>
      <c r="J592" s="86" t="s">
        <v>283</v>
      </c>
      <c r="K592" s="85" t="s">
        <v>386</v>
      </c>
      <c r="L592" s="87">
        <v>136</v>
      </c>
      <c r="M592" s="87">
        <f>L592*VLOOKUP(H592,dagsoorttabel1,2,FALSE)</f>
        <v>139.39999999999998</v>
      </c>
      <c r="N592" s="88">
        <f>prodnorm24</f>
        <v>0</v>
      </c>
      <c r="O592" s="33">
        <f>dagwerk24</f>
        <v>0</v>
      </c>
      <c r="P592" s="85" t="s">
        <v>109</v>
      </c>
      <c r="Q592" s="21">
        <f>uurtarief24</f>
        <v>0</v>
      </c>
      <c r="R592" s="87" t="e">
        <f>IF(ISBLANK(N592),0,M592/ROUND(N592,4))</f>
        <v>#DIV/0!</v>
      </c>
      <c r="S592" s="87" t="e">
        <f>IF(ISBLANK(N592),0,R592*ROUND(O592,2))</f>
        <v>#DIV/0!</v>
      </c>
      <c r="T592" s="21" t="e">
        <f>ROUND(Q592,2)*R592</f>
        <v>#DIV/0!</v>
      </c>
      <c r="U592" s="87" t="e">
        <f>R592*dagenperjaar1</f>
        <v>#DIV/0!</v>
      </c>
      <c r="V592" s="22" t="e">
        <f>U592*ROUND(Q592,2)</f>
        <v>#DIV/0!</v>
      </c>
    </row>
    <row r="593" spans="1:22" x14ac:dyDescent="0.25">
      <c r="A593" s="84" t="s">
        <v>982</v>
      </c>
      <c r="B593" s="85" t="s">
        <v>42</v>
      </c>
      <c r="C593" s="85" t="s">
        <v>342</v>
      </c>
      <c r="D593" s="85" t="s">
        <v>418</v>
      </c>
      <c r="E593" s="86" t="s">
        <v>570</v>
      </c>
      <c r="F593" s="85" t="s">
        <v>42</v>
      </c>
      <c r="G593" s="85" t="s">
        <v>350</v>
      </c>
      <c r="H593" s="85"/>
      <c r="I593" s="85"/>
      <c r="J593" s="85"/>
      <c r="K593" s="85" t="s">
        <v>42</v>
      </c>
      <c r="L593" s="87">
        <v>0</v>
      </c>
      <c r="M593" s="87"/>
      <c r="N593" s="88"/>
      <c r="O593" s="33"/>
      <c r="P593" s="85"/>
      <c r="Q593" s="21"/>
      <c r="R593" s="87"/>
      <c r="S593" s="87"/>
      <c r="T593" s="21"/>
      <c r="U593" s="89"/>
      <c r="V593" s="22"/>
    </row>
    <row r="594" spans="1:22" x14ac:dyDescent="0.25">
      <c r="A594" s="84" t="s">
        <v>982</v>
      </c>
      <c r="B594" s="85" t="s">
        <v>42</v>
      </c>
      <c r="C594" s="85" t="s">
        <v>342</v>
      </c>
      <c r="D594" s="85" t="s">
        <v>1030</v>
      </c>
      <c r="E594" s="86" t="s">
        <v>590</v>
      </c>
      <c r="F594" s="85" t="s">
        <v>349</v>
      </c>
      <c r="G594" s="85" t="s">
        <v>260</v>
      </c>
      <c r="H594" s="85" t="s">
        <v>14</v>
      </c>
      <c r="I594" s="85" t="s">
        <v>258</v>
      </c>
      <c r="J594" s="86" t="s">
        <v>261</v>
      </c>
      <c r="K594" s="85" t="s">
        <v>365</v>
      </c>
      <c r="L594" s="87">
        <v>27</v>
      </c>
      <c r="M594" s="87">
        <f>L594*VLOOKUP(H594,dagsoorttabel1,2,FALSE)</f>
        <v>11.069999999999999</v>
      </c>
      <c r="N594" s="88">
        <f>prodnorm7</f>
        <v>0</v>
      </c>
      <c r="O594" s="33">
        <f>dagwerk7</f>
        <v>0</v>
      </c>
      <c r="P594" s="85" t="s">
        <v>109</v>
      </c>
      <c r="Q594" s="21">
        <f>uurtarief7</f>
        <v>0</v>
      </c>
      <c r="R594" s="87" t="e">
        <f>IF(ISBLANK(N594),0,M594/ROUND(N594,4))</f>
        <v>#DIV/0!</v>
      </c>
      <c r="S594" s="87" t="e">
        <f>IF(ISBLANK(N594),0,R594*ROUND(O594,2))</f>
        <v>#DIV/0!</v>
      </c>
      <c r="T594" s="21" t="e">
        <f>ROUND(Q594,2)*R594</f>
        <v>#DIV/0!</v>
      </c>
      <c r="U594" s="87" t="e">
        <f>R594*dagenperjaar1</f>
        <v>#DIV/0!</v>
      </c>
      <c r="V594" s="22" t="e">
        <f>U594*ROUND(Q594,2)</f>
        <v>#DIV/0!</v>
      </c>
    </row>
    <row r="595" spans="1:22" x14ac:dyDescent="0.25">
      <c r="A595" s="84" t="s">
        <v>982</v>
      </c>
      <c r="B595" s="85" t="s">
        <v>42</v>
      </c>
      <c r="C595" s="85" t="s">
        <v>342</v>
      </c>
      <c r="D595" s="85" t="s">
        <v>1031</v>
      </c>
      <c r="E595" s="86" t="s">
        <v>590</v>
      </c>
      <c r="F595" s="85" t="s">
        <v>349</v>
      </c>
      <c r="G595" s="85" t="s">
        <v>260</v>
      </c>
      <c r="H595" s="85" t="s">
        <v>14</v>
      </c>
      <c r="I595" s="85" t="s">
        <v>258</v>
      </c>
      <c r="J595" s="86" t="s">
        <v>261</v>
      </c>
      <c r="K595" s="85" t="s">
        <v>365</v>
      </c>
      <c r="L595" s="87">
        <v>53.9</v>
      </c>
      <c r="M595" s="87">
        <f>L595*VLOOKUP(H595,dagsoorttabel1,2,FALSE)</f>
        <v>22.098999999999997</v>
      </c>
      <c r="N595" s="88">
        <f>prodnorm7</f>
        <v>0</v>
      </c>
      <c r="O595" s="33">
        <f>dagwerk7</f>
        <v>0</v>
      </c>
      <c r="P595" s="85" t="s">
        <v>109</v>
      </c>
      <c r="Q595" s="21">
        <f>uurtarief7</f>
        <v>0</v>
      </c>
      <c r="R595" s="87" t="e">
        <f>IF(ISBLANK(N595),0,M595/ROUND(N595,4))</f>
        <v>#DIV/0!</v>
      </c>
      <c r="S595" s="87" t="e">
        <f>IF(ISBLANK(N595),0,R595*ROUND(O595,2))</f>
        <v>#DIV/0!</v>
      </c>
      <c r="T595" s="21" t="e">
        <f>ROUND(Q595,2)*R595</f>
        <v>#DIV/0!</v>
      </c>
      <c r="U595" s="87" t="e">
        <f>R595*dagenperjaar1</f>
        <v>#DIV/0!</v>
      </c>
      <c r="V595" s="22" t="e">
        <f>U595*ROUND(Q595,2)</f>
        <v>#DIV/0!</v>
      </c>
    </row>
    <row r="596" spans="1:22" x14ac:dyDescent="0.25">
      <c r="A596" s="84" t="s">
        <v>982</v>
      </c>
      <c r="B596" s="85" t="s">
        <v>42</v>
      </c>
      <c r="C596" s="85" t="s">
        <v>342</v>
      </c>
      <c r="D596" s="85" t="s">
        <v>419</v>
      </c>
      <c r="E596" s="86" t="s">
        <v>590</v>
      </c>
      <c r="F596" s="85" t="s">
        <v>349</v>
      </c>
      <c r="G596" s="85" t="s">
        <v>260</v>
      </c>
      <c r="H596" s="85" t="s">
        <v>14</v>
      </c>
      <c r="I596" s="85" t="s">
        <v>258</v>
      </c>
      <c r="J596" s="86" t="s">
        <v>261</v>
      </c>
      <c r="K596" s="85" t="s">
        <v>365</v>
      </c>
      <c r="L596" s="87">
        <v>51.2</v>
      </c>
      <c r="M596" s="87">
        <f>L596*VLOOKUP(H596,dagsoorttabel1,2,FALSE)</f>
        <v>20.992000000000001</v>
      </c>
      <c r="N596" s="88">
        <f>prodnorm7</f>
        <v>0</v>
      </c>
      <c r="O596" s="33">
        <f>dagwerk7</f>
        <v>0</v>
      </c>
      <c r="P596" s="85" t="s">
        <v>109</v>
      </c>
      <c r="Q596" s="21">
        <f>uurtarief7</f>
        <v>0</v>
      </c>
      <c r="R596" s="87" t="e">
        <f>IF(ISBLANK(N596),0,M596/ROUND(N596,4))</f>
        <v>#DIV/0!</v>
      </c>
      <c r="S596" s="87" t="e">
        <f>IF(ISBLANK(N596),0,R596*ROUND(O596,2))</f>
        <v>#DIV/0!</v>
      </c>
      <c r="T596" s="21" t="e">
        <f>ROUND(Q596,2)*R596</f>
        <v>#DIV/0!</v>
      </c>
      <c r="U596" s="87" t="e">
        <f>R596*dagenperjaar1</f>
        <v>#DIV/0!</v>
      </c>
      <c r="V596" s="22" t="e">
        <f>U596*ROUND(Q596,2)</f>
        <v>#DIV/0!</v>
      </c>
    </row>
    <row r="597" spans="1:22" x14ac:dyDescent="0.25">
      <c r="A597" s="84" t="s">
        <v>982</v>
      </c>
      <c r="B597" s="85" t="s">
        <v>42</v>
      </c>
      <c r="C597" s="85" t="s">
        <v>342</v>
      </c>
      <c r="D597" s="85" t="s">
        <v>420</v>
      </c>
      <c r="E597" s="86" t="s">
        <v>1022</v>
      </c>
      <c r="F597" s="85" t="s">
        <v>42</v>
      </c>
      <c r="G597" s="85" t="s">
        <v>350</v>
      </c>
      <c r="H597" s="85"/>
      <c r="I597" s="85"/>
      <c r="J597" s="85"/>
      <c r="K597" s="85" t="s">
        <v>42</v>
      </c>
      <c r="L597" s="87">
        <v>0</v>
      </c>
      <c r="M597" s="87"/>
      <c r="N597" s="88"/>
      <c r="O597" s="33"/>
      <c r="P597" s="85"/>
      <c r="Q597" s="21"/>
      <c r="R597" s="87"/>
      <c r="S597" s="87"/>
      <c r="T597" s="21"/>
      <c r="U597" s="89"/>
      <c r="V597" s="22"/>
    </row>
    <row r="598" spans="1:22" x14ac:dyDescent="0.25">
      <c r="A598" s="84" t="s">
        <v>982</v>
      </c>
      <c r="B598" s="85" t="s">
        <v>42</v>
      </c>
      <c r="C598" s="85" t="s">
        <v>342</v>
      </c>
      <c r="D598" s="85" t="s">
        <v>421</v>
      </c>
      <c r="E598" s="86" t="s">
        <v>988</v>
      </c>
      <c r="F598" s="85" t="s">
        <v>985</v>
      </c>
      <c r="G598" s="85" t="s">
        <v>322</v>
      </c>
      <c r="H598" s="85" t="s">
        <v>9</v>
      </c>
      <c r="I598" s="85" t="s">
        <v>258</v>
      </c>
      <c r="J598" s="86" t="s">
        <v>323</v>
      </c>
      <c r="K598" s="85" t="s">
        <v>346</v>
      </c>
      <c r="L598" s="87">
        <v>27</v>
      </c>
      <c r="M598" s="87">
        <f>L598*VLOOKUP(H598,dagsoorttabel1,2,FALSE)</f>
        <v>27.674999999999997</v>
      </c>
      <c r="N598" s="88">
        <f>prodnorm54</f>
        <v>0</v>
      </c>
      <c r="O598" s="33">
        <f>dagwerk54</f>
        <v>0</v>
      </c>
      <c r="P598" s="85" t="s">
        <v>109</v>
      </c>
      <c r="Q598" s="21">
        <f>uurtarief54</f>
        <v>0</v>
      </c>
      <c r="R598" s="87" t="e">
        <f>IF(ISBLANK(N598),0,M598/ROUND(N598,4))</f>
        <v>#DIV/0!</v>
      </c>
      <c r="S598" s="87" t="e">
        <f>IF(ISBLANK(N598),0,R598*ROUND(O598,2))</f>
        <v>#DIV/0!</v>
      </c>
      <c r="T598" s="21" t="e">
        <f>ROUND(Q598,2)*R598</f>
        <v>#DIV/0!</v>
      </c>
      <c r="U598" s="87" t="e">
        <f>R598*dagenperjaar1</f>
        <v>#DIV/0!</v>
      </c>
      <c r="V598" s="22" t="e">
        <f>U598*ROUND(Q598,2)</f>
        <v>#DIV/0!</v>
      </c>
    </row>
    <row r="599" spans="1:22" x14ac:dyDescent="0.25">
      <c r="A599" s="84" t="s">
        <v>982</v>
      </c>
      <c r="B599" s="85" t="s">
        <v>42</v>
      </c>
      <c r="C599" s="85" t="s">
        <v>342</v>
      </c>
      <c r="D599" s="85" t="s">
        <v>1032</v>
      </c>
      <c r="E599" s="86" t="s">
        <v>590</v>
      </c>
      <c r="F599" s="85" t="s">
        <v>349</v>
      </c>
      <c r="G599" s="85" t="s">
        <v>260</v>
      </c>
      <c r="H599" s="85" t="s">
        <v>14</v>
      </c>
      <c r="I599" s="85" t="s">
        <v>258</v>
      </c>
      <c r="J599" s="86" t="s">
        <v>261</v>
      </c>
      <c r="K599" s="85" t="s">
        <v>365</v>
      </c>
      <c r="L599" s="87">
        <v>39.799999999999997</v>
      </c>
      <c r="M599" s="87">
        <f>L599*VLOOKUP(H599,dagsoorttabel1,2,FALSE)</f>
        <v>16.317999999999998</v>
      </c>
      <c r="N599" s="88">
        <f>prodnorm7</f>
        <v>0</v>
      </c>
      <c r="O599" s="33">
        <f>dagwerk7</f>
        <v>0</v>
      </c>
      <c r="P599" s="85" t="s">
        <v>109</v>
      </c>
      <c r="Q599" s="21">
        <f>uurtarief7</f>
        <v>0</v>
      </c>
      <c r="R599" s="87" t="e">
        <f>IF(ISBLANK(N599),0,M599/ROUND(N599,4))</f>
        <v>#DIV/0!</v>
      </c>
      <c r="S599" s="87" t="e">
        <f>IF(ISBLANK(N599),0,R599*ROUND(O599,2))</f>
        <v>#DIV/0!</v>
      </c>
      <c r="T599" s="21" t="e">
        <f>ROUND(Q599,2)*R599</f>
        <v>#DIV/0!</v>
      </c>
      <c r="U599" s="87" t="e">
        <f>R599*dagenperjaar1</f>
        <v>#DIV/0!</v>
      </c>
      <c r="V599" s="22" t="e">
        <f>U599*ROUND(Q599,2)</f>
        <v>#DIV/0!</v>
      </c>
    </row>
    <row r="600" spans="1:22" x14ac:dyDescent="0.25">
      <c r="A600" s="84" t="s">
        <v>982</v>
      </c>
      <c r="B600" s="85" t="s">
        <v>42</v>
      </c>
      <c r="C600" s="85" t="s">
        <v>342</v>
      </c>
      <c r="D600" s="85" t="s">
        <v>1033</v>
      </c>
      <c r="E600" s="86" t="s">
        <v>590</v>
      </c>
      <c r="F600" s="85" t="s">
        <v>349</v>
      </c>
      <c r="G600" s="85" t="s">
        <v>260</v>
      </c>
      <c r="H600" s="85" t="s">
        <v>14</v>
      </c>
      <c r="I600" s="85" t="s">
        <v>258</v>
      </c>
      <c r="J600" s="86" t="s">
        <v>261</v>
      </c>
      <c r="K600" s="85" t="s">
        <v>365</v>
      </c>
      <c r="L600" s="87">
        <v>25.4</v>
      </c>
      <c r="M600" s="87">
        <f>L600*VLOOKUP(H600,dagsoorttabel1,2,FALSE)</f>
        <v>10.413999999999998</v>
      </c>
      <c r="N600" s="88">
        <f>prodnorm7</f>
        <v>0</v>
      </c>
      <c r="O600" s="33">
        <f>dagwerk7</f>
        <v>0</v>
      </c>
      <c r="P600" s="85" t="s">
        <v>109</v>
      </c>
      <c r="Q600" s="21">
        <f>uurtarief7</f>
        <v>0</v>
      </c>
      <c r="R600" s="87" t="e">
        <f>IF(ISBLANK(N600),0,M600/ROUND(N600,4))</f>
        <v>#DIV/0!</v>
      </c>
      <c r="S600" s="87" t="e">
        <f>IF(ISBLANK(N600),0,R600*ROUND(O600,2))</f>
        <v>#DIV/0!</v>
      </c>
      <c r="T600" s="21" t="e">
        <f>ROUND(Q600,2)*R600</f>
        <v>#DIV/0!</v>
      </c>
      <c r="U600" s="87" t="e">
        <f>R600*dagenperjaar1</f>
        <v>#DIV/0!</v>
      </c>
      <c r="V600" s="22" t="e">
        <f>U600*ROUND(Q600,2)</f>
        <v>#DIV/0!</v>
      </c>
    </row>
    <row r="601" spans="1:22" x14ac:dyDescent="0.25">
      <c r="A601" s="84" t="s">
        <v>982</v>
      </c>
      <c r="B601" s="85" t="s">
        <v>42</v>
      </c>
      <c r="C601" s="85" t="s">
        <v>342</v>
      </c>
      <c r="D601" s="85" t="s">
        <v>1034</v>
      </c>
      <c r="E601" s="86" t="s">
        <v>590</v>
      </c>
      <c r="F601" s="85" t="s">
        <v>349</v>
      </c>
      <c r="G601" s="85" t="s">
        <v>260</v>
      </c>
      <c r="H601" s="85" t="s">
        <v>14</v>
      </c>
      <c r="I601" s="85" t="s">
        <v>258</v>
      </c>
      <c r="J601" s="86" t="s">
        <v>261</v>
      </c>
      <c r="K601" s="85" t="s">
        <v>365</v>
      </c>
      <c r="L601" s="87">
        <v>25.4</v>
      </c>
      <c r="M601" s="87">
        <f>L601*VLOOKUP(H601,dagsoorttabel1,2,FALSE)</f>
        <v>10.413999999999998</v>
      </c>
      <c r="N601" s="88">
        <f>prodnorm7</f>
        <v>0</v>
      </c>
      <c r="O601" s="33">
        <f>dagwerk7</f>
        <v>0</v>
      </c>
      <c r="P601" s="85" t="s">
        <v>109</v>
      </c>
      <c r="Q601" s="21">
        <f>uurtarief7</f>
        <v>0</v>
      </c>
      <c r="R601" s="87" t="e">
        <f>IF(ISBLANK(N601),0,M601/ROUND(N601,4))</f>
        <v>#DIV/0!</v>
      </c>
      <c r="S601" s="87" t="e">
        <f>IF(ISBLANK(N601),0,R601*ROUND(O601,2))</f>
        <v>#DIV/0!</v>
      </c>
      <c r="T601" s="21" t="e">
        <f>ROUND(Q601,2)*R601</f>
        <v>#DIV/0!</v>
      </c>
      <c r="U601" s="87" t="e">
        <f>R601*dagenperjaar1</f>
        <v>#DIV/0!</v>
      </c>
      <c r="V601" s="22" t="e">
        <f>U601*ROUND(Q601,2)</f>
        <v>#DIV/0!</v>
      </c>
    </row>
    <row r="602" spans="1:22" x14ac:dyDescent="0.25">
      <c r="A602" s="84" t="s">
        <v>982</v>
      </c>
      <c r="B602" s="85" t="s">
        <v>42</v>
      </c>
      <c r="C602" s="85" t="s">
        <v>342</v>
      </c>
      <c r="D602" s="85" t="s">
        <v>1035</v>
      </c>
      <c r="E602" s="86" t="s">
        <v>1036</v>
      </c>
      <c r="F602" s="85" t="s">
        <v>349</v>
      </c>
      <c r="G602" s="85" t="s">
        <v>260</v>
      </c>
      <c r="H602" s="85" t="s">
        <v>14</v>
      </c>
      <c r="I602" s="85" t="s">
        <v>258</v>
      </c>
      <c r="J602" s="86" t="s">
        <v>261</v>
      </c>
      <c r="K602" s="85" t="s">
        <v>365</v>
      </c>
      <c r="L602" s="87">
        <v>13</v>
      </c>
      <c r="M602" s="87">
        <f>L602*VLOOKUP(H602,dagsoorttabel1,2,FALSE)</f>
        <v>5.33</v>
      </c>
      <c r="N602" s="88">
        <f>prodnorm7</f>
        <v>0</v>
      </c>
      <c r="O602" s="33">
        <f>dagwerk7</f>
        <v>0</v>
      </c>
      <c r="P602" s="85" t="s">
        <v>109</v>
      </c>
      <c r="Q602" s="21">
        <f>uurtarief7</f>
        <v>0</v>
      </c>
      <c r="R602" s="87" t="e">
        <f>IF(ISBLANK(N602),0,M602/ROUND(N602,4))</f>
        <v>#DIV/0!</v>
      </c>
      <c r="S602" s="87" t="e">
        <f>IF(ISBLANK(N602),0,R602*ROUND(O602,2))</f>
        <v>#DIV/0!</v>
      </c>
      <c r="T602" s="21" t="e">
        <f>ROUND(Q602,2)*R602</f>
        <v>#DIV/0!</v>
      </c>
      <c r="U602" s="87" t="e">
        <f>R602*dagenperjaar1</f>
        <v>#DIV/0!</v>
      </c>
      <c r="V602" s="22" t="e">
        <f>U602*ROUND(Q602,2)</f>
        <v>#DIV/0!</v>
      </c>
    </row>
    <row r="603" spans="1:22" x14ac:dyDescent="0.25">
      <c r="A603" s="84" t="s">
        <v>982</v>
      </c>
      <c r="B603" s="85" t="s">
        <v>42</v>
      </c>
      <c r="C603" s="85" t="s">
        <v>342</v>
      </c>
      <c r="D603" s="85" t="s">
        <v>1037</v>
      </c>
      <c r="E603" s="86" t="s">
        <v>1038</v>
      </c>
      <c r="F603" s="85" t="s">
        <v>42</v>
      </c>
      <c r="G603" s="85" t="s">
        <v>350</v>
      </c>
      <c r="H603" s="85"/>
      <c r="I603" s="85"/>
      <c r="J603" s="85"/>
      <c r="K603" s="85" t="s">
        <v>42</v>
      </c>
      <c r="L603" s="87">
        <v>0</v>
      </c>
      <c r="M603" s="87"/>
      <c r="N603" s="88"/>
      <c r="O603" s="33"/>
      <c r="P603" s="85"/>
      <c r="Q603" s="21"/>
      <c r="R603" s="87"/>
      <c r="S603" s="87"/>
      <c r="T603" s="21"/>
      <c r="U603" s="89"/>
      <c r="V603" s="22"/>
    </row>
    <row r="604" spans="1:22" x14ac:dyDescent="0.25">
      <c r="A604" s="84" t="s">
        <v>982</v>
      </c>
      <c r="B604" s="85" t="s">
        <v>42</v>
      </c>
      <c r="C604" s="85" t="s">
        <v>342</v>
      </c>
      <c r="D604" s="85" t="s">
        <v>422</v>
      </c>
      <c r="E604" s="86" t="s">
        <v>373</v>
      </c>
      <c r="F604" s="85" t="s">
        <v>985</v>
      </c>
      <c r="G604" s="85" t="s">
        <v>312</v>
      </c>
      <c r="H604" s="85" t="s">
        <v>9</v>
      </c>
      <c r="I604" s="85" t="s">
        <v>258</v>
      </c>
      <c r="J604" s="86" t="s">
        <v>313</v>
      </c>
      <c r="K604" s="85" t="s">
        <v>346</v>
      </c>
      <c r="L604" s="87">
        <v>109.6</v>
      </c>
      <c r="M604" s="87">
        <f>L604*VLOOKUP(H604,dagsoorttabel1,2,FALSE)</f>
        <v>112.33999999999999</v>
      </c>
      <c r="N604" s="88">
        <f>prodnorm46</f>
        <v>0</v>
      </c>
      <c r="O604" s="33">
        <f>dagwerk46</f>
        <v>0</v>
      </c>
      <c r="P604" s="85" t="s">
        <v>109</v>
      </c>
      <c r="Q604" s="21">
        <f>uurtarief46</f>
        <v>0</v>
      </c>
      <c r="R604" s="87" t="e">
        <f>IF(ISBLANK(N604),0,M604/ROUND(N604,4))</f>
        <v>#DIV/0!</v>
      </c>
      <c r="S604" s="87" t="e">
        <f>IF(ISBLANK(N604),0,R604*ROUND(O604,2))</f>
        <v>#DIV/0!</v>
      </c>
      <c r="T604" s="21" t="e">
        <f>ROUND(Q604,2)*R604</f>
        <v>#DIV/0!</v>
      </c>
      <c r="U604" s="87" t="e">
        <f>R604*dagenperjaar1</f>
        <v>#DIV/0!</v>
      </c>
      <c r="V604" s="22" t="e">
        <f>U604*ROUND(Q604,2)</f>
        <v>#DIV/0!</v>
      </c>
    </row>
    <row r="605" spans="1:22" x14ac:dyDescent="0.25">
      <c r="A605" s="84" t="s">
        <v>982</v>
      </c>
      <c r="B605" s="85" t="s">
        <v>42</v>
      </c>
      <c r="C605" s="85" t="s">
        <v>342</v>
      </c>
      <c r="D605" s="85" t="s">
        <v>424</v>
      </c>
      <c r="E605" s="86" t="s">
        <v>1039</v>
      </c>
      <c r="F605" s="85" t="s">
        <v>699</v>
      </c>
      <c r="G605" s="85" t="s">
        <v>296</v>
      </c>
      <c r="H605" s="85" t="s">
        <v>14</v>
      </c>
      <c r="I605" s="85" t="s">
        <v>258</v>
      </c>
      <c r="J605" s="86" t="s">
        <v>297</v>
      </c>
      <c r="K605" s="85" t="s">
        <v>386</v>
      </c>
      <c r="L605" s="87">
        <v>150</v>
      </c>
      <c r="M605" s="87">
        <f>L605*VLOOKUP(H605,dagsoorttabel1,2,FALSE)</f>
        <v>61.499999999999993</v>
      </c>
      <c r="N605" s="88">
        <f>prodnorm34</f>
        <v>0</v>
      </c>
      <c r="O605" s="33">
        <f>dagwerk34</f>
        <v>0</v>
      </c>
      <c r="P605" s="85" t="s">
        <v>109</v>
      </c>
      <c r="Q605" s="21">
        <f>uurtarief34</f>
        <v>0</v>
      </c>
      <c r="R605" s="87" t="e">
        <f>IF(ISBLANK(N605),0,M605/ROUND(N605,4))</f>
        <v>#DIV/0!</v>
      </c>
      <c r="S605" s="87" t="e">
        <f>IF(ISBLANK(N605),0,R605*ROUND(O605,2))</f>
        <v>#DIV/0!</v>
      </c>
      <c r="T605" s="21" t="e">
        <f>ROUND(Q605,2)*R605</f>
        <v>#DIV/0!</v>
      </c>
      <c r="U605" s="87" t="e">
        <f>R605*dagenperjaar1</f>
        <v>#DIV/0!</v>
      </c>
      <c r="V605" s="22" t="e">
        <f>U605*ROUND(Q605,2)</f>
        <v>#DIV/0!</v>
      </c>
    </row>
    <row r="606" spans="1:22" x14ac:dyDescent="0.25">
      <c r="A606" s="84" t="s">
        <v>982</v>
      </c>
      <c r="B606" s="85" t="s">
        <v>42</v>
      </c>
      <c r="C606" s="85" t="s">
        <v>342</v>
      </c>
      <c r="D606" s="85" t="s">
        <v>425</v>
      </c>
      <c r="E606" s="86" t="s">
        <v>770</v>
      </c>
      <c r="F606" s="85" t="s">
        <v>699</v>
      </c>
      <c r="G606" s="85" t="s">
        <v>350</v>
      </c>
      <c r="H606" s="85"/>
      <c r="I606" s="85"/>
      <c r="J606" s="85"/>
      <c r="K606" s="85" t="s">
        <v>42</v>
      </c>
      <c r="L606" s="87">
        <v>3</v>
      </c>
      <c r="M606" s="87"/>
      <c r="N606" s="88"/>
      <c r="O606" s="33"/>
      <c r="P606" s="85"/>
      <c r="Q606" s="21"/>
      <c r="R606" s="87"/>
      <c r="S606" s="87"/>
      <c r="T606" s="21"/>
      <c r="U606" s="89"/>
      <c r="V606" s="22"/>
    </row>
    <row r="607" spans="1:22" x14ac:dyDescent="0.25">
      <c r="A607" s="84" t="s">
        <v>982</v>
      </c>
      <c r="B607" s="85" t="s">
        <v>42</v>
      </c>
      <c r="C607" s="85" t="s">
        <v>342</v>
      </c>
      <c r="D607" s="85" t="s">
        <v>426</v>
      </c>
      <c r="E607" s="86" t="s">
        <v>1040</v>
      </c>
      <c r="F607" s="85" t="s">
        <v>699</v>
      </c>
      <c r="G607" s="85" t="s">
        <v>308</v>
      </c>
      <c r="H607" s="85" t="s">
        <v>14</v>
      </c>
      <c r="I607" s="85" t="s">
        <v>258</v>
      </c>
      <c r="J607" s="86" t="s">
        <v>309</v>
      </c>
      <c r="K607" s="85" t="s">
        <v>417</v>
      </c>
      <c r="L607" s="87">
        <v>9</v>
      </c>
      <c r="M607" s="87">
        <f t="shared" ref="M607:M616" si="165">L607*VLOOKUP(H607,dagsoorttabel1,2,FALSE)</f>
        <v>3.69</v>
      </c>
      <c r="N607" s="88">
        <f>prodnorm44</f>
        <v>0</v>
      </c>
      <c r="O607" s="33">
        <f>dagwerk44</f>
        <v>0</v>
      </c>
      <c r="P607" s="85" t="s">
        <v>109</v>
      </c>
      <c r="Q607" s="21">
        <f>uurtarief44</f>
        <v>0</v>
      </c>
      <c r="R607" s="87" t="e">
        <f t="shared" ref="R607:R616" si="166">IF(ISBLANK(N607),0,M607/ROUND(N607,4))</f>
        <v>#DIV/0!</v>
      </c>
      <c r="S607" s="87" t="e">
        <f t="shared" ref="S607:S616" si="167">IF(ISBLANK(N607),0,R607*ROUND(O607,2))</f>
        <v>#DIV/0!</v>
      </c>
      <c r="T607" s="21" t="e">
        <f t="shared" ref="T607:T616" si="168">ROUND(Q607,2)*R607</f>
        <v>#DIV/0!</v>
      </c>
      <c r="U607" s="87" t="e">
        <f t="shared" ref="U607:U616" si="169">R607*dagenperjaar1</f>
        <v>#DIV/0!</v>
      </c>
      <c r="V607" s="22" t="e">
        <f t="shared" ref="V607:V616" si="170">U607*ROUND(Q607,2)</f>
        <v>#DIV/0!</v>
      </c>
    </row>
    <row r="608" spans="1:22" x14ac:dyDescent="0.25">
      <c r="A608" s="84" t="s">
        <v>982</v>
      </c>
      <c r="B608" s="85" t="s">
        <v>42</v>
      </c>
      <c r="C608" s="85" t="s">
        <v>342</v>
      </c>
      <c r="D608" s="85" t="s">
        <v>427</v>
      </c>
      <c r="E608" s="86" t="s">
        <v>1040</v>
      </c>
      <c r="F608" s="85" t="s">
        <v>699</v>
      </c>
      <c r="G608" s="85" t="s">
        <v>308</v>
      </c>
      <c r="H608" s="85" t="s">
        <v>14</v>
      </c>
      <c r="I608" s="85" t="s">
        <v>258</v>
      </c>
      <c r="J608" s="86" t="s">
        <v>309</v>
      </c>
      <c r="K608" s="85" t="s">
        <v>417</v>
      </c>
      <c r="L608" s="87">
        <v>12</v>
      </c>
      <c r="M608" s="87">
        <f t="shared" si="165"/>
        <v>4.92</v>
      </c>
      <c r="N608" s="88">
        <f>prodnorm44</f>
        <v>0</v>
      </c>
      <c r="O608" s="33">
        <f>dagwerk44</f>
        <v>0</v>
      </c>
      <c r="P608" s="85" t="s">
        <v>109</v>
      </c>
      <c r="Q608" s="21">
        <f>uurtarief44</f>
        <v>0</v>
      </c>
      <c r="R608" s="87" t="e">
        <f t="shared" si="166"/>
        <v>#DIV/0!</v>
      </c>
      <c r="S608" s="87" t="e">
        <f t="shared" si="167"/>
        <v>#DIV/0!</v>
      </c>
      <c r="T608" s="21" t="e">
        <f t="shared" si="168"/>
        <v>#DIV/0!</v>
      </c>
      <c r="U608" s="87" t="e">
        <f t="shared" si="169"/>
        <v>#DIV/0!</v>
      </c>
      <c r="V608" s="22" t="e">
        <f t="shared" si="170"/>
        <v>#DIV/0!</v>
      </c>
    </row>
    <row r="609" spans="1:22" x14ac:dyDescent="0.25">
      <c r="A609" s="84" t="s">
        <v>982</v>
      </c>
      <c r="B609" s="85" t="s">
        <v>42</v>
      </c>
      <c r="C609" s="85" t="s">
        <v>342</v>
      </c>
      <c r="D609" s="85" t="s">
        <v>428</v>
      </c>
      <c r="E609" s="86" t="s">
        <v>570</v>
      </c>
      <c r="F609" s="85" t="s">
        <v>699</v>
      </c>
      <c r="G609" s="85" t="s">
        <v>292</v>
      </c>
      <c r="H609" s="85" t="s">
        <v>20</v>
      </c>
      <c r="I609" s="85" t="s">
        <v>258</v>
      </c>
      <c r="J609" s="86" t="s">
        <v>293</v>
      </c>
      <c r="K609" s="85" t="s">
        <v>346</v>
      </c>
      <c r="L609" s="87">
        <v>15</v>
      </c>
      <c r="M609" s="87">
        <f t="shared" si="165"/>
        <v>0.89999999999999991</v>
      </c>
      <c r="N609" s="88">
        <f>prodnorm30</f>
        <v>0</v>
      </c>
      <c r="O609" s="33">
        <f>dagwerk30</f>
        <v>0</v>
      </c>
      <c r="P609" s="85" t="s">
        <v>109</v>
      </c>
      <c r="Q609" s="21">
        <f>uurtarief30</f>
        <v>0</v>
      </c>
      <c r="R609" s="87" t="e">
        <f t="shared" si="166"/>
        <v>#DIV/0!</v>
      </c>
      <c r="S609" s="87" t="e">
        <f t="shared" si="167"/>
        <v>#DIV/0!</v>
      </c>
      <c r="T609" s="21" t="e">
        <f t="shared" si="168"/>
        <v>#DIV/0!</v>
      </c>
      <c r="U609" s="87" t="e">
        <f t="shared" si="169"/>
        <v>#DIV/0!</v>
      </c>
      <c r="V609" s="22" t="e">
        <f t="shared" si="170"/>
        <v>#DIV/0!</v>
      </c>
    </row>
    <row r="610" spans="1:22" x14ac:dyDescent="0.25">
      <c r="A610" s="84" t="s">
        <v>982</v>
      </c>
      <c r="B610" s="85" t="s">
        <v>42</v>
      </c>
      <c r="C610" s="85" t="s">
        <v>342</v>
      </c>
      <c r="D610" s="85" t="s">
        <v>429</v>
      </c>
      <c r="E610" s="86" t="s">
        <v>1041</v>
      </c>
      <c r="F610" s="85" t="s">
        <v>699</v>
      </c>
      <c r="G610" s="85" t="s">
        <v>296</v>
      </c>
      <c r="H610" s="85" t="s">
        <v>14</v>
      </c>
      <c r="I610" s="85" t="s">
        <v>258</v>
      </c>
      <c r="J610" s="86" t="s">
        <v>297</v>
      </c>
      <c r="K610" s="85" t="s">
        <v>346</v>
      </c>
      <c r="L610" s="87">
        <v>20</v>
      </c>
      <c r="M610" s="87">
        <f t="shared" si="165"/>
        <v>8.1999999999999993</v>
      </c>
      <c r="N610" s="88">
        <f>prodnorm34</f>
        <v>0</v>
      </c>
      <c r="O610" s="33">
        <f>dagwerk34</f>
        <v>0</v>
      </c>
      <c r="P610" s="85" t="s">
        <v>109</v>
      </c>
      <c r="Q610" s="21">
        <f>uurtarief34</f>
        <v>0</v>
      </c>
      <c r="R610" s="87" t="e">
        <f t="shared" si="166"/>
        <v>#DIV/0!</v>
      </c>
      <c r="S610" s="87" t="e">
        <f t="shared" si="167"/>
        <v>#DIV/0!</v>
      </c>
      <c r="T610" s="21" t="e">
        <f t="shared" si="168"/>
        <v>#DIV/0!</v>
      </c>
      <c r="U610" s="87" t="e">
        <f t="shared" si="169"/>
        <v>#DIV/0!</v>
      </c>
      <c r="V610" s="22" t="e">
        <f t="shared" si="170"/>
        <v>#DIV/0!</v>
      </c>
    </row>
    <row r="611" spans="1:22" x14ac:dyDescent="0.25">
      <c r="A611" s="84" t="s">
        <v>982</v>
      </c>
      <c r="B611" s="85" t="s">
        <v>42</v>
      </c>
      <c r="C611" s="85" t="s">
        <v>342</v>
      </c>
      <c r="D611" s="85" t="s">
        <v>430</v>
      </c>
      <c r="E611" s="86" t="s">
        <v>1042</v>
      </c>
      <c r="F611" s="85" t="s">
        <v>349</v>
      </c>
      <c r="G611" s="85" t="s">
        <v>272</v>
      </c>
      <c r="H611" s="85" t="s">
        <v>12</v>
      </c>
      <c r="I611" s="85" t="s">
        <v>258</v>
      </c>
      <c r="J611" s="86" t="s">
        <v>273</v>
      </c>
      <c r="K611" s="85" t="s">
        <v>346</v>
      </c>
      <c r="L611" s="87">
        <v>97</v>
      </c>
      <c r="M611" s="87">
        <f t="shared" si="165"/>
        <v>59.655000000000001</v>
      </c>
      <c r="N611" s="88">
        <f>prodnorm18</f>
        <v>0</v>
      </c>
      <c r="O611" s="33">
        <f>dagwerk18</f>
        <v>0</v>
      </c>
      <c r="P611" s="85" t="s">
        <v>109</v>
      </c>
      <c r="Q611" s="21">
        <f>uurtarief18</f>
        <v>0</v>
      </c>
      <c r="R611" s="87" t="e">
        <f t="shared" si="166"/>
        <v>#DIV/0!</v>
      </c>
      <c r="S611" s="87" t="e">
        <f t="shared" si="167"/>
        <v>#DIV/0!</v>
      </c>
      <c r="T611" s="21" t="e">
        <f t="shared" si="168"/>
        <v>#DIV/0!</v>
      </c>
      <c r="U611" s="87" t="e">
        <f t="shared" si="169"/>
        <v>#DIV/0!</v>
      </c>
      <c r="V611" s="22" t="e">
        <f t="shared" si="170"/>
        <v>#DIV/0!</v>
      </c>
    </row>
    <row r="612" spans="1:22" x14ac:dyDescent="0.25">
      <c r="A612" s="84" t="s">
        <v>982</v>
      </c>
      <c r="B612" s="85" t="s">
        <v>42</v>
      </c>
      <c r="C612" s="85" t="s">
        <v>342</v>
      </c>
      <c r="D612" s="85" t="s">
        <v>431</v>
      </c>
      <c r="E612" s="86" t="s">
        <v>790</v>
      </c>
      <c r="F612" s="85" t="s">
        <v>699</v>
      </c>
      <c r="G612" s="85" t="s">
        <v>320</v>
      </c>
      <c r="H612" s="85" t="s">
        <v>9</v>
      </c>
      <c r="I612" s="85" t="s">
        <v>258</v>
      </c>
      <c r="J612" s="86" t="s">
        <v>321</v>
      </c>
      <c r="K612" s="85" t="s">
        <v>346</v>
      </c>
      <c r="L612" s="87">
        <v>8</v>
      </c>
      <c r="M612" s="87">
        <f t="shared" si="165"/>
        <v>8.1999999999999993</v>
      </c>
      <c r="N612" s="88">
        <f>prodnorm51</f>
        <v>0</v>
      </c>
      <c r="O612" s="33">
        <f>dagwerk51</f>
        <v>0</v>
      </c>
      <c r="P612" s="85" t="s">
        <v>109</v>
      </c>
      <c r="Q612" s="21">
        <f>uurtarief51</f>
        <v>0</v>
      </c>
      <c r="R612" s="87" t="e">
        <f t="shared" si="166"/>
        <v>#DIV/0!</v>
      </c>
      <c r="S612" s="87" t="e">
        <f t="shared" si="167"/>
        <v>#DIV/0!</v>
      </c>
      <c r="T612" s="21" t="e">
        <f t="shared" si="168"/>
        <v>#DIV/0!</v>
      </c>
      <c r="U612" s="87" t="e">
        <f t="shared" si="169"/>
        <v>#DIV/0!</v>
      </c>
      <c r="V612" s="22" t="e">
        <f t="shared" si="170"/>
        <v>#DIV/0!</v>
      </c>
    </row>
    <row r="613" spans="1:22" x14ac:dyDescent="0.25">
      <c r="A613" s="84" t="s">
        <v>982</v>
      </c>
      <c r="B613" s="85" t="s">
        <v>42</v>
      </c>
      <c r="C613" s="85" t="s">
        <v>342</v>
      </c>
      <c r="D613" s="85" t="s">
        <v>432</v>
      </c>
      <c r="E613" s="86" t="s">
        <v>722</v>
      </c>
      <c r="F613" s="85" t="s">
        <v>691</v>
      </c>
      <c r="G613" s="85" t="s">
        <v>316</v>
      </c>
      <c r="H613" s="85" t="s">
        <v>9</v>
      </c>
      <c r="I613" s="85" t="s">
        <v>258</v>
      </c>
      <c r="J613" s="86" t="s">
        <v>317</v>
      </c>
      <c r="K613" s="85" t="s">
        <v>346</v>
      </c>
      <c r="L613" s="87">
        <v>11.4</v>
      </c>
      <c r="M613" s="87">
        <f t="shared" si="165"/>
        <v>11.684999999999999</v>
      </c>
      <c r="N613" s="88">
        <f>prodnorm48</f>
        <v>0</v>
      </c>
      <c r="O613" s="33">
        <f>dagwerk48</f>
        <v>0</v>
      </c>
      <c r="P613" s="85" t="s">
        <v>109</v>
      </c>
      <c r="Q613" s="21">
        <f>uurtarief48</f>
        <v>0</v>
      </c>
      <c r="R613" s="87" t="e">
        <f t="shared" si="166"/>
        <v>#DIV/0!</v>
      </c>
      <c r="S613" s="87" t="e">
        <f t="shared" si="167"/>
        <v>#DIV/0!</v>
      </c>
      <c r="T613" s="21" t="e">
        <f t="shared" si="168"/>
        <v>#DIV/0!</v>
      </c>
      <c r="U613" s="87" t="e">
        <f t="shared" si="169"/>
        <v>#DIV/0!</v>
      </c>
      <c r="V613" s="22" t="e">
        <f t="shared" si="170"/>
        <v>#DIV/0!</v>
      </c>
    </row>
    <row r="614" spans="1:22" x14ac:dyDescent="0.25">
      <c r="A614" s="84" t="s">
        <v>982</v>
      </c>
      <c r="B614" s="85" t="s">
        <v>42</v>
      </c>
      <c r="C614" s="85" t="s">
        <v>342</v>
      </c>
      <c r="D614" s="85" t="s">
        <v>433</v>
      </c>
      <c r="E614" s="86" t="s">
        <v>1008</v>
      </c>
      <c r="F614" s="85" t="s">
        <v>699</v>
      </c>
      <c r="G614" s="85" t="s">
        <v>310</v>
      </c>
      <c r="H614" s="85" t="s">
        <v>9</v>
      </c>
      <c r="I614" s="85" t="s">
        <v>258</v>
      </c>
      <c r="J614" s="86" t="s">
        <v>311</v>
      </c>
      <c r="K614" s="85" t="s">
        <v>417</v>
      </c>
      <c r="L614" s="87">
        <v>6.3</v>
      </c>
      <c r="M614" s="87">
        <f t="shared" si="165"/>
        <v>6.4574999999999996</v>
      </c>
      <c r="N614" s="88">
        <f>prodnorm45</f>
        <v>0</v>
      </c>
      <c r="O614" s="33">
        <f>dagwerk45</f>
        <v>0</v>
      </c>
      <c r="P614" s="85" t="s">
        <v>109</v>
      </c>
      <c r="Q614" s="21">
        <f>uurtarief45</f>
        <v>0</v>
      </c>
      <c r="R614" s="87" t="e">
        <f t="shared" si="166"/>
        <v>#DIV/0!</v>
      </c>
      <c r="S614" s="87" t="e">
        <f t="shared" si="167"/>
        <v>#DIV/0!</v>
      </c>
      <c r="T614" s="21" t="e">
        <f t="shared" si="168"/>
        <v>#DIV/0!</v>
      </c>
      <c r="U614" s="87" t="e">
        <f t="shared" si="169"/>
        <v>#DIV/0!</v>
      </c>
      <c r="V614" s="22" t="e">
        <f t="shared" si="170"/>
        <v>#DIV/0!</v>
      </c>
    </row>
    <row r="615" spans="1:22" x14ac:dyDescent="0.25">
      <c r="A615" s="84" t="s">
        <v>982</v>
      </c>
      <c r="B615" s="85" t="s">
        <v>42</v>
      </c>
      <c r="C615" s="85" t="s">
        <v>342</v>
      </c>
      <c r="D615" s="85" t="s">
        <v>434</v>
      </c>
      <c r="E615" s="86" t="s">
        <v>1007</v>
      </c>
      <c r="F615" s="85" t="s">
        <v>699</v>
      </c>
      <c r="G615" s="85" t="s">
        <v>310</v>
      </c>
      <c r="H615" s="85" t="s">
        <v>9</v>
      </c>
      <c r="I615" s="85" t="s">
        <v>258</v>
      </c>
      <c r="J615" s="86" t="s">
        <v>311</v>
      </c>
      <c r="K615" s="85" t="s">
        <v>417</v>
      </c>
      <c r="L615" s="87">
        <v>5</v>
      </c>
      <c r="M615" s="87">
        <f t="shared" si="165"/>
        <v>5.125</v>
      </c>
      <c r="N615" s="88">
        <f>prodnorm45</f>
        <v>0</v>
      </c>
      <c r="O615" s="33">
        <f>dagwerk45</f>
        <v>0</v>
      </c>
      <c r="P615" s="85" t="s">
        <v>109</v>
      </c>
      <c r="Q615" s="21">
        <f>uurtarief45</f>
        <v>0</v>
      </c>
      <c r="R615" s="87" t="e">
        <f t="shared" si="166"/>
        <v>#DIV/0!</v>
      </c>
      <c r="S615" s="87" t="e">
        <f t="shared" si="167"/>
        <v>#DIV/0!</v>
      </c>
      <c r="T615" s="21" t="e">
        <f t="shared" si="168"/>
        <v>#DIV/0!</v>
      </c>
      <c r="U615" s="87" t="e">
        <f t="shared" si="169"/>
        <v>#DIV/0!</v>
      </c>
      <c r="V615" s="22" t="e">
        <f t="shared" si="170"/>
        <v>#DIV/0!</v>
      </c>
    </row>
    <row r="616" spans="1:22" x14ac:dyDescent="0.25">
      <c r="A616" s="84" t="s">
        <v>982</v>
      </c>
      <c r="B616" s="85" t="s">
        <v>42</v>
      </c>
      <c r="C616" s="85" t="s">
        <v>342</v>
      </c>
      <c r="D616" s="85" t="s">
        <v>435</v>
      </c>
      <c r="E616" s="86" t="s">
        <v>570</v>
      </c>
      <c r="F616" s="85" t="s">
        <v>699</v>
      </c>
      <c r="G616" s="85" t="s">
        <v>292</v>
      </c>
      <c r="H616" s="85" t="s">
        <v>20</v>
      </c>
      <c r="I616" s="85" t="s">
        <v>258</v>
      </c>
      <c r="J616" s="86" t="s">
        <v>293</v>
      </c>
      <c r="K616" s="85" t="s">
        <v>346</v>
      </c>
      <c r="L616" s="87">
        <v>13.3</v>
      </c>
      <c r="M616" s="87">
        <f t="shared" si="165"/>
        <v>0.79800000000000004</v>
      </c>
      <c r="N616" s="88">
        <f>prodnorm30</f>
        <v>0</v>
      </c>
      <c r="O616" s="33">
        <f>dagwerk30</f>
        <v>0</v>
      </c>
      <c r="P616" s="85" t="s">
        <v>109</v>
      </c>
      <c r="Q616" s="21">
        <f>uurtarief30</f>
        <v>0</v>
      </c>
      <c r="R616" s="87" t="e">
        <f t="shared" si="166"/>
        <v>#DIV/0!</v>
      </c>
      <c r="S616" s="87" t="e">
        <f t="shared" si="167"/>
        <v>#DIV/0!</v>
      </c>
      <c r="T616" s="21" t="e">
        <f t="shared" si="168"/>
        <v>#DIV/0!</v>
      </c>
      <c r="U616" s="87" t="e">
        <f t="shared" si="169"/>
        <v>#DIV/0!</v>
      </c>
      <c r="V616" s="22" t="e">
        <f t="shared" si="170"/>
        <v>#DIV/0!</v>
      </c>
    </row>
    <row r="617" spans="1:22" x14ac:dyDescent="0.25">
      <c r="A617" s="84" t="s">
        <v>982</v>
      </c>
      <c r="B617" s="85" t="s">
        <v>42</v>
      </c>
      <c r="C617" s="85" t="s">
        <v>342</v>
      </c>
      <c r="D617" s="85" t="s">
        <v>436</v>
      </c>
      <c r="E617" s="86" t="s">
        <v>998</v>
      </c>
      <c r="F617" s="85" t="s">
        <v>42</v>
      </c>
      <c r="G617" s="85" t="s">
        <v>350</v>
      </c>
      <c r="H617" s="85"/>
      <c r="I617" s="85"/>
      <c r="J617" s="85"/>
      <c r="K617" s="85" t="s">
        <v>42</v>
      </c>
      <c r="L617" s="87">
        <v>0</v>
      </c>
      <c r="M617" s="87"/>
      <c r="N617" s="88"/>
      <c r="O617" s="33"/>
      <c r="P617" s="85"/>
      <c r="Q617" s="21"/>
      <c r="R617" s="87"/>
      <c r="S617" s="87"/>
      <c r="T617" s="21"/>
      <c r="U617" s="89"/>
      <c r="V617" s="22"/>
    </row>
    <row r="618" spans="1:22" x14ac:dyDescent="0.25">
      <c r="A618" s="84" t="s">
        <v>982</v>
      </c>
      <c r="B618" s="85" t="s">
        <v>42</v>
      </c>
      <c r="C618" s="85" t="s">
        <v>342</v>
      </c>
      <c r="D618" s="85" t="s">
        <v>438</v>
      </c>
      <c r="E618" s="86" t="s">
        <v>570</v>
      </c>
      <c r="F618" s="85" t="s">
        <v>699</v>
      </c>
      <c r="G618" s="85" t="s">
        <v>292</v>
      </c>
      <c r="H618" s="85" t="s">
        <v>20</v>
      </c>
      <c r="I618" s="85" t="s">
        <v>258</v>
      </c>
      <c r="J618" s="86" t="s">
        <v>293</v>
      </c>
      <c r="K618" s="85" t="s">
        <v>346</v>
      </c>
      <c r="L618" s="87">
        <v>9</v>
      </c>
      <c r="M618" s="87">
        <f>L618*VLOOKUP(H618,dagsoorttabel1,2,FALSE)</f>
        <v>0.54</v>
      </c>
      <c r="N618" s="88">
        <f>prodnorm30</f>
        <v>0</v>
      </c>
      <c r="O618" s="33">
        <f>dagwerk30</f>
        <v>0</v>
      </c>
      <c r="P618" s="85" t="s">
        <v>109</v>
      </c>
      <c r="Q618" s="21">
        <f>uurtarief30</f>
        <v>0</v>
      </c>
      <c r="R618" s="87" t="e">
        <f>IF(ISBLANK(N618),0,M618/ROUND(N618,4))</f>
        <v>#DIV/0!</v>
      </c>
      <c r="S618" s="87" t="e">
        <f>IF(ISBLANK(N618),0,R618*ROUND(O618,2))</f>
        <v>#DIV/0!</v>
      </c>
      <c r="T618" s="21" t="e">
        <f>ROUND(Q618,2)*R618</f>
        <v>#DIV/0!</v>
      </c>
      <c r="U618" s="87" t="e">
        <f>R618*dagenperjaar1</f>
        <v>#DIV/0!</v>
      </c>
      <c r="V618" s="22" t="e">
        <f>U618*ROUND(Q618,2)</f>
        <v>#DIV/0!</v>
      </c>
    </row>
    <row r="619" spans="1:22" x14ac:dyDescent="0.25">
      <c r="A619" s="84" t="s">
        <v>982</v>
      </c>
      <c r="B619" s="85" t="s">
        <v>42</v>
      </c>
      <c r="C619" s="85" t="s">
        <v>342</v>
      </c>
      <c r="D619" s="85" t="s">
        <v>440</v>
      </c>
      <c r="E619" s="86" t="s">
        <v>998</v>
      </c>
      <c r="F619" s="85" t="s">
        <v>42</v>
      </c>
      <c r="G619" s="85" t="s">
        <v>350</v>
      </c>
      <c r="H619" s="85"/>
      <c r="I619" s="85"/>
      <c r="J619" s="85"/>
      <c r="K619" s="85" t="s">
        <v>42</v>
      </c>
      <c r="L619" s="87">
        <v>0</v>
      </c>
      <c r="M619" s="87"/>
      <c r="N619" s="88"/>
      <c r="O619" s="33"/>
      <c r="P619" s="85"/>
      <c r="Q619" s="21"/>
      <c r="R619" s="87"/>
      <c r="S619" s="87"/>
      <c r="T619" s="21"/>
      <c r="U619" s="89"/>
      <c r="V619" s="22"/>
    </row>
    <row r="620" spans="1:22" x14ac:dyDescent="0.25">
      <c r="A620" s="84" t="s">
        <v>982</v>
      </c>
      <c r="B620" s="85" t="s">
        <v>42</v>
      </c>
      <c r="C620" s="85" t="s">
        <v>342</v>
      </c>
      <c r="D620" s="85" t="s">
        <v>442</v>
      </c>
      <c r="E620" s="86" t="s">
        <v>1043</v>
      </c>
      <c r="F620" s="85" t="s">
        <v>699</v>
      </c>
      <c r="G620" s="85" t="s">
        <v>296</v>
      </c>
      <c r="H620" s="85" t="s">
        <v>14</v>
      </c>
      <c r="I620" s="85" t="s">
        <v>258</v>
      </c>
      <c r="J620" s="86" t="s">
        <v>297</v>
      </c>
      <c r="K620" s="85" t="s">
        <v>386</v>
      </c>
      <c r="L620" s="87">
        <v>150</v>
      </c>
      <c r="M620" s="87">
        <f>L620*VLOOKUP(H620,dagsoorttabel1,2,FALSE)</f>
        <v>61.499999999999993</v>
      </c>
      <c r="N620" s="88">
        <f>prodnorm34</f>
        <v>0</v>
      </c>
      <c r="O620" s="33">
        <f>dagwerk34</f>
        <v>0</v>
      </c>
      <c r="P620" s="85" t="s">
        <v>109</v>
      </c>
      <c r="Q620" s="21">
        <f>uurtarief34</f>
        <v>0</v>
      </c>
      <c r="R620" s="87" t="e">
        <f>IF(ISBLANK(N620),0,M620/ROUND(N620,4))</f>
        <v>#DIV/0!</v>
      </c>
      <c r="S620" s="87" t="e">
        <f>IF(ISBLANK(N620),0,R620*ROUND(O620,2))</f>
        <v>#DIV/0!</v>
      </c>
      <c r="T620" s="21" t="e">
        <f>ROUND(Q620,2)*R620</f>
        <v>#DIV/0!</v>
      </c>
      <c r="U620" s="87" t="e">
        <f>R620*dagenperjaar1</f>
        <v>#DIV/0!</v>
      </c>
      <c r="V620" s="22" t="e">
        <f>U620*ROUND(Q620,2)</f>
        <v>#DIV/0!</v>
      </c>
    </row>
    <row r="621" spans="1:22" x14ac:dyDescent="0.25">
      <c r="A621" s="84" t="s">
        <v>982</v>
      </c>
      <c r="B621" s="85" t="s">
        <v>42</v>
      </c>
      <c r="C621" s="85" t="s">
        <v>342</v>
      </c>
      <c r="D621" s="85" t="s">
        <v>444</v>
      </c>
      <c r="E621" s="86" t="s">
        <v>770</v>
      </c>
      <c r="F621" s="85" t="s">
        <v>699</v>
      </c>
      <c r="G621" s="85" t="s">
        <v>350</v>
      </c>
      <c r="H621" s="85"/>
      <c r="I621" s="85"/>
      <c r="J621" s="85"/>
      <c r="K621" s="85" t="s">
        <v>42</v>
      </c>
      <c r="L621" s="87">
        <v>3</v>
      </c>
      <c r="M621" s="87"/>
      <c r="N621" s="88"/>
      <c r="O621" s="33"/>
      <c r="P621" s="85"/>
      <c r="Q621" s="21"/>
      <c r="R621" s="87"/>
      <c r="S621" s="87"/>
      <c r="T621" s="21"/>
      <c r="U621" s="89"/>
      <c r="V621" s="22"/>
    </row>
    <row r="622" spans="1:22" x14ac:dyDescent="0.25">
      <c r="A622" s="84" t="s">
        <v>982</v>
      </c>
      <c r="B622" s="85" t="s">
        <v>42</v>
      </c>
      <c r="C622" s="85" t="s">
        <v>342</v>
      </c>
      <c r="D622" s="85" t="s">
        <v>445</v>
      </c>
      <c r="E622" s="86" t="s">
        <v>570</v>
      </c>
      <c r="F622" s="85" t="s">
        <v>699</v>
      </c>
      <c r="G622" s="85" t="s">
        <v>292</v>
      </c>
      <c r="H622" s="85" t="s">
        <v>20</v>
      </c>
      <c r="I622" s="85" t="s">
        <v>258</v>
      </c>
      <c r="J622" s="86" t="s">
        <v>293</v>
      </c>
      <c r="K622" s="85" t="s">
        <v>346</v>
      </c>
      <c r="L622" s="87">
        <v>8</v>
      </c>
      <c r="M622" s="87">
        <f>L622*VLOOKUP(H622,dagsoorttabel1,2,FALSE)</f>
        <v>0.48</v>
      </c>
      <c r="N622" s="88">
        <f>prodnorm30</f>
        <v>0</v>
      </c>
      <c r="O622" s="33">
        <f>dagwerk30</f>
        <v>0</v>
      </c>
      <c r="P622" s="85" t="s">
        <v>109</v>
      </c>
      <c r="Q622" s="21">
        <f>uurtarief30</f>
        <v>0</v>
      </c>
      <c r="R622" s="87" t="e">
        <f>IF(ISBLANK(N622),0,M622/ROUND(N622,4))</f>
        <v>#DIV/0!</v>
      </c>
      <c r="S622" s="87" t="e">
        <f>IF(ISBLANK(N622),0,R622*ROUND(O622,2))</f>
        <v>#DIV/0!</v>
      </c>
      <c r="T622" s="21" t="e">
        <f>ROUND(Q622,2)*R622</f>
        <v>#DIV/0!</v>
      </c>
      <c r="U622" s="87" t="e">
        <f>R622*dagenperjaar1</f>
        <v>#DIV/0!</v>
      </c>
      <c r="V622" s="22" t="e">
        <f>U622*ROUND(Q622,2)</f>
        <v>#DIV/0!</v>
      </c>
    </row>
    <row r="623" spans="1:22" x14ac:dyDescent="0.25">
      <c r="A623" s="84" t="s">
        <v>982</v>
      </c>
      <c r="B623" s="85" t="s">
        <v>42</v>
      </c>
      <c r="C623" s="85" t="s">
        <v>342</v>
      </c>
      <c r="D623" s="85" t="s">
        <v>447</v>
      </c>
      <c r="E623" s="86" t="s">
        <v>1044</v>
      </c>
      <c r="F623" s="85" t="s">
        <v>349</v>
      </c>
      <c r="G623" s="85" t="s">
        <v>290</v>
      </c>
      <c r="H623" s="85" t="s">
        <v>14</v>
      </c>
      <c r="I623" s="85" t="s">
        <v>258</v>
      </c>
      <c r="J623" s="86" t="s">
        <v>291</v>
      </c>
      <c r="K623" s="85" t="s">
        <v>386</v>
      </c>
      <c r="L623" s="87">
        <v>13</v>
      </c>
      <c r="M623" s="87">
        <f>L623*VLOOKUP(H623,dagsoorttabel1,2,FALSE)</f>
        <v>5.33</v>
      </c>
      <c r="N623" s="88">
        <f>prodnorm29</f>
        <v>0</v>
      </c>
      <c r="O623" s="33">
        <f>dagwerk29</f>
        <v>0</v>
      </c>
      <c r="P623" s="85" t="s">
        <v>109</v>
      </c>
      <c r="Q623" s="21">
        <f>uurtarief29</f>
        <v>0</v>
      </c>
      <c r="R623" s="87" t="e">
        <f>IF(ISBLANK(N623),0,M623/ROUND(N623,4))</f>
        <v>#DIV/0!</v>
      </c>
      <c r="S623" s="87" t="e">
        <f>IF(ISBLANK(N623),0,R623*ROUND(O623,2))</f>
        <v>#DIV/0!</v>
      </c>
      <c r="T623" s="21" t="e">
        <f>ROUND(Q623,2)*R623</f>
        <v>#DIV/0!</v>
      </c>
      <c r="U623" s="87" t="e">
        <f>R623*dagenperjaar1</f>
        <v>#DIV/0!</v>
      </c>
      <c r="V623" s="22" t="e">
        <f>U623*ROUND(Q623,2)</f>
        <v>#DIV/0!</v>
      </c>
    </row>
    <row r="624" spans="1:22" x14ac:dyDescent="0.25">
      <c r="A624" s="84" t="s">
        <v>982</v>
      </c>
      <c r="B624" s="85" t="s">
        <v>42</v>
      </c>
      <c r="C624" s="85" t="s">
        <v>342</v>
      </c>
      <c r="D624" s="85" t="s">
        <v>448</v>
      </c>
      <c r="E624" s="86" t="s">
        <v>373</v>
      </c>
      <c r="F624" s="85" t="s">
        <v>985</v>
      </c>
      <c r="G624" s="85" t="s">
        <v>312</v>
      </c>
      <c r="H624" s="85" t="s">
        <v>9</v>
      </c>
      <c r="I624" s="85" t="s">
        <v>258</v>
      </c>
      <c r="J624" s="86" t="s">
        <v>313</v>
      </c>
      <c r="K624" s="85" t="s">
        <v>346</v>
      </c>
      <c r="L624" s="87">
        <v>180.6</v>
      </c>
      <c r="M624" s="87">
        <f>L624*VLOOKUP(H624,dagsoorttabel1,2,FALSE)</f>
        <v>185.11499999999998</v>
      </c>
      <c r="N624" s="88">
        <f>prodnorm46</f>
        <v>0</v>
      </c>
      <c r="O624" s="33">
        <f>dagwerk46</f>
        <v>0</v>
      </c>
      <c r="P624" s="85" t="s">
        <v>109</v>
      </c>
      <c r="Q624" s="21">
        <f>uurtarief46</f>
        <v>0</v>
      </c>
      <c r="R624" s="87" t="e">
        <f>IF(ISBLANK(N624),0,M624/ROUND(N624,4))</f>
        <v>#DIV/0!</v>
      </c>
      <c r="S624" s="87" t="e">
        <f>IF(ISBLANK(N624),0,R624*ROUND(O624,2))</f>
        <v>#DIV/0!</v>
      </c>
      <c r="T624" s="21" t="e">
        <f>ROUND(Q624,2)*R624</f>
        <v>#DIV/0!</v>
      </c>
      <c r="U624" s="87" t="e">
        <f>R624*dagenperjaar1</f>
        <v>#DIV/0!</v>
      </c>
      <c r="V624" s="22" t="e">
        <f>U624*ROUND(Q624,2)</f>
        <v>#DIV/0!</v>
      </c>
    </row>
    <row r="625" spans="1:22" x14ac:dyDescent="0.25">
      <c r="A625" s="84" t="s">
        <v>982</v>
      </c>
      <c r="B625" s="85" t="s">
        <v>42</v>
      </c>
      <c r="C625" s="85" t="s">
        <v>342</v>
      </c>
      <c r="D625" s="85" t="s">
        <v>1045</v>
      </c>
      <c r="E625" s="86" t="s">
        <v>437</v>
      </c>
      <c r="F625" s="85" t="s">
        <v>345</v>
      </c>
      <c r="G625" s="85" t="s">
        <v>286</v>
      </c>
      <c r="H625" s="85" t="s">
        <v>9</v>
      </c>
      <c r="I625" s="85" t="s">
        <v>258</v>
      </c>
      <c r="J625" s="86" t="s">
        <v>287</v>
      </c>
      <c r="K625" s="85" t="s">
        <v>386</v>
      </c>
      <c r="L625" s="87">
        <v>133.01</v>
      </c>
      <c r="M625" s="87">
        <f>L625*VLOOKUP(H625,dagsoorttabel1,2,FALSE)</f>
        <v>136.33524999999997</v>
      </c>
      <c r="N625" s="88">
        <f>prodnorm26</f>
        <v>0</v>
      </c>
      <c r="O625" s="33">
        <f>dagwerk26</f>
        <v>0</v>
      </c>
      <c r="P625" s="85" t="s">
        <v>109</v>
      </c>
      <c r="Q625" s="21">
        <f>uurtarief26</f>
        <v>0</v>
      </c>
      <c r="R625" s="87" t="e">
        <f>IF(ISBLANK(N625),0,M625/ROUND(N625,4))</f>
        <v>#DIV/0!</v>
      </c>
      <c r="S625" s="87" t="e">
        <f>IF(ISBLANK(N625),0,R625*ROUND(O625,2))</f>
        <v>#DIV/0!</v>
      </c>
      <c r="T625" s="21" t="e">
        <f>ROUND(Q625,2)*R625</f>
        <v>#DIV/0!</v>
      </c>
      <c r="U625" s="87" t="e">
        <f>R625*dagenperjaar1</f>
        <v>#DIV/0!</v>
      </c>
      <c r="V625" s="22" t="e">
        <f>U625*ROUND(Q625,2)</f>
        <v>#DIV/0!</v>
      </c>
    </row>
    <row r="626" spans="1:22" x14ac:dyDescent="0.25">
      <c r="A626" s="84" t="s">
        <v>982</v>
      </c>
      <c r="B626" s="85" t="s">
        <v>42</v>
      </c>
      <c r="C626" s="85" t="s">
        <v>342</v>
      </c>
      <c r="D626" s="85" t="s">
        <v>449</v>
      </c>
      <c r="E626" s="86" t="s">
        <v>437</v>
      </c>
      <c r="F626" s="85" t="s">
        <v>345</v>
      </c>
      <c r="G626" s="85" t="s">
        <v>286</v>
      </c>
      <c r="H626" s="85" t="s">
        <v>9</v>
      </c>
      <c r="I626" s="85" t="s">
        <v>258</v>
      </c>
      <c r="J626" s="86" t="s">
        <v>287</v>
      </c>
      <c r="K626" s="85" t="s">
        <v>386</v>
      </c>
      <c r="L626" s="87">
        <v>33.700000000000003</v>
      </c>
      <c r="M626" s="87">
        <f>L626*VLOOKUP(H626,dagsoorttabel1,2,FALSE)</f>
        <v>34.542499999999997</v>
      </c>
      <c r="N626" s="88">
        <f>prodnorm26</f>
        <v>0</v>
      </c>
      <c r="O626" s="33">
        <f>dagwerk26</f>
        <v>0</v>
      </c>
      <c r="P626" s="85" t="s">
        <v>109</v>
      </c>
      <c r="Q626" s="21">
        <f>uurtarief26</f>
        <v>0</v>
      </c>
      <c r="R626" s="87" t="e">
        <f>IF(ISBLANK(N626),0,M626/ROUND(N626,4))</f>
        <v>#DIV/0!</v>
      </c>
      <c r="S626" s="87" t="e">
        <f>IF(ISBLANK(N626),0,R626*ROUND(O626,2))</f>
        <v>#DIV/0!</v>
      </c>
      <c r="T626" s="21" t="e">
        <f>ROUND(Q626,2)*R626</f>
        <v>#DIV/0!</v>
      </c>
      <c r="U626" s="87" t="e">
        <f>R626*dagenperjaar1</f>
        <v>#DIV/0!</v>
      </c>
      <c r="V626" s="22" t="e">
        <f>U626*ROUND(Q626,2)</f>
        <v>#DIV/0!</v>
      </c>
    </row>
    <row r="627" spans="1:22" x14ac:dyDescent="0.25">
      <c r="A627" s="84" t="s">
        <v>982</v>
      </c>
      <c r="B627" s="85" t="s">
        <v>42</v>
      </c>
      <c r="C627" s="85" t="s">
        <v>342</v>
      </c>
      <c r="D627" s="85" t="s">
        <v>1046</v>
      </c>
      <c r="E627" s="86" t="s">
        <v>570</v>
      </c>
      <c r="F627" s="85" t="s">
        <v>42</v>
      </c>
      <c r="G627" s="85" t="s">
        <v>350</v>
      </c>
      <c r="H627" s="85"/>
      <c r="I627" s="85"/>
      <c r="J627" s="85"/>
      <c r="K627" s="85" t="s">
        <v>42</v>
      </c>
      <c r="L627" s="87">
        <v>0</v>
      </c>
      <c r="M627" s="87"/>
      <c r="N627" s="88"/>
      <c r="O627" s="33"/>
      <c r="P627" s="85"/>
      <c r="Q627" s="21"/>
      <c r="R627" s="87"/>
      <c r="S627" s="87"/>
      <c r="T627" s="21"/>
      <c r="U627" s="89"/>
      <c r="V627" s="22"/>
    </row>
    <row r="628" spans="1:22" x14ac:dyDescent="0.25">
      <c r="A628" s="84" t="s">
        <v>982</v>
      </c>
      <c r="B628" s="85" t="s">
        <v>42</v>
      </c>
      <c r="C628" s="85" t="s">
        <v>342</v>
      </c>
      <c r="D628" s="85" t="s">
        <v>1047</v>
      </c>
      <c r="E628" s="86" t="s">
        <v>1048</v>
      </c>
      <c r="F628" s="85" t="s">
        <v>42</v>
      </c>
      <c r="G628" s="85" t="s">
        <v>350</v>
      </c>
      <c r="H628" s="85"/>
      <c r="I628" s="85"/>
      <c r="J628" s="85"/>
      <c r="K628" s="85" t="s">
        <v>42</v>
      </c>
      <c r="L628" s="87">
        <v>0</v>
      </c>
      <c r="M628" s="87"/>
      <c r="N628" s="88"/>
      <c r="O628" s="33"/>
      <c r="P628" s="85"/>
      <c r="Q628" s="21"/>
      <c r="R628" s="87"/>
      <c r="S628" s="87"/>
      <c r="T628" s="21"/>
      <c r="U628" s="89"/>
      <c r="V628" s="22"/>
    </row>
    <row r="629" spans="1:22" x14ac:dyDescent="0.25">
      <c r="A629" s="84" t="s">
        <v>982</v>
      </c>
      <c r="B629" s="85" t="s">
        <v>42</v>
      </c>
      <c r="C629" s="85" t="s">
        <v>342</v>
      </c>
      <c r="D629" s="85" t="s">
        <v>1049</v>
      </c>
      <c r="E629" s="86" t="s">
        <v>1007</v>
      </c>
      <c r="F629" s="85" t="s">
        <v>699</v>
      </c>
      <c r="G629" s="85" t="s">
        <v>310</v>
      </c>
      <c r="H629" s="85" t="s">
        <v>9</v>
      </c>
      <c r="I629" s="85" t="s">
        <v>258</v>
      </c>
      <c r="J629" s="86" t="s">
        <v>311</v>
      </c>
      <c r="K629" s="85" t="s">
        <v>417</v>
      </c>
      <c r="L629" s="87">
        <v>18.5</v>
      </c>
      <c r="M629" s="87">
        <f>L629*VLOOKUP(H629,dagsoorttabel1,2,FALSE)</f>
        <v>18.962499999999999</v>
      </c>
      <c r="N629" s="88">
        <f>prodnorm45</f>
        <v>0</v>
      </c>
      <c r="O629" s="33">
        <f>dagwerk45</f>
        <v>0</v>
      </c>
      <c r="P629" s="85" t="s">
        <v>109</v>
      </c>
      <c r="Q629" s="21">
        <f>uurtarief45</f>
        <v>0</v>
      </c>
      <c r="R629" s="87" t="e">
        <f>IF(ISBLANK(N629),0,M629/ROUND(N629,4))</f>
        <v>#DIV/0!</v>
      </c>
      <c r="S629" s="87" t="e">
        <f>IF(ISBLANK(N629),0,R629*ROUND(O629,2))</f>
        <v>#DIV/0!</v>
      </c>
      <c r="T629" s="21" t="e">
        <f>ROUND(Q629,2)*R629</f>
        <v>#DIV/0!</v>
      </c>
      <c r="U629" s="87" t="e">
        <f>R629*dagenperjaar1</f>
        <v>#DIV/0!</v>
      </c>
      <c r="V629" s="22" t="e">
        <f>U629*ROUND(Q629,2)</f>
        <v>#DIV/0!</v>
      </c>
    </row>
    <row r="630" spans="1:22" x14ac:dyDescent="0.25">
      <c r="A630" s="84" t="s">
        <v>982</v>
      </c>
      <c r="B630" s="85" t="s">
        <v>42</v>
      </c>
      <c r="C630" s="85" t="s">
        <v>342</v>
      </c>
      <c r="D630" s="85" t="s">
        <v>1050</v>
      </c>
      <c r="E630" s="86" t="s">
        <v>1003</v>
      </c>
      <c r="F630" s="85" t="s">
        <v>699</v>
      </c>
      <c r="G630" s="85" t="s">
        <v>310</v>
      </c>
      <c r="H630" s="85" t="s">
        <v>9</v>
      </c>
      <c r="I630" s="85" t="s">
        <v>258</v>
      </c>
      <c r="J630" s="86" t="s">
        <v>311</v>
      </c>
      <c r="K630" s="85" t="s">
        <v>417</v>
      </c>
      <c r="L630" s="87">
        <v>4.7</v>
      </c>
      <c r="M630" s="87">
        <f>L630*VLOOKUP(H630,dagsoorttabel1,2,FALSE)</f>
        <v>4.8174999999999999</v>
      </c>
      <c r="N630" s="88">
        <f>prodnorm45</f>
        <v>0</v>
      </c>
      <c r="O630" s="33">
        <f>dagwerk45</f>
        <v>0</v>
      </c>
      <c r="P630" s="85" t="s">
        <v>109</v>
      </c>
      <c r="Q630" s="21">
        <f>uurtarief45</f>
        <v>0</v>
      </c>
      <c r="R630" s="87" t="e">
        <f>IF(ISBLANK(N630),0,M630/ROUND(N630,4))</f>
        <v>#DIV/0!</v>
      </c>
      <c r="S630" s="87" t="e">
        <f>IF(ISBLANK(N630),0,R630*ROUND(O630,2))</f>
        <v>#DIV/0!</v>
      </c>
      <c r="T630" s="21" t="e">
        <f>ROUND(Q630,2)*R630</f>
        <v>#DIV/0!</v>
      </c>
      <c r="U630" s="87" t="e">
        <f>R630*dagenperjaar1</f>
        <v>#DIV/0!</v>
      </c>
      <c r="V630" s="22" t="e">
        <f>U630*ROUND(Q630,2)</f>
        <v>#DIV/0!</v>
      </c>
    </row>
    <row r="631" spans="1:22" x14ac:dyDescent="0.25">
      <c r="A631" s="84" t="s">
        <v>982</v>
      </c>
      <c r="B631" s="85" t="s">
        <v>42</v>
      </c>
      <c r="C631" s="85" t="s">
        <v>342</v>
      </c>
      <c r="D631" s="85" t="s">
        <v>1051</v>
      </c>
      <c r="E631" s="86" t="s">
        <v>998</v>
      </c>
      <c r="F631" s="85" t="s">
        <v>42</v>
      </c>
      <c r="G631" s="85" t="s">
        <v>350</v>
      </c>
      <c r="H631" s="85"/>
      <c r="I631" s="85"/>
      <c r="J631" s="85"/>
      <c r="K631" s="85" t="s">
        <v>42</v>
      </c>
      <c r="L631" s="87">
        <v>0</v>
      </c>
      <c r="M631" s="87"/>
      <c r="N631" s="88"/>
      <c r="O631" s="33"/>
      <c r="P631" s="85"/>
      <c r="Q631" s="21"/>
      <c r="R631" s="87"/>
      <c r="S631" s="87"/>
      <c r="T631" s="21"/>
      <c r="U631" s="89"/>
      <c r="V631" s="22"/>
    </row>
    <row r="632" spans="1:22" x14ac:dyDescent="0.25">
      <c r="A632" s="84" t="s">
        <v>982</v>
      </c>
      <c r="B632" s="85" t="s">
        <v>42</v>
      </c>
      <c r="C632" s="85" t="s">
        <v>342</v>
      </c>
      <c r="D632" s="85" t="s">
        <v>1052</v>
      </c>
      <c r="E632" s="86" t="s">
        <v>1008</v>
      </c>
      <c r="F632" s="85" t="s">
        <v>699</v>
      </c>
      <c r="G632" s="85" t="s">
        <v>350</v>
      </c>
      <c r="H632" s="85"/>
      <c r="I632" s="85"/>
      <c r="J632" s="85"/>
      <c r="K632" s="85" t="s">
        <v>417</v>
      </c>
      <c r="L632" s="87">
        <v>7.7</v>
      </c>
      <c r="M632" s="87"/>
      <c r="N632" s="88"/>
      <c r="O632" s="33"/>
      <c r="P632" s="85"/>
      <c r="Q632" s="21"/>
      <c r="R632" s="87"/>
      <c r="S632" s="87"/>
      <c r="T632" s="21"/>
      <c r="U632" s="89"/>
      <c r="V632" s="22"/>
    </row>
    <row r="633" spans="1:22" x14ac:dyDescent="0.25">
      <c r="A633" s="84" t="s">
        <v>982</v>
      </c>
      <c r="B633" s="85" t="s">
        <v>42</v>
      </c>
      <c r="C633" s="85" t="s">
        <v>342</v>
      </c>
      <c r="D633" s="85" t="s">
        <v>450</v>
      </c>
      <c r="E633" s="86" t="s">
        <v>570</v>
      </c>
      <c r="F633" s="85" t="s">
        <v>42</v>
      </c>
      <c r="G633" s="85" t="s">
        <v>350</v>
      </c>
      <c r="H633" s="85"/>
      <c r="I633" s="85"/>
      <c r="J633" s="85"/>
      <c r="K633" s="85" t="s">
        <v>42</v>
      </c>
      <c r="L633" s="87">
        <v>0</v>
      </c>
      <c r="M633" s="87"/>
      <c r="N633" s="88"/>
      <c r="O633" s="33"/>
      <c r="P633" s="85"/>
      <c r="Q633" s="21"/>
      <c r="R633" s="87"/>
      <c r="S633" s="87"/>
      <c r="T633" s="21"/>
      <c r="U633" s="89"/>
      <c r="V633" s="22"/>
    </row>
    <row r="634" spans="1:22" x14ac:dyDescent="0.25">
      <c r="A634" s="84" t="s">
        <v>982</v>
      </c>
      <c r="B634" s="85" t="s">
        <v>42</v>
      </c>
      <c r="C634" s="85" t="s">
        <v>342</v>
      </c>
      <c r="D634" s="85" t="s">
        <v>451</v>
      </c>
      <c r="E634" s="86" t="s">
        <v>1053</v>
      </c>
      <c r="F634" s="85" t="s">
        <v>1054</v>
      </c>
      <c r="G634" s="85" t="s">
        <v>304</v>
      </c>
      <c r="H634" s="85" t="s">
        <v>14</v>
      </c>
      <c r="I634" s="85" t="s">
        <v>258</v>
      </c>
      <c r="J634" s="86" t="s">
        <v>305</v>
      </c>
      <c r="K634" s="85" t="s">
        <v>386</v>
      </c>
      <c r="L634" s="87">
        <v>238</v>
      </c>
      <c r="M634" s="87">
        <f>L634*VLOOKUP(H634,dagsoorttabel1,2,FALSE)</f>
        <v>97.58</v>
      </c>
      <c r="N634" s="88">
        <f>prodnorm41</f>
        <v>0</v>
      </c>
      <c r="O634" s="33">
        <f>dagwerk41</f>
        <v>0</v>
      </c>
      <c r="P634" s="85" t="s">
        <v>109</v>
      </c>
      <c r="Q634" s="21">
        <f>uurtarief41</f>
        <v>0</v>
      </c>
      <c r="R634" s="87" t="e">
        <f>IF(ISBLANK(N634),0,M634/ROUND(N634,4))</f>
        <v>#DIV/0!</v>
      </c>
      <c r="S634" s="87" t="e">
        <f>IF(ISBLANK(N634),0,R634*ROUND(O634,2))</f>
        <v>#DIV/0!</v>
      </c>
      <c r="T634" s="21" t="e">
        <f>ROUND(Q634,2)*R634</f>
        <v>#DIV/0!</v>
      </c>
      <c r="U634" s="87" t="e">
        <f>R634*dagenperjaar1</f>
        <v>#DIV/0!</v>
      </c>
      <c r="V634" s="22" t="e">
        <f>U634*ROUND(Q634,2)</f>
        <v>#DIV/0!</v>
      </c>
    </row>
    <row r="635" spans="1:22" x14ac:dyDescent="0.25">
      <c r="A635" s="84" t="s">
        <v>982</v>
      </c>
      <c r="B635" s="85" t="s">
        <v>42</v>
      </c>
      <c r="C635" s="85" t="s">
        <v>342</v>
      </c>
      <c r="D635" s="85" t="s">
        <v>453</v>
      </c>
      <c r="E635" s="86" t="s">
        <v>1055</v>
      </c>
      <c r="F635" s="85" t="s">
        <v>985</v>
      </c>
      <c r="G635" s="85" t="s">
        <v>350</v>
      </c>
      <c r="H635" s="85"/>
      <c r="I635" s="85"/>
      <c r="J635" s="85"/>
      <c r="K635" s="85" t="s">
        <v>42</v>
      </c>
      <c r="L635" s="87">
        <v>0</v>
      </c>
      <c r="M635" s="87"/>
      <c r="N635" s="88"/>
      <c r="O635" s="33"/>
      <c r="P635" s="85"/>
      <c r="Q635" s="21"/>
      <c r="R635" s="87"/>
      <c r="S635" s="87"/>
      <c r="T635" s="21"/>
      <c r="U635" s="89"/>
      <c r="V635" s="22"/>
    </row>
    <row r="636" spans="1:22" x14ac:dyDescent="0.25">
      <c r="A636" s="84" t="s">
        <v>982</v>
      </c>
      <c r="B636" s="85" t="s">
        <v>42</v>
      </c>
      <c r="C636" s="85" t="s">
        <v>342</v>
      </c>
      <c r="D636" s="85" t="s">
        <v>1056</v>
      </c>
      <c r="E636" s="86" t="s">
        <v>1057</v>
      </c>
      <c r="F636" s="85" t="s">
        <v>42</v>
      </c>
      <c r="G636" s="85" t="s">
        <v>350</v>
      </c>
      <c r="H636" s="85"/>
      <c r="I636" s="85"/>
      <c r="J636" s="85"/>
      <c r="K636" s="85" t="s">
        <v>42</v>
      </c>
      <c r="L636" s="87">
        <v>0</v>
      </c>
      <c r="M636" s="87"/>
      <c r="N636" s="88"/>
      <c r="O636" s="33"/>
      <c r="P636" s="85"/>
      <c r="Q636" s="21"/>
      <c r="R636" s="87"/>
      <c r="S636" s="87"/>
      <c r="T636" s="21"/>
      <c r="U636" s="89"/>
      <c r="V636" s="22"/>
    </row>
    <row r="637" spans="1:22" x14ac:dyDescent="0.25">
      <c r="A637" s="84" t="s">
        <v>982</v>
      </c>
      <c r="B637" s="85" t="s">
        <v>42</v>
      </c>
      <c r="C637" s="85" t="s">
        <v>342</v>
      </c>
      <c r="D637" s="85" t="s">
        <v>454</v>
      </c>
      <c r="E637" s="86" t="s">
        <v>1058</v>
      </c>
      <c r="F637" s="85" t="s">
        <v>1054</v>
      </c>
      <c r="G637" s="85" t="s">
        <v>282</v>
      </c>
      <c r="H637" s="85" t="s">
        <v>9</v>
      </c>
      <c r="I637" s="85" t="s">
        <v>258</v>
      </c>
      <c r="J637" s="86" t="s">
        <v>283</v>
      </c>
      <c r="K637" s="85" t="s">
        <v>386</v>
      </c>
      <c r="L637" s="87">
        <v>70</v>
      </c>
      <c r="M637" s="87">
        <f>L637*VLOOKUP(H637,dagsoorttabel1,2,FALSE)</f>
        <v>71.75</v>
      </c>
      <c r="N637" s="88">
        <f>prodnorm24</f>
        <v>0</v>
      </c>
      <c r="O637" s="33">
        <f>dagwerk24</f>
        <v>0</v>
      </c>
      <c r="P637" s="85" t="s">
        <v>109</v>
      </c>
      <c r="Q637" s="21">
        <f>uurtarief24</f>
        <v>0</v>
      </c>
      <c r="R637" s="87" t="e">
        <f>IF(ISBLANK(N637),0,M637/ROUND(N637,4))</f>
        <v>#DIV/0!</v>
      </c>
      <c r="S637" s="87" t="e">
        <f>IF(ISBLANK(N637),0,R637*ROUND(O637,2))</f>
        <v>#DIV/0!</v>
      </c>
      <c r="T637" s="21" t="e">
        <f>ROUND(Q637,2)*R637</f>
        <v>#DIV/0!</v>
      </c>
      <c r="U637" s="87" t="e">
        <f>R637*dagenperjaar1</f>
        <v>#DIV/0!</v>
      </c>
      <c r="V637" s="22" t="e">
        <f>U637*ROUND(Q637,2)</f>
        <v>#DIV/0!</v>
      </c>
    </row>
    <row r="638" spans="1:22" x14ac:dyDescent="0.25">
      <c r="A638" s="84" t="s">
        <v>982</v>
      </c>
      <c r="B638" s="85" t="s">
        <v>42</v>
      </c>
      <c r="C638" s="85" t="s">
        <v>342</v>
      </c>
      <c r="D638" s="85" t="s">
        <v>456</v>
      </c>
      <c r="E638" s="86" t="s">
        <v>1053</v>
      </c>
      <c r="F638" s="85" t="s">
        <v>1054</v>
      </c>
      <c r="G638" s="85" t="s">
        <v>350</v>
      </c>
      <c r="H638" s="85"/>
      <c r="I638" s="85"/>
      <c r="J638" s="85"/>
      <c r="K638" s="85" t="s">
        <v>42</v>
      </c>
      <c r="L638" s="87">
        <v>80</v>
      </c>
      <c r="M638" s="87"/>
      <c r="N638" s="88"/>
      <c r="O638" s="33"/>
      <c r="P638" s="85"/>
      <c r="Q638" s="21"/>
      <c r="R638" s="87"/>
      <c r="S638" s="87"/>
      <c r="T638" s="21"/>
      <c r="U638" s="89"/>
      <c r="V638" s="22"/>
    </row>
    <row r="639" spans="1:22" x14ac:dyDescent="0.25">
      <c r="A639" s="84" t="s">
        <v>982</v>
      </c>
      <c r="B639" s="85" t="s">
        <v>42</v>
      </c>
      <c r="C639" s="85" t="s">
        <v>342</v>
      </c>
      <c r="D639" s="85" t="s">
        <v>1059</v>
      </c>
      <c r="E639" s="86" t="s">
        <v>570</v>
      </c>
      <c r="F639" s="85" t="s">
        <v>42</v>
      </c>
      <c r="G639" s="85" t="s">
        <v>350</v>
      </c>
      <c r="H639" s="85"/>
      <c r="I639" s="85"/>
      <c r="J639" s="85"/>
      <c r="K639" s="85" t="s">
        <v>42</v>
      </c>
      <c r="L639" s="87">
        <v>0</v>
      </c>
      <c r="M639" s="87"/>
      <c r="N639" s="88"/>
      <c r="O639" s="33"/>
      <c r="P639" s="85"/>
      <c r="Q639" s="21"/>
      <c r="R639" s="87"/>
      <c r="S639" s="87"/>
      <c r="T639" s="21"/>
      <c r="U639" s="89"/>
      <c r="V639" s="22"/>
    </row>
    <row r="640" spans="1:22" x14ac:dyDescent="0.25">
      <c r="A640" s="84" t="s">
        <v>982</v>
      </c>
      <c r="B640" s="85" t="s">
        <v>42</v>
      </c>
      <c r="C640" s="85" t="s">
        <v>342</v>
      </c>
      <c r="D640" s="85" t="s">
        <v>1060</v>
      </c>
      <c r="E640" s="86" t="s">
        <v>570</v>
      </c>
      <c r="F640" s="85" t="s">
        <v>42</v>
      </c>
      <c r="G640" s="85" t="s">
        <v>350</v>
      </c>
      <c r="H640" s="85"/>
      <c r="I640" s="85"/>
      <c r="J640" s="85"/>
      <c r="K640" s="85" t="s">
        <v>42</v>
      </c>
      <c r="L640" s="87">
        <v>0</v>
      </c>
      <c r="M640" s="87"/>
      <c r="N640" s="88"/>
      <c r="O640" s="33"/>
      <c r="P640" s="85"/>
      <c r="Q640" s="21"/>
      <c r="R640" s="87"/>
      <c r="S640" s="87"/>
      <c r="T640" s="21"/>
      <c r="U640" s="89"/>
      <c r="V640" s="22"/>
    </row>
    <row r="641" spans="1:22" x14ac:dyDescent="0.25">
      <c r="A641" s="84" t="s">
        <v>982</v>
      </c>
      <c r="B641" s="85" t="s">
        <v>42</v>
      </c>
      <c r="C641" s="85" t="s">
        <v>342</v>
      </c>
      <c r="D641" s="85" t="s">
        <v>457</v>
      </c>
      <c r="E641" s="86" t="s">
        <v>1053</v>
      </c>
      <c r="F641" s="85" t="s">
        <v>1054</v>
      </c>
      <c r="G641" s="85" t="s">
        <v>350</v>
      </c>
      <c r="H641" s="85"/>
      <c r="I641" s="85"/>
      <c r="J641" s="85"/>
      <c r="K641" s="85" t="s">
        <v>42</v>
      </c>
      <c r="L641" s="87">
        <v>140</v>
      </c>
      <c r="M641" s="87"/>
      <c r="N641" s="88"/>
      <c r="O641" s="33"/>
      <c r="P641" s="85"/>
      <c r="Q641" s="21"/>
      <c r="R641" s="87"/>
      <c r="S641" s="87"/>
      <c r="T641" s="21"/>
      <c r="U641" s="89"/>
      <c r="V641" s="22"/>
    </row>
    <row r="642" spans="1:22" x14ac:dyDescent="0.25">
      <c r="A642" s="84" t="s">
        <v>982</v>
      </c>
      <c r="B642" s="85" t="s">
        <v>42</v>
      </c>
      <c r="C642" s="85" t="s">
        <v>342</v>
      </c>
      <c r="D642" s="85" t="s">
        <v>458</v>
      </c>
      <c r="E642" s="86" t="s">
        <v>570</v>
      </c>
      <c r="F642" s="85" t="s">
        <v>42</v>
      </c>
      <c r="G642" s="85" t="s">
        <v>350</v>
      </c>
      <c r="H642" s="85"/>
      <c r="I642" s="85"/>
      <c r="J642" s="85"/>
      <c r="K642" s="85" t="s">
        <v>42</v>
      </c>
      <c r="L642" s="87">
        <v>0</v>
      </c>
      <c r="M642" s="87"/>
      <c r="N642" s="88"/>
      <c r="O642" s="33"/>
      <c r="P642" s="85"/>
      <c r="Q642" s="21"/>
      <c r="R642" s="87"/>
      <c r="S642" s="87"/>
      <c r="T642" s="21"/>
      <c r="U642" s="89"/>
      <c r="V642" s="22"/>
    </row>
    <row r="643" spans="1:22" x14ac:dyDescent="0.25">
      <c r="A643" s="84" t="s">
        <v>982</v>
      </c>
      <c r="B643" s="85" t="s">
        <v>42</v>
      </c>
      <c r="C643" s="85" t="s">
        <v>342</v>
      </c>
      <c r="D643" s="85" t="s">
        <v>459</v>
      </c>
      <c r="E643" s="86" t="s">
        <v>590</v>
      </c>
      <c r="F643" s="85" t="s">
        <v>1054</v>
      </c>
      <c r="G643" s="85" t="s">
        <v>260</v>
      </c>
      <c r="H643" s="85" t="s">
        <v>14</v>
      </c>
      <c r="I643" s="85" t="s">
        <v>258</v>
      </c>
      <c r="J643" s="86" t="s">
        <v>261</v>
      </c>
      <c r="K643" s="85" t="s">
        <v>365</v>
      </c>
      <c r="L643" s="87">
        <v>16.3</v>
      </c>
      <c r="M643" s="87">
        <f>L643*VLOOKUP(H643,dagsoorttabel1,2,FALSE)</f>
        <v>6.6829999999999998</v>
      </c>
      <c r="N643" s="88">
        <f>prodnorm7</f>
        <v>0</v>
      </c>
      <c r="O643" s="33">
        <f>dagwerk7</f>
        <v>0</v>
      </c>
      <c r="P643" s="85" t="s">
        <v>109</v>
      </c>
      <c r="Q643" s="21">
        <f>uurtarief7</f>
        <v>0</v>
      </c>
      <c r="R643" s="87" t="e">
        <f>IF(ISBLANK(N643),0,M643/ROUND(N643,4))</f>
        <v>#DIV/0!</v>
      </c>
      <c r="S643" s="87" t="e">
        <f>IF(ISBLANK(N643),0,R643*ROUND(O643,2))</f>
        <v>#DIV/0!</v>
      </c>
      <c r="T643" s="21" t="e">
        <f>ROUND(Q643,2)*R643</f>
        <v>#DIV/0!</v>
      </c>
      <c r="U643" s="87" t="e">
        <f>R643*dagenperjaar1</f>
        <v>#DIV/0!</v>
      </c>
      <c r="V643" s="22" t="e">
        <f>U643*ROUND(Q643,2)</f>
        <v>#DIV/0!</v>
      </c>
    </row>
    <row r="644" spans="1:22" x14ac:dyDescent="0.25">
      <c r="A644" s="84" t="s">
        <v>982</v>
      </c>
      <c r="B644" s="85" t="s">
        <v>42</v>
      </c>
      <c r="C644" s="85" t="s">
        <v>342</v>
      </c>
      <c r="D644" s="85" t="s">
        <v>460</v>
      </c>
      <c r="E644" s="86" t="s">
        <v>1053</v>
      </c>
      <c r="F644" s="85" t="s">
        <v>985</v>
      </c>
      <c r="G644" s="85" t="s">
        <v>304</v>
      </c>
      <c r="H644" s="85" t="s">
        <v>14</v>
      </c>
      <c r="I644" s="85" t="s">
        <v>258</v>
      </c>
      <c r="J644" s="86" t="s">
        <v>305</v>
      </c>
      <c r="K644" s="85" t="s">
        <v>42</v>
      </c>
      <c r="L644" s="87">
        <v>225</v>
      </c>
      <c r="M644" s="87">
        <f>L644*VLOOKUP(H644,dagsoorttabel1,2,FALSE)</f>
        <v>92.25</v>
      </c>
      <c r="N644" s="88">
        <f>prodnorm41</f>
        <v>0</v>
      </c>
      <c r="O644" s="33">
        <f>dagwerk41</f>
        <v>0</v>
      </c>
      <c r="P644" s="85" t="s">
        <v>109</v>
      </c>
      <c r="Q644" s="21">
        <f>uurtarief41</f>
        <v>0</v>
      </c>
      <c r="R644" s="87" t="e">
        <f>IF(ISBLANK(N644),0,M644/ROUND(N644,4))</f>
        <v>#DIV/0!</v>
      </c>
      <c r="S644" s="87" t="e">
        <f>IF(ISBLANK(N644),0,R644*ROUND(O644,2))</f>
        <v>#DIV/0!</v>
      </c>
      <c r="T644" s="21" t="e">
        <f>ROUND(Q644,2)*R644</f>
        <v>#DIV/0!</v>
      </c>
      <c r="U644" s="87" t="e">
        <f>R644*dagenperjaar1</f>
        <v>#DIV/0!</v>
      </c>
      <c r="V644" s="22" t="e">
        <f>U644*ROUND(Q644,2)</f>
        <v>#DIV/0!</v>
      </c>
    </row>
    <row r="645" spans="1:22" x14ac:dyDescent="0.25">
      <c r="A645" s="84" t="s">
        <v>982</v>
      </c>
      <c r="B645" s="85" t="s">
        <v>42</v>
      </c>
      <c r="C645" s="85" t="s">
        <v>342</v>
      </c>
      <c r="D645" s="85" t="s">
        <v>462</v>
      </c>
      <c r="E645" s="86" t="s">
        <v>1061</v>
      </c>
      <c r="F645" s="85" t="s">
        <v>42</v>
      </c>
      <c r="G645" s="85" t="s">
        <v>350</v>
      </c>
      <c r="H645" s="85"/>
      <c r="I645" s="85"/>
      <c r="J645" s="85"/>
      <c r="K645" s="85" t="s">
        <v>42</v>
      </c>
      <c r="L645" s="87">
        <v>0</v>
      </c>
      <c r="M645" s="87"/>
      <c r="N645" s="88"/>
      <c r="O645" s="33"/>
      <c r="P645" s="85"/>
      <c r="Q645" s="21"/>
      <c r="R645" s="87"/>
      <c r="S645" s="87"/>
      <c r="T645" s="21"/>
      <c r="U645" s="89"/>
      <c r="V645" s="22"/>
    </row>
    <row r="646" spans="1:22" x14ac:dyDescent="0.25">
      <c r="A646" s="84" t="s">
        <v>982</v>
      </c>
      <c r="B646" s="85" t="s">
        <v>42</v>
      </c>
      <c r="C646" s="85" t="s">
        <v>342</v>
      </c>
      <c r="D646" s="85" t="s">
        <v>1062</v>
      </c>
      <c r="E646" s="86" t="s">
        <v>1063</v>
      </c>
      <c r="F646" s="85" t="s">
        <v>42</v>
      </c>
      <c r="G646" s="85" t="s">
        <v>350</v>
      </c>
      <c r="H646" s="85"/>
      <c r="I646" s="85"/>
      <c r="J646" s="85"/>
      <c r="K646" s="85" t="s">
        <v>42</v>
      </c>
      <c r="L646" s="87">
        <v>0</v>
      </c>
      <c r="M646" s="87"/>
      <c r="N646" s="88"/>
      <c r="O646" s="33"/>
      <c r="P646" s="85"/>
      <c r="Q646" s="21"/>
      <c r="R646" s="87"/>
      <c r="S646" s="87"/>
      <c r="T646" s="21"/>
      <c r="U646" s="89"/>
      <c r="V646" s="22"/>
    </row>
    <row r="647" spans="1:22" x14ac:dyDescent="0.25">
      <c r="A647" s="84" t="s">
        <v>982</v>
      </c>
      <c r="B647" s="85" t="s">
        <v>42</v>
      </c>
      <c r="C647" s="85" t="s">
        <v>342</v>
      </c>
      <c r="D647" s="85" t="s">
        <v>1064</v>
      </c>
      <c r="E647" s="86" t="s">
        <v>570</v>
      </c>
      <c r="F647" s="85" t="s">
        <v>42</v>
      </c>
      <c r="G647" s="85" t="s">
        <v>350</v>
      </c>
      <c r="H647" s="85"/>
      <c r="I647" s="85"/>
      <c r="J647" s="85"/>
      <c r="K647" s="85" t="s">
        <v>42</v>
      </c>
      <c r="L647" s="87">
        <v>0</v>
      </c>
      <c r="M647" s="87"/>
      <c r="N647" s="88"/>
      <c r="O647" s="33"/>
      <c r="P647" s="85"/>
      <c r="Q647" s="21"/>
      <c r="R647" s="87"/>
      <c r="S647" s="87"/>
      <c r="T647" s="21"/>
      <c r="U647" s="89"/>
      <c r="V647" s="22"/>
    </row>
    <row r="648" spans="1:22" x14ac:dyDescent="0.25">
      <c r="A648" s="84" t="s">
        <v>982</v>
      </c>
      <c r="B648" s="85" t="s">
        <v>42</v>
      </c>
      <c r="C648" s="85" t="s">
        <v>342</v>
      </c>
      <c r="D648" s="85" t="s">
        <v>1065</v>
      </c>
      <c r="E648" s="86" t="s">
        <v>1066</v>
      </c>
      <c r="F648" s="85" t="s">
        <v>42</v>
      </c>
      <c r="G648" s="85" t="s">
        <v>350</v>
      </c>
      <c r="H648" s="85"/>
      <c r="I648" s="85"/>
      <c r="J648" s="85"/>
      <c r="K648" s="85" t="s">
        <v>42</v>
      </c>
      <c r="L648" s="87">
        <v>0</v>
      </c>
      <c r="M648" s="87"/>
      <c r="N648" s="88"/>
      <c r="O648" s="33"/>
      <c r="P648" s="85"/>
      <c r="Q648" s="21"/>
      <c r="R648" s="87"/>
      <c r="S648" s="87"/>
      <c r="T648" s="21"/>
      <c r="U648" s="89"/>
      <c r="V648" s="22"/>
    </row>
    <row r="649" spans="1:22" x14ac:dyDescent="0.25">
      <c r="A649" s="84" t="s">
        <v>982</v>
      </c>
      <c r="B649" s="85" t="s">
        <v>42</v>
      </c>
      <c r="C649" s="85" t="s">
        <v>342</v>
      </c>
      <c r="D649" s="85" t="s">
        <v>1067</v>
      </c>
      <c r="E649" s="86" t="s">
        <v>1068</v>
      </c>
      <c r="F649" s="85" t="s">
        <v>985</v>
      </c>
      <c r="G649" s="85" t="s">
        <v>282</v>
      </c>
      <c r="H649" s="85" t="s">
        <v>9</v>
      </c>
      <c r="I649" s="85" t="s">
        <v>258</v>
      </c>
      <c r="J649" s="86" t="s">
        <v>283</v>
      </c>
      <c r="K649" s="85" t="s">
        <v>386</v>
      </c>
      <c r="L649" s="87">
        <v>113.5</v>
      </c>
      <c r="M649" s="87">
        <f>L649*VLOOKUP(H649,dagsoorttabel1,2,FALSE)</f>
        <v>116.33749999999999</v>
      </c>
      <c r="N649" s="88">
        <f>prodnorm24</f>
        <v>0</v>
      </c>
      <c r="O649" s="33">
        <f>dagwerk24</f>
        <v>0</v>
      </c>
      <c r="P649" s="85" t="s">
        <v>109</v>
      </c>
      <c r="Q649" s="21">
        <f>uurtarief24</f>
        <v>0</v>
      </c>
      <c r="R649" s="87" t="e">
        <f>IF(ISBLANK(N649),0,M649/ROUND(N649,4))</f>
        <v>#DIV/0!</v>
      </c>
      <c r="S649" s="87" t="e">
        <f>IF(ISBLANK(N649),0,R649*ROUND(O649,2))</f>
        <v>#DIV/0!</v>
      </c>
      <c r="T649" s="21" t="e">
        <f>ROUND(Q649,2)*R649</f>
        <v>#DIV/0!</v>
      </c>
      <c r="U649" s="87" t="e">
        <f>R649*dagenperjaar1</f>
        <v>#DIV/0!</v>
      </c>
      <c r="V649" s="22" t="e">
        <f>U649*ROUND(Q649,2)</f>
        <v>#DIV/0!</v>
      </c>
    </row>
    <row r="650" spans="1:22" x14ac:dyDescent="0.25">
      <c r="A650" s="84" t="s">
        <v>982</v>
      </c>
      <c r="B650" s="85" t="s">
        <v>42</v>
      </c>
      <c r="C650" s="85" t="s">
        <v>342</v>
      </c>
      <c r="D650" s="85" t="s">
        <v>1069</v>
      </c>
      <c r="E650" s="86" t="s">
        <v>570</v>
      </c>
      <c r="F650" s="85" t="s">
        <v>1054</v>
      </c>
      <c r="G650" s="85" t="s">
        <v>292</v>
      </c>
      <c r="H650" s="85" t="s">
        <v>20</v>
      </c>
      <c r="I650" s="85" t="s">
        <v>258</v>
      </c>
      <c r="J650" s="86" t="s">
        <v>293</v>
      </c>
      <c r="K650" s="85" t="s">
        <v>346</v>
      </c>
      <c r="L650" s="87">
        <v>9.8000000000000007</v>
      </c>
      <c r="M650" s="87">
        <f>L650*VLOOKUP(H650,dagsoorttabel1,2,FALSE)</f>
        <v>0.58799999999999997</v>
      </c>
      <c r="N650" s="88">
        <f>prodnorm30</f>
        <v>0</v>
      </c>
      <c r="O650" s="33">
        <f>dagwerk30</f>
        <v>0</v>
      </c>
      <c r="P650" s="85" t="s">
        <v>109</v>
      </c>
      <c r="Q650" s="21">
        <f>uurtarief30</f>
        <v>0</v>
      </c>
      <c r="R650" s="87" t="e">
        <f>IF(ISBLANK(N650),0,M650/ROUND(N650,4))</f>
        <v>#DIV/0!</v>
      </c>
      <c r="S650" s="87" t="e">
        <f>IF(ISBLANK(N650),0,R650*ROUND(O650,2))</f>
        <v>#DIV/0!</v>
      </c>
      <c r="T650" s="21" t="e">
        <f>ROUND(Q650,2)*R650</f>
        <v>#DIV/0!</v>
      </c>
      <c r="U650" s="87" t="e">
        <f>R650*dagenperjaar1</f>
        <v>#DIV/0!</v>
      </c>
      <c r="V650" s="22" t="e">
        <f>U650*ROUND(Q650,2)</f>
        <v>#DIV/0!</v>
      </c>
    </row>
    <row r="651" spans="1:22" x14ac:dyDescent="0.25">
      <c r="A651" s="84" t="s">
        <v>982</v>
      </c>
      <c r="B651" s="85" t="s">
        <v>42</v>
      </c>
      <c r="C651" s="85" t="s">
        <v>342</v>
      </c>
      <c r="D651" s="85" t="s">
        <v>1070</v>
      </c>
      <c r="E651" s="86" t="s">
        <v>1071</v>
      </c>
      <c r="F651" s="85" t="s">
        <v>42</v>
      </c>
      <c r="G651" s="85" t="s">
        <v>350</v>
      </c>
      <c r="H651" s="85"/>
      <c r="I651" s="85"/>
      <c r="J651" s="85"/>
      <c r="K651" s="85" t="s">
        <v>42</v>
      </c>
      <c r="L651" s="87">
        <v>0</v>
      </c>
      <c r="M651" s="87"/>
      <c r="N651" s="88"/>
      <c r="O651" s="33"/>
      <c r="P651" s="85"/>
      <c r="Q651" s="21"/>
      <c r="R651" s="87"/>
      <c r="S651" s="87"/>
      <c r="T651" s="21"/>
      <c r="U651" s="89"/>
      <c r="V651" s="22"/>
    </row>
    <row r="652" spans="1:22" x14ac:dyDescent="0.25">
      <c r="A652" s="84" t="s">
        <v>982</v>
      </c>
      <c r="B652" s="85" t="s">
        <v>42</v>
      </c>
      <c r="C652" s="85" t="s">
        <v>342</v>
      </c>
      <c r="D652" s="85" t="s">
        <v>1072</v>
      </c>
      <c r="E652" s="86" t="s">
        <v>1073</v>
      </c>
      <c r="F652" s="85" t="s">
        <v>699</v>
      </c>
      <c r="G652" s="85" t="s">
        <v>294</v>
      </c>
      <c r="H652" s="85" t="s">
        <v>14</v>
      </c>
      <c r="I652" s="85" t="s">
        <v>258</v>
      </c>
      <c r="J652" s="86" t="s">
        <v>295</v>
      </c>
      <c r="K652" s="85" t="s">
        <v>386</v>
      </c>
      <c r="L652" s="87">
        <v>24.1</v>
      </c>
      <c r="M652" s="87">
        <f>L652*VLOOKUP(H652,dagsoorttabel1,2,FALSE)</f>
        <v>9.8810000000000002</v>
      </c>
      <c r="N652" s="88">
        <f>prodnorm33</f>
        <v>0</v>
      </c>
      <c r="O652" s="33">
        <f>dagwerk33</f>
        <v>0</v>
      </c>
      <c r="P652" s="85" t="s">
        <v>109</v>
      </c>
      <c r="Q652" s="21">
        <f>uurtarief33</f>
        <v>0</v>
      </c>
      <c r="R652" s="87" t="e">
        <f>IF(ISBLANK(N652),0,M652/ROUND(N652,4))</f>
        <v>#DIV/0!</v>
      </c>
      <c r="S652" s="87" t="e">
        <f>IF(ISBLANK(N652),0,R652*ROUND(O652,2))</f>
        <v>#DIV/0!</v>
      </c>
      <c r="T652" s="21" t="e">
        <f>ROUND(Q652,2)*R652</f>
        <v>#DIV/0!</v>
      </c>
      <c r="U652" s="87" t="e">
        <f>R652*dagenperjaar1</f>
        <v>#DIV/0!</v>
      </c>
      <c r="V652" s="22" t="e">
        <f>U652*ROUND(Q652,2)</f>
        <v>#DIV/0!</v>
      </c>
    </row>
    <row r="653" spans="1:22" x14ac:dyDescent="0.25">
      <c r="A653" s="84" t="s">
        <v>982</v>
      </c>
      <c r="B653" s="85" t="s">
        <v>42</v>
      </c>
      <c r="C653" s="85" t="s">
        <v>342</v>
      </c>
      <c r="D653" s="85" t="s">
        <v>1074</v>
      </c>
      <c r="E653" s="86" t="s">
        <v>1075</v>
      </c>
      <c r="F653" s="85" t="s">
        <v>985</v>
      </c>
      <c r="G653" s="85" t="s">
        <v>300</v>
      </c>
      <c r="H653" s="85" t="s">
        <v>14</v>
      </c>
      <c r="I653" s="85" t="s">
        <v>258</v>
      </c>
      <c r="J653" s="86" t="s">
        <v>301</v>
      </c>
      <c r="K653" s="85" t="s">
        <v>386</v>
      </c>
      <c r="L653" s="87">
        <v>40</v>
      </c>
      <c r="M653" s="87">
        <f>L653*VLOOKUP(H653,dagsoorttabel1,2,FALSE)</f>
        <v>16.399999999999999</v>
      </c>
      <c r="N653" s="88">
        <f>prodnorm37</f>
        <v>0</v>
      </c>
      <c r="O653" s="33">
        <f>dagwerk37</f>
        <v>0</v>
      </c>
      <c r="P653" s="85" t="s">
        <v>109</v>
      </c>
      <c r="Q653" s="21">
        <f>uurtarief37</f>
        <v>0</v>
      </c>
      <c r="R653" s="87" t="e">
        <f>IF(ISBLANK(N653),0,M653/ROUND(N653,4))</f>
        <v>#DIV/0!</v>
      </c>
      <c r="S653" s="87" t="e">
        <f>IF(ISBLANK(N653),0,R653*ROUND(O653,2))</f>
        <v>#DIV/0!</v>
      </c>
      <c r="T653" s="21" t="e">
        <f>ROUND(Q653,2)*R653</f>
        <v>#DIV/0!</v>
      </c>
      <c r="U653" s="87" t="e">
        <f>R653*dagenperjaar1</f>
        <v>#DIV/0!</v>
      </c>
      <c r="V653" s="22" t="e">
        <f>U653*ROUND(Q653,2)</f>
        <v>#DIV/0!</v>
      </c>
    </row>
    <row r="654" spans="1:22" x14ac:dyDescent="0.25">
      <c r="A654" s="84" t="s">
        <v>982</v>
      </c>
      <c r="B654" s="85" t="s">
        <v>42</v>
      </c>
      <c r="C654" s="85" t="s">
        <v>342</v>
      </c>
      <c r="D654" s="85" t="s">
        <v>1076</v>
      </c>
      <c r="E654" s="86" t="s">
        <v>570</v>
      </c>
      <c r="F654" s="85" t="s">
        <v>42</v>
      </c>
      <c r="G654" s="85" t="s">
        <v>350</v>
      </c>
      <c r="H654" s="85"/>
      <c r="I654" s="85"/>
      <c r="J654" s="85"/>
      <c r="K654" s="85" t="s">
        <v>42</v>
      </c>
      <c r="L654" s="87">
        <v>0</v>
      </c>
      <c r="M654" s="87"/>
      <c r="N654" s="88"/>
      <c r="O654" s="33"/>
      <c r="P654" s="85"/>
      <c r="Q654" s="21"/>
      <c r="R654" s="87"/>
      <c r="S654" s="87"/>
      <c r="T654" s="21"/>
      <c r="U654" s="89"/>
      <c r="V654" s="22"/>
    </row>
    <row r="655" spans="1:22" x14ac:dyDescent="0.25">
      <c r="A655" s="84" t="s">
        <v>982</v>
      </c>
      <c r="B655" s="85" t="s">
        <v>42</v>
      </c>
      <c r="C655" s="85" t="s">
        <v>342</v>
      </c>
      <c r="D655" s="85" t="s">
        <v>1077</v>
      </c>
      <c r="E655" s="86" t="s">
        <v>570</v>
      </c>
      <c r="F655" s="85" t="s">
        <v>42</v>
      </c>
      <c r="G655" s="85" t="s">
        <v>350</v>
      </c>
      <c r="H655" s="85"/>
      <c r="I655" s="85"/>
      <c r="J655" s="85"/>
      <c r="K655" s="85" t="s">
        <v>42</v>
      </c>
      <c r="L655" s="87">
        <v>0</v>
      </c>
      <c r="M655" s="87"/>
      <c r="N655" s="88"/>
      <c r="O655" s="33"/>
      <c r="P655" s="85"/>
      <c r="Q655" s="21"/>
      <c r="R655" s="87"/>
      <c r="S655" s="87"/>
      <c r="T655" s="21"/>
      <c r="U655" s="89"/>
      <c r="V655" s="22"/>
    </row>
    <row r="656" spans="1:22" x14ac:dyDescent="0.25">
      <c r="A656" s="84" t="s">
        <v>982</v>
      </c>
      <c r="B656" s="85" t="s">
        <v>42</v>
      </c>
      <c r="C656" s="85" t="s">
        <v>342</v>
      </c>
      <c r="D656" s="85" t="s">
        <v>1078</v>
      </c>
      <c r="E656" s="86" t="s">
        <v>996</v>
      </c>
      <c r="F656" s="85" t="s">
        <v>699</v>
      </c>
      <c r="G656" s="85" t="s">
        <v>310</v>
      </c>
      <c r="H656" s="85" t="s">
        <v>9</v>
      </c>
      <c r="I656" s="85" t="s">
        <v>258</v>
      </c>
      <c r="J656" s="86" t="s">
        <v>311</v>
      </c>
      <c r="K656" s="85" t="s">
        <v>417</v>
      </c>
      <c r="L656" s="87">
        <v>1.6</v>
      </c>
      <c r="M656" s="87">
        <f t="shared" ref="M656:M668" si="171">L656*VLOOKUP(H656,dagsoorttabel1,2,FALSE)</f>
        <v>1.64</v>
      </c>
      <c r="N656" s="88">
        <f>prodnorm45</f>
        <v>0</v>
      </c>
      <c r="O656" s="33">
        <f>dagwerk45</f>
        <v>0</v>
      </c>
      <c r="P656" s="85" t="s">
        <v>109</v>
      </c>
      <c r="Q656" s="21">
        <f>uurtarief45</f>
        <v>0</v>
      </c>
      <c r="R656" s="87" t="e">
        <f t="shared" ref="R656:R668" si="172">IF(ISBLANK(N656),0,M656/ROUND(N656,4))</f>
        <v>#DIV/0!</v>
      </c>
      <c r="S656" s="87" t="e">
        <f t="shared" ref="S656:S668" si="173">IF(ISBLANK(N656),0,R656*ROUND(O656,2))</f>
        <v>#DIV/0!</v>
      </c>
      <c r="T656" s="21" t="e">
        <f t="shared" ref="T656:T668" si="174">ROUND(Q656,2)*R656</f>
        <v>#DIV/0!</v>
      </c>
      <c r="U656" s="87" t="e">
        <f t="shared" ref="U656:U668" si="175">R656*dagenperjaar1</f>
        <v>#DIV/0!</v>
      </c>
      <c r="V656" s="22" t="e">
        <f t="shared" ref="V656:V668" si="176">U656*ROUND(Q656,2)</f>
        <v>#DIV/0!</v>
      </c>
    </row>
    <row r="657" spans="1:22" x14ac:dyDescent="0.25">
      <c r="A657" s="84" t="s">
        <v>982</v>
      </c>
      <c r="B657" s="85" t="s">
        <v>42</v>
      </c>
      <c r="C657" s="85" t="s">
        <v>342</v>
      </c>
      <c r="D657" s="85" t="s">
        <v>1079</v>
      </c>
      <c r="E657" s="86" t="s">
        <v>993</v>
      </c>
      <c r="F657" s="85" t="s">
        <v>699</v>
      </c>
      <c r="G657" s="85" t="s">
        <v>296</v>
      </c>
      <c r="H657" s="85" t="s">
        <v>14</v>
      </c>
      <c r="I657" s="85" t="s">
        <v>258</v>
      </c>
      <c r="J657" s="86" t="s">
        <v>297</v>
      </c>
      <c r="K657" s="85" t="s">
        <v>386</v>
      </c>
      <c r="L657" s="87">
        <v>65</v>
      </c>
      <c r="M657" s="87">
        <f t="shared" si="171"/>
        <v>26.65</v>
      </c>
      <c r="N657" s="88">
        <f>prodnorm34</f>
        <v>0</v>
      </c>
      <c r="O657" s="33">
        <f>dagwerk34</f>
        <v>0</v>
      </c>
      <c r="P657" s="85" t="s">
        <v>109</v>
      </c>
      <c r="Q657" s="21">
        <f>uurtarief34</f>
        <v>0</v>
      </c>
      <c r="R657" s="87" t="e">
        <f t="shared" si="172"/>
        <v>#DIV/0!</v>
      </c>
      <c r="S657" s="87" t="e">
        <f t="shared" si="173"/>
        <v>#DIV/0!</v>
      </c>
      <c r="T657" s="21" t="e">
        <f t="shared" si="174"/>
        <v>#DIV/0!</v>
      </c>
      <c r="U657" s="87" t="e">
        <f t="shared" si="175"/>
        <v>#DIV/0!</v>
      </c>
      <c r="V657" s="22" t="e">
        <f t="shared" si="176"/>
        <v>#DIV/0!</v>
      </c>
    </row>
    <row r="658" spans="1:22" x14ac:dyDescent="0.25">
      <c r="A658" s="84" t="s">
        <v>982</v>
      </c>
      <c r="B658" s="85" t="s">
        <v>42</v>
      </c>
      <c r="C658" s="85" t="s">
        <v>342</v>
      </c>
      <c r="D658" s="85" t="s">
        <v>1080</v>
      </c>
      <c r="E658" s="86" t="s">
        <v>1081</v>
      </c>
      <c r="F658" s="85" t="s">
        <v>699</v>
      </c>
      <c r="G658" s="85" t="s">
        <v>296</v>
      </c>
      <c r="H658" s="85" t="s">
        <v>14</v>
      </c>
      <c r="I658" s="85" t="s">
        <v>258</v>
      </c>
      <c r="J658" s="86" t="s">
        <v>297</v>
      </c>
      <c r="K658" s="85" t="s">
        <v>346</v>
      </c>
      <c r="L658" s="87">
        <v>16</v>
      </c>
      <c r="M658" s="87">
        <f t="shared" si="171"/>
        <v>6.56</v>
      </c>
      <c r="N658" s="88">
        <f>prodnorm34</f>
        <v>0</v>
      </c>
      <c r="O658" s="33">
        <f>dagwerk34</f>
        <v>0</v>
      </c>
      <c r="P658" s="85" t="s">
        <v>109</v>
      </c>
      <c r="Q658" s="21">
        <f>uurtarief34</f>
        <v>0</v>
      </c>
      <c r="R658" s="87" t="e">
        <f t="shared" si="172"/>
        <v>#DIV/0!</v>
      </c>
      <c r="S658" s="87" t="e">
        <f t="shared" si="173"/>
        <v>#DIV/0!</v>
      </c>
      <c r="T658" s="21" t="e">
        <f t="shared" si="174"/>
        <v>#DIV/0!</v>
      </c>
      <c r="U658" s="87" t="e">
        <f t="shared" si="175"/>
        <v>#DIV/0!</v>
      </c>
      <c r="V658" s="22" t="e">
        <f t="shared" si="176"/>
        <v>#DIV/0!</v>
      </c>
    </row>
    <row r="659" spans="1:22" x14ac:dyDescent="0.25">
      <c r="A659" s="84" t="s">
        <v>982</v>
      </c>
      <c r="B659" s="85" t="s">
        <v>42</v>
      </c>
      <c r="C659" s="85" t="s">
        <v>342</v>
      </c>
      <c r="D659" s="85" t="s">
        <v>1082</v>
      </c>
      <c r="E659" s="86" t="s">
        <v>1083</v>
      </c>
      <c r="F659" s="85" t="s">
        <v>345</v>
      </c>
      <c r="G659" s="85" t="s">
        <v>300</v>
      </c>
      <c r="H659" s="85" t="s">
        <v>14</v>
      </c>
      <c r="I659" s="85" t="s">
        <v>258</v>
      </c>
      <c r="J659" s="86" t="s">
        <v>301</v>
      </c>
      <c r="K659" s="85" t="s">
        <v>386</v>
      </c>
      <c r="L659" s="87">
        <v>70.2</v>
      </c>
      <c r="M659" s="87">
        <f t="shared" si="171"/>
        <v>28.782</v>
      </c>
      <c r="N659" s="88">
        <f>prodnorm37</f>
        <v>0</v>
      </c>
      <c r="O659" s="33">
        <f>dagwerk37</f>
        <v>0</v>
      </c>
      <c r="P659" s="85" t="s">
        <v>109</v>
      </c>
      <c r="Q659" s="21">
        <f>uurtarief37</f>
        <v>0</v>
      </c>
      <c r="R659" s="87" t="e">
        <f t="shared" si="172"/>
        <v>#DIV/0!</v>
      </c>
      <c r="S659" s="87" t="e">
        <f t="shared" si="173"/>
        <v>#DIV/0!</v>
      </c>
      <c r="T659" s="21" t="e">
        <f t="shared" si="174"/>
        <v>#DIV/0!</v>
      </c>
      <c r="U659" s="87" t="e">
        <f t="shared" si="175"/>
        <v>#DIV/0!</v>
      </c>
      <c r="V659" s="22" t="e">
        <f t="shared" si="176"/>
        <v>#DIV/0!</v>
      </c>
    </row>
    <row r="660" spans="1:22" x14ac:dyDescent="0.25">
      <c r="A660" s="84" t="s">
        <v>982</v>
      </c>
      <c r="B660" s="85" t="s">
        <v>42</v>
      </c>
      <c r="C660" s="85" t="s">
        <v>342</v>
      </c>
      <c r="D660" s="85" t="s">
        <v>1084</v>
      </c>
      <c r="E660" s="86" t="s">
        <v>590</v>
      </c>
      <c r="F660" s="85" t="s">
        <v>349</v>
      </c>
      <c r="G660" s="85" t="s">
        <v>260</v>
      </c>
      <c r="H660" s="85" t="s">
        <v>14</v>
      </c>
      <c r="I660" s="85" t="s">
        <v>258</v>
      </c>
      <c r="J660" s="86" t="s">
        <v>261</v>
      </c>
      <c r="K660" s="85" t="s">
        <v>365</v>
      </c>
      <c r="L660" s="87">
        <v>16</v>
      </c>
      <c r="M660" s="87">
        <f t="shared" si="171"/>
        <v>6.56</v>
      </c>
      <c r="N660" s="88">
        <f>prodnorm7</f>
        <v>0</v>
      </c>
      <c r="O660" s="33">
        <f>dagwerk7</f>
        <v>0</v>
      </c>
      <c r="P660" s="85" t="s">
        <v>109</v>
      </c>
      <c r="Q660" s="21">
        <f>uurtarief7</f>
        <v>0</v>
      </c>
      <c r="R660" s="87" t="e">
        <f t="shared" si="172"/>
        <v>#DIV/0!</v>
      </c>
      <c r="S660" s="87" t="e">
        <f t="shared" si="173"/>
        <v>#DIV/0!</v>
      </c>
      <c r="T660" s="21" t="e">
        <f t="shared" si="174"/>
        <v>#DIV/0!</v>
      </c>
      <c r="U660" s="87" t="e">
        <f t="shared" si="175"/>
        <v>#DIV/0!</v>
      </c>
      <c r="V660" s="22" t="e">
        <f t="shared" si="176"/>
        <v>#DIV/0!</v>
      </c>
    </row>
    <row r="661" spans="1:22" x14ac:dyDescent="0.25">
      <c r="A661" s="84" t="s">
        <v>982</v>
      </c>
      <c r="B661" s="85" t="s">
        <v>42</v>
      </c>
      <c r="C661" s="85" t="s">
        <v>342</v>
      </c>
      <c r="D661" s="85" t="s">
        <v>1085</v>
      </c>
      <c r="E661" s="86" t="s">
        <v>1086</v>
      </c>
      <c r="F661" s="85" t="s">
        <v>1087</v>
      </c>
      <c r="G661" s="85" t="s">
        <v>300</v>
      </c>
      <c r="H661" s="85" t="s">
        <v>14</v>
      </c>
      <c r="I661" s="85" t="s">
        <v>258</v>
      </c>
      <c r="J661" s="86" t="s">
        <v>301</v>
      </c>
      <c r="K661" s="85" t="s">
        <v>386</v>
      </c>
      <c r="L661" s="87">
        <v>99.39</v>
      </c>
      <c r="M661" s="87">
        <f t="shared" si="171"/>
        <v>40.749899999999997</v>
      </c>
      <c r="N661" s="88">
        <f t="shared" ref="N661:N666" si="177">prodnorm37</f>
        <v>0</v>
      </c>
      <c r="O661" s="33">
        <f t="shared" ref="O661:O666" si="178">dagwerk37</f>
        <v>0</v>
      </c>
      <c r="P661" s="85" t="s">
        <v>109</v>
      </c>
      <c r="Q661" s="21">
        <f t="shared" ref="Q661:Q666" si="179">uurtarief37</f>
        <v>0</v>
      </c>
      <c r="R661" s="87" t="e">
        <f t="shared" si="172"/>
        <v>#DIV/0!</v>
      </c>
      <c r="S661" s="87" t="e">
        <f t="shared" si="173"/>
        <v>#DIV/0!</v>
      </c>
      <c r="T661" s="21" t="e">
        <f t="shared" si="174"/>
        <v>#DIV/0!</v>
      </c>
      <c r="U661" s="87" t="e">
        <f t="shared" si="175"/>
        <v>#DIV/0!</v>
      </c>
      <c r="V661" s="22" t="e">
        <f t="shared" si="176"/>
        <v>#DIV/0!</v>
      </c>
    </row>
    <row r="662" spans="1:22" x14ac:dyDescent="0.25">
      <c r="A662" s="84" t="s">
        <v>982</v>
      </c>
      <c r="B662" s="85" t="s">
        <v>42</v>
      </c>
      <c r="C662" s="85" t="s">
        <v>342</v>
      </c>
      <c r="D662" s="85" t="s">
        <v>1088</v>
      </c>
      <c r="E662" s="86" t="s">
        <v>1089</v>
      </c>
      <c r="F662" s="85" t="s">
        <v>1087</v>
      </c>
      <c r="G662" s="85" t="s">
        <v>300</v>
      </c>
      <c r="H662" s="85" t="s">
        <v>14</v>
      </c>
      <c r="I662" s="85" t="s">
        <v>258</v>
      </c>
      <c r="J662" s="86" t="s">
        <v>301</v>
      </c>
      <c r="K662" s="85" t="s">
        <v>386</v>
      </c>
      <c r="L662" s="87">
        <v>99.39</v>
      </c>
      <c r="M662" s="87">
        <f t="shared" si="171"/>
        <v>40.749899999999997</v>
      </c>
      <c r="N662" s="88">
        <f t="shared" si="177"/>
        <v>0</v>
      </c>
      <c r="O662" s="33">
        <f t="shared" si="178"/>
        <v>0</v>
      </c>
      <c r="P662" s="85" t="s">
        <v>109</v>
      </c>
      <c r="Q662" s="21">
        <f t="shared" si="179"/>
        <v>0</v>
      </c>
      <c r="R662" s="87" t="e">
        <f t="shared" si="172"/>
        <v>#DIV/0!</v>
      </c>
      <c r="S662" s="87" t="e">
        <f t="shared" si="173"/>
        <v>#DIV/0!</v>
      </c>
      <c r="T662" s="21" t="e">
        <f t="shared" si="174"/>
        <v>#DIV/0!</v>
      </c>
      <c r="U662" s="87" t="e">
        <f t="shared" si="175"/>
        <v>#DIV/0!</v>
      </c>
      <c r="V662" s="22" t="e">
        <f t="shared" si="176"/>
        <v>#DIV/0!</v>
      </c>
    </row>
    <row r="663" spans="1:22" x14ac:dyDescent="0.25">
      <c r="A663" s="84" t="s">
        <v>982</v>
      </c>
      <c r="B663" s="85" t="s">
        <v>42</v>
      </c>
      <c r="C663" s="85" t="s">
        <v>342</v>
      </c>
      <c r="D663" s="85" t="s">
        <v>1090</v>
      </c>
      <c r="E663" s="86" t="s">
        <v>1091</v>
      </c>
      <c r="F663" s="85" t="s">
        <v>1087</v>
      </c>
      <c r="G663" s="85" t="s">
        <v>300</v>
      </c>
      <c r="H663" s="85" t="s">
        <v>14</v>
      </c>
      <c r="I663" s="85" t="s">
        <v>258</v>
      </c>
      <c r="J663" s="86" t="s">
        <v>301</v>
      </c>
      <c r="K663" s="85" t="s">
        <v>386</v>
      </c>
      <c r="L663" s="87">
        <v>99.39</v>
      </c>
      <c r="M663" s="87">
        <f t="shared" si="171"/>
        <v>40.749899999999997</v>
      </c>
      <c r="N663" s="88">
        <f t="shared" si="177"/>
        <v>0</v>
      </c>
      <c r="O663" s="33">
        <f t="shared" si="178"/>
        <v>0</v>
      </c>
      <c r="P663" s="85" t="s">
        <v>109</v>
      </c>
      <c r="Q663" s="21">
        <f t="shared" si="179"/>
        <v>0</v>
      </c>
      <c r="R663" s="87" t="e">
        <f t="shared" si="172"/>
        <v>#DIV/0!</v>
      </c>
      <c r="S663" s="87" t="e">
        <f t="shared" si="173"/>
        <v>#DIV/0!</v>
      </c>
      <c r="T663" s="21" t="e">
        <f t="shared" si="174"/>
        <v>#DIV/0!</v>
      </c>
      <c r="U663" s="87" t="e">
        <f t="shared" si="175"/>
        <v>#DIV/0!</v>
      </c>
      <c r="V663" s="22" t="e">
        <f t="shared" si="176"/>
        <v>#DIV/0!</v>
      </c>
    </row>
    <row r="664" spans="1:22" x14ac:dyDescent="0.25">
      <c r="A664" s="84" t="s">
        <v>982</v>
      </c>
      <c r="B664" s="85" t="s">
        <v>42</v>
      </c>
      <c r="C664" s="85" t="s">
        <v>342</v>
      </c>
      <c r="D664" s="85" t="s">
        <v>1092</v>
      </c>
      <c r="E664" s="86" t="s">
        <v>1093</v>
      </c>
      <c r="F664" s="85" t="s">
        <v>1087</v>
      </c>
      <c r="G664" s="85" t="s">
        <v>300</v>
      </c>
      <c r="H664" s="85" t="s">
        <v>14</v>
      </c>
      <c r="I664" s="85" t="s">
        <v>258</v>
      </c>
      <c r="J664" s="86" t="s">
        <v>301</v>
      </c>
      <c r="K664" s="85" t="s">
        <v>386</v>
      </c>
      <c r="L664" s="87">
        <v>99.39</v>
      </c>
      <c r="M664" s="87">
        <f t="shared" si="171"/>
        <v>40.749899999999997</v>
      </c>
      <c r="N664" s="88">
        <f t="shared" si="177"/>
        <v>0</v>
      </c>
      <c r="O664" s="33">
        <f t="shared" si="178"/>
        <v>0</v>
      </c>
      <c r="P664" s="85" t="s">
        <v>109</v>
      </c>
      <c r="Q664" s="21">
        <f t="shared" si="179"/>
        <v>0</v>
      </c>
      <c r="R664" s="87" t="e">
        <f t="shared" si="172"/>
        <v>#DIV/0!</v>
      </c>
      <c r="S664" s="87" t="e">
        <f t="shared" si="173"/>
        <v>#DIV/0!</v>
      </c>
      <c r="T664" s="21" t="e">
        <f t="shared" si="174"/>
        <v>#DIV/0!</v>
      </c>
      <c r="U664" s="87" t="e">
        <f t="shared" si="175"/>
        <v>#DIV/0!</v>
      </c>
      <c r="V664" s="22" t="e">
        <f t="shared" si="176"/>
        <v>#DIV/0!</v>
      </c>
    </row>
    <row r="665" spans="1:22" x14ac:dyDescent="0.25">
      <c r="A665" s="84" t="s">
        <v>982</v>
      </c>
      <c r="B665" s="85" t="s">
        <v>42</v>
      </c>
      <c r="C665" s="85" t="s">
        <v>342</v>
      </c>
      <c r="D665" s="85" t="s">
        <v>1094</v>
      </c>
      <c r="E665" s="86" t="s">
        <v>1095</v>
      </c>
      <c r="F665" s="85" t="s">
        <v>985</v>
      </c>
      <c r="G665" s="85" t="s">
        <v>300</v>
      </c>
      <c r="H665" s="85" t="s">
        <v>14</v>
      </c>
      <c r="I665" s="85" t="s">
        <v>258</v>
      </c>
      <c r="J665" s="86" t="s">
        <v>301</v>
      </c>
      <c r="K665" s="85" t="s">
        <v>346</v>
      </c>
      <c r="L665" s="87">
        <v>28.1</v>
      </c>
      <c r="M665" s="87">
        <f t="shared" si="171"/>
        <v>11.520999999999999</v>
      </c>
      <c r="N665" s="88">
        <f t="shared" si="177"/>
        <v>0</v>
      </c>
      <c r="O665" s="33">
        <f t="shared" si="178"/>
        <v>0</v>
      </c>
      <c r="P665" s="85" t="s">
        <v>109</v>
      </c>
      <c r="Q665" s="21">
        <f t="shared" si="179"/>
        <v>0</v>
      </c>
      <c r="R665" s="87" t="e">
        <f t="shared" si="172"/>
        <v>#DIV/0!</v>
      </c>
      <c r="S665" s="87" t="e">
        <f t="shared" si="173"/>
        <v>#DIV/0!</v>
      </c>
      <c r="T665" s="21" t="e">
        <f t="shared" si="174"/>
        <v>#DIV/0!</v>
      </c>
      <c r="U665" s="87" t="e">
        <f t="shared" si="175"/>
        <v>#DIV/0!</v>
      </c>
      <c r="V665" s="22" t="e">
        <f t="shared" si="176"/>
        <v>#DIV/0!</v>
      </c>
    </row>
    <row r="666" spans="1:22" x14ac:dyDescent="0.25">
      <c r="A666" s="84" t="s">
        <v>982</v>
      </c>
      <c r="B666" s="85" t="s">
        <v>42</v>
      </c>
      <c r="C666" s="85" t="s">
        <v>342</v>
      </c>
      <c r="D666" s="85" t="s">
        <v>1096</v>
      </c>
      <c r="E666" s="86" t="s">
        <v>1097</v>
      </c>
      <c r="F666" s="85" t="s">
        <v>345</v>
      </c>
      <c r="G666" s="85" t="s">
        <v>300</v>
      </c>
      <c r="H666" s="85" t="s">
        <v>14</v>
      </c>
      <c r="I666" s="85" t="s">
        <v>258</v>
      </c>
      <c r="J666" s="86" t="s">
        <v>301</v>
      </c>
      <c r="K666" s="85" t="s">
        <v>386</v>
      </c>
      <c r="L666" s="87">
        <v>95.3</v>
      </c>
      <c r="M666" s="87">
        <f t="shared" si="171"/>
        <v>39.072999999999993</v>
      </c>
      <c r="N666" s="88">
        <f t="shared" si="177"/>
        <v>0</v>
      </c>
      <c r="O666" s="33">
        <f t="shared" si="178"/>
        <v>0</v>
      </c>
      <c r="P666" s="85" t="s">
        <v>109</v>
      </c>
      <c r="Q666" s="21">
        <f t="shared" si="179"/>
        <v>0</v>
      </c>
      <c r="R666" s="87" t="e">
        <f t="shared" si="172"/>
        <v>#DIV/0!</v>
      </c>
      <c r="S666" s="87" t="e">
        <f t="shared" si="173"/>
        <v>#DIV/0!</v>
      </c>
      <c r="T666" s="21" t="e">
        <f t="shared" si="174"/>
        <v>#DIV/0!</v>
      </c>
      <c r="U666" s="87" t="e">
        <f t="shared" si="175"/>
        <v>#DIV/0!</v>
      </c>
      <c r="V666" s="22" t="e">
        <f t="shared" si="176"/>
        <v>#DIV/0!</v>
      </c>
    </row>
    <row r="667" spans="1:22" x14ac:dyDescent="0.25">
      <c r="A667" s="84" t="s">
        <v>982</v>
      </c>
      <c r="B667" s="85" t="s">
        <v>42</v>
      </c>
      <c r="C667" s="85" t="s">
        <v>342</v>
      </c>
      <c r="D667" s="85" t="s">
        <v>1098</v>
      </c>
      <c r="E667" s="86" t="s">
        <v>1099</v>
      </c>
      <c r="F667" s="85" t="s">
        <v>345</v>
      </c>
      <c r="G667" s="85" t="s">
        <v>296</v>
      </c>
      <c r="H667" s="85" t="s">
        <v>14</v>
      </c>
      <c r="I667" s="85" t="s">
        <v>258</v>
      </c>
      <c r="J667" s="86" t="s">
        <v>297</v>
      </c>
      <c r="K667" s="85" t="s">
        <v>386</v>
      </c>
      <c r="L667" s="87">
        <v>27.8</v>
      </c>
      <c r="M667" s="87">
        <f t="shared" si="171"/>
        <v>11.398</v>
      </c>
      <c r="N667" s="88">
        <f>prodnorm34</f>
        <v>0</v>
      </c>
      <c r="O667" s="33">
        <f>dagwerk34</f>
        <v>0</v>
      </c>
      <c r="P667" s="85" t="s">
        <v>109</v>
      </c>
      <c r="Q667" s="21">
        <f>uurtarief34</f>
        <v>0</v>
      </c>
      <c r="R667" s="87" t="e">
        <f t="shared" si="172"/>
        <v>#DIV/0!</v>
      </c>
      <c r="S667" s="87" t="e">
        <f t="shared" si="173"/>
        <v>#DIV/0!</v>
      </c>
      <c r="T667" s="21" t="e">
        <f t="shared" si="174"/>
        <v>#DIV/0!</v>
      </c>
      <c r="U667" s="87" t="e">
        <f t="shared" si="175"/>
        <v>#DIV/0!</v>
      </c>
      <c r="V667" s="22" t="e">
        <f t="shared" si="176"/>
        <v>#DIV/0!</v>
      </c>
    </row>
    <row r="668" spans="1:22" x14ac:dyDescent="0.25">
      <c r="A668" s="84" t="s">
        <v>982</v>
      </c>
      <c r="B668" s="85" t="s">
        <v>42</v>
      </c>
      <c r="C668" s="85" t="s">
        <v>342</v>
      </c>
      <c r="D668" s="85" t="s">
        <v>1100</v>
      </c>
      <c r="E668" s="86" t="s">
        <v>665</v>
      </c>
      <c r="F668" s="85" t="s">
        <v>345</v>
      </c>
      <c r="G668" s="85" t="s">
        <v>304</v>
      </c>
      <c r="H668" s="85" t="s">
        <v>14</v>
      </c>
      <c r="I668" s="85" t="s">
        <v>258</v>
      </c>
      <c r="J668" s="86" t="s">
        <v>305</v>
      </c>
      <c r="K668" s="85" t="s">
        <v>386</v>
      </c>
      <c r="L668" s="87">
        <v>37.9</v>
      </c>
      <c r="M668" s="87">
        <f t="shared" si="171"/>
        <v>15.538999999999998</v>
      </c>
      <c r="N668" s="88">
        <f>prodnorm41</f>
        <v>0</v>
      </c>
      <c r="O668" s="33">
        <f>dagwerk41</f>
        <v>0</v>
      </c>
      <c r="P668" s="85" t="s">
        <v>109</v>
      </c>
      <c r="Q668" s="21">
        <f>uurtarief41</f>
        <v>0</v>
      </c>
      <c r="R668" s="87" t="e">
        <f t="shared" si="172"/>
        <v>#DIV/0!</v>
      </c>
      <c r="S668" s="87" t="e">
        <f t="shared" si="173"/>
        <v>#DIV/0!</v>
      </c>
      <c r="T668" s="21" t="e">
        <f t="shared" si="174"/>
        <v>#DIV/0!</v>
      </c>
      <c r="U668" s="87" t="e">
        <f t="shared" si="175"/>
        <v>#DIV/0!</v>
      </c>
      <c r="V668" s="22" t="e">
        <f t="shared" si="176"/>
        <v>#DIV/0!</v>
      </c>
    </row>
    <row r="669" spans="1:22" x14ac:dyDescent="0.25">
      <c r="A669" s="84" t="s">
        <v>982</v>
      </c>
      <c r="B669" s="85" t="s">
        <v>42</v>
      </c>
      <c r="C669" s="85" t="s">
        <v>342</v>
      </c>
      <c r="D669" s="85" t="s">
        <v>1101</v>
      </c>
      <c r="E669" s="86" t="s">
        <v>570</v>
      </c>
      <c r="F669" s="85" t="s">
        <v>1102</v>
      </c>
      <c r="G669" s="85" t="s">
        <v>350</v>
      </c>
      <c r="H669" s="85"/>
      <c r="I669" s="85"/>
      <c r="J669" s="85"/>
      <c r="K669" s="85" t="s">
        <v>42</v>
      </c>
      <c r="L669" s="87">
        <v>0</v>
      </c>
      <c r="M669" s="87"/>
      <c r="N669" s="88"/>
      <c r="O669" s="33"/>
      <c r="P669" s="85"/>
      <c r="Q669" s="21"/>
      <c r="R669" s="87"/>
      <c r="S669" s="87"/>
      <c r="T669" s="21"/>
      <c r="U669" s="89"/>
      <c r="V669" s="22"/>
    </row>
    <row r="670" spans="1:22" x14ac:dyDescent="0.25">
      <c r="A670" s="84" t="s">
        <v>982</v>
      </c>
      <c r="B670" s="85" t="s">
        <v>42</v>
      </c>
      <c r="C670" s="85" t="s">
        <v>342</v>
      </c>
      <c r="D670" s="85" t="s">
        <v>1103</v>
      </c>
      <c r="E670" s="86" t="s">
        <v>864</v>
      </c>
      <c r="F670" s="85" t="s">
        <v>349</v>
      </c>
      <c r="G670" s="85" t="s">
        <v>282</v>
      </c>
      <c r="H670" s="85" t="s">
        <v>9</v>
      </c>
      <c r="I670" s="85" t="s">
        <v>258</v>
      </c>
      <c r="J670" s="86" t="s">
        <v>283</v>
      </c>
      <c r="K670" s="85" t="s">
        <v>386</v>
      </c>
      <c r="L670" s="87">
        <v>40</v>
      </c>
      <c r="M670" s="87">
        <f>L670*VLOOKUP(H670,dagsoorttabel1,2,FALSE)</f>
        <v>41</v>
      </c>
      <c r="N670" s="88">
        <f>prodnorm24</f>
        <v>0</v>
      </c>
      <c r="O670" s="33">
        <f>dagwerk24</f>
        <v>0</v>
      </c>
      <c r="P670" s="85" t="s">
        <v>109</v>
      </c>
      <c r="Q670" s="21">
        <f>uurtarief24</f>
        <v>0</v>
      </c>
      <c r="R670" s="87" t="e">
        <f>IF(ISBLANK(N670),0,M670/ROUND(N670,4))</f>
        <v>#DIV/0!</v>
      </c>
      <c r="S670" s="87" t="e">
        <f>IF(ISBLANK(N670),0,R670*ROUND(O670,2))</f>
        <v>#DIV/0!</v>
      </c>
      <c r="T670" s="21" t="e">
        <f>ROUND(Q670,2)*R670</f>
        <v>#DIV/0!</v>
      </c>
      <c r="U670" s="87" t="e">
        <f>R670*dagenperjaar1</f>
        <v>#DIV/0!</v>
      </c>
      <c r="V670" s="22" t="e">
        <f>U670*ROUND(Q670,2)</f>
        <v>#DIV/0!</v>
      </c>
    </row>
    <row r="671" spans="1:22" x14ac:dyDescent="0.25">
      <c r="A671" s="84" t="s">
        <v>982</v>
      </c>
      <c r="B671" s="85" t="s">
        <v>42</v>
      </c>
      <c r="C671" s="85" t="s">
        <v>342</v>
      </c>
      <c r="D671" s="85" t="s">
        <v>1104</v>
      </c>
      <c r="E671" s="86" t="s">
        <v>373</v>
      </c>
      <c r="F671" s="85" t="s">
        <v>985</v>
      </c>
      <c r="G671" s="85" t="s">
        <v>312</v>
      </c>
      <c r="H671" s="85" t="s">
        <v>9</v>
      </c>
      <c r="I671" s="85" t="s">
        <v>258</v>
      </c>
      <c r="J671" s="86" t="s">
        <v>313</v>
      </c>
      <c r="K671" s="85" t="s">
        <v>346</v>
      </c>
      <c r="L671" s="87">
        <v>152.1</v>
      </c>
      <c r="M671" s="87">
        <f>L671*VLOOKUP(H671,dagsoorttabel1,2,FALSE)</f>
        <v>155.90249999999997</v>
      </c>
      <c r="N671" s="88">
        <f>prodnorm46</f>
        <v>0</v>
      </c>
      <c r="O671" s="33">
        <f>dagwerk46</f>
        <v>0</v>
      </c>
      <c r="P671" s="85" t="s">
        <v>109</v>
      </c>
      <c r="Q671" s="21">
        <f>uurtarief46</f>
        <v>0</v>
      </c>
      <c r="R671" s="87" t="e">
        <f>IF(ISBLANK(N671),0,M671/ROUND(N671,4))</f>
        <v>#DIV/0!</v>
      </c>
      <c r="S671" s="87" t="e">
        <f>IF(ISBLANK(N671),0,R671*ROUND(O671,2))</f>
        <v>#DIV/0!</v>
      </c>
      <c r="T671" s="21" t="e">
        <f>ROUND(Q671,2)*R671</f>
        <v>#DIV/0!</v>
      </c>
      <c r="U671" s="87" t="e">
        <f>R671*dagenperjaar1</f>
        <v>#DIV/0!</v>
      </c>
      <c r="V671" s="22" t="e">
        <f>U671*ROUND(Q671,2)</f>
        <v>#DIV/0!</v>
      </c>
    </row>
    <row r="672" spans="1:22" x14ac:dyDescent="0.25">
      <c r="A672" s="84" t="s">
        <v>982</v>
      </c>
      <c r="B672" s="85" t="s">
        <v>42</v>
      </c>
      <c r="C672" s="85" t="s">
        <v>342</v>
      </c>
      <c r="D672" s="85" t="s">
        <v>1105</v>
      </c>
      <c r="E672" s="86" t="s">
        <v>864</v>
      </c>
      <c r="F672" s="85" t="s">
        <v>1054</v>
      </c>
      <c r="G672" s="85" t="s">
        <v>282</v>
      </c>
      <c r="H672" s="85" t="s">
        <v>9</v>
      </c>
      <c r="I672" s="85" t="s">
        <v>258</v>
      </c>
      <c r="J672" s="86" t="s">
        <v>283</v>
      </c>
      <c r="K672" s="85" t="s">
        <v>386</v>
      </c>
      <c r="L672" s="87">
        <v>111.5</v>
      </c>
      <c r="M672" s="87">
        <f>L672*VLOOKUP(H672,dagsoorttabel1,2,FALSE)</f>
        <v>114.28749999999999</v>
      </c>
      <c r="N672" s="88">
        <f>prodnorm24</f>
        <v>0</v>
      </c>
      <c r="O672" s="33">
        <f>dagwerk24</f>
        <v>0</v>
      </c>
      <c r="P672" s="85" t="s">
        <v>109</v>
      </c>
      <c r="Q672" s="21">
        <f>uurtarief24</f>
        <v>0</v>
      </c>
      <c r="R672" s="87" t="e">
        <f>IF(ISBLANK(N672),0,M672/ROUND(N672,4))</f>
        <v>#DIV/0!</v>
      </c>
      <c r="S672" s="87" t="e">
        <f>IF(ISBLANK(N672),0,R672*ROUND(O672,2))</f>
        <v>#DIV/0!</v>
      </c>
      <c r="T672" s="21" t="e">
        <f>ROUND(Q672,2)*R672</f>
        <v>#DIV/0!</v>
      </c>
      <c r="U672" s="87" t="e">
        <f>R672*dagenperjaar1</f>
        <v>#DIV/0!</v>
      </c>
      <c r="V672" s="22" t="e">
        <f>U672*ROUND(Q672,2)</f>
        <v>#DIV/0!</v>
      </c>
    </row>
    <row r="673" spans="1:22" x14ac:dyDescent="0.25">
      <c r="A673" s="84" t="s">
        <v>982</v>
      </c>
      <c r="B673" s="85" t="s">
        <v>42</v>
      </c>
      <c r="C673" s="85" t="s">
        <v>342</v>
      </c>
      <c r="D673" s="85" t="s">
        <v>1106</v>
      </c>
      <c r="E673" s="86" t="s">
        <v>570</v>
      </c>
      <c r="F673" s="85" t="s">
        <v>42</v>
      </c>
      <c r="G673" s="85" t="s">
        <v>350</v>
      </c>
      <c r="H673" s="85"/>
      <c r="I673" s="85"/>
      <c r="J673" s="85"/>
      <c r="K673" s="85" t="s">
        <v>42</v>
      </c>
      <c r="L673" s="87">
        <v>0</v>
      </c>
      <c r="M673" s="87"/>
      <c r="N673" s="88"/>
      <c r="O673" s="33"/>
      <c r="P673" s="85"/>
      <c r="Q673" s="21"/>
      <c r="R673" s="87"/>
      <c r="S673" s="87"/>
      <c r="T673" s="21"/>
      <c r="U673" s="89"/>
      <c r="V673" s="22"/>
    </row>
    <row r="674" spans="1:22" x14ac:dyDescent="0.25">
      <c r="A674" s="84" t="s">
        <v>982</v>
      </c>
      <c r="B674" s="85" t="s">
        <v>42</v>
      </c>
      <c r="C674" s="85" t="s">
        <v>342</v>
      </c>
      <c r="D674" s="85" t="s">
        <v>1107</v>
      </c>
      <c r="E674" s="86" t="s">
        <v>570</v>
      </c>
      <c r="F674" s="85" t="s">
        <v>42</v>
      </c>
      <c r="G674" s="85" t="s">
        <v>350</v>
      </c>
      <c r="H674" s="85"/>
      <c r="I674" s="85"/>
      <c r="J674" s="85"/>
      <c r="K674" s="85" t="s">
        <v>42</v>
      </c>
      <c r="L674" s="87">
        <v>0</v>
      </c>
      <c r="M674" s="87"/>
      <c r="N674" s="88"/>
      <c r="O674" s="33"/>
      <c r="P674" s="85"/>
      <c r="Q674" s="21"/>
      <c r="R674" s="87"/>
      <c r="S674" s="87"/>
      <c r="T674" s="21"/>
      <c r="U674" s="89"/>
      <c r="V674" s="22"/>
    </row>
    <row r="675" spans="1:22" x14ac:dyDescent="0.25">
      <c r="A675" s="84" t="s">
        <v>982</v>
      </c>
      <c r="B675" s="85" t="s">
        <v>42</v>
      </c>
      <c r="C675" s="85" t="s">
        <v>342</v>
      </c>
      <c r="D675" s="85" t="s">
        <v>1108</v>
      </c>
      <c r="E675" s="86" t="s">
        <v>864</v>
      </c>
      <c r="F675" s="85" t="s">
        <v>1054</v>
      </c>
      <c r="G675" s="85" t="s">
        <v>282</v>
      </c>
      <c r="H675" s="85" t="s">
        <v>9</v>
      </c>
      <c r="I675" s="85" t="s">
        <v>258</v>
      </c>
      <c r="J675" s="86" t="s">
        <v>283</v>
      </c>
      <c r="K675" s="85" t="s">
        <v>386</v>
      </c>
      <c r="L675" s="87">
        <v>111.5</v>
      </c>
      <c r="M675" s="87">
        <f>L675*VLOOKUP(H675,dagsoorttabel1,2,FALSE)</f>
        <v>114.28749999999999</v>
      </c>
      <c r="N675" s="88">
        <f>prodnorm24</f>
        <v>0</v>
      </c>
      <c r="O675" s="33">
        <f>dagwerk24</f>
        <v>0</v>
      </c>
      <c r="P675" s="85" t="s">
        <v>109</v>
      </c>
      <c r="Q675" s="21">
        <f>uurtarief24</f>
        <v>0</v>
      </c>
      <c r="R675" s="87" t="e">
        <f>IF(ISBLANK(N675),0,M675/ROUND(N675,4))</f>
        <v>#DIV/0!</v>
      </c>
      <c r="S675" s="87" t="e">
        <f>IF(ISBLANK(N675),0,R675*ROUND(O675,2))</f>
        <v>#DIV/0!</v>
      </c>
      <c r="T675" s="21" t="e">
        <f>ROUND(Q675,2)*R675</f>
        <v>#DIV/0!</v>
      </c>
      <c r="U675" s="87" t="e">
        <f>R675*dagenperjaar1</f>
        <v>#DIV/0!</v>
      </c>
      <c r="V675" s="22" t="e">
        <f>U675*ROUND(Q675,2)</f>
        <v>#DIV/0!</v>
      </c>
    </row>
    <row r="676" spans="1:22" x14ac:dyDescent="0.25">
      <c r="A676" s="84" t="s">
        <v>982</v>
      </c>
      <c r="B676" s="85" t="s">
        <v>42</v>
      </c>
      <c r="C676" s="85" t="s">
        <v>342</v>
      </c>
      <c r="D676" s="85" t="s">
        <v>1109</v>
      </c>
      <c r="E676" s="86" t="s">
        <v>570</v>
      </c>
      <c r="F676" s="85" t="s">
        <v>42</v>
      </c>
      <c r="G676" s="85" t="s">
        <v>350</v>
      </c>
      <c r="H676" s="85"/>
      <c r="I676" s="85"/>
      <c r="J676" s="85"/>
      <c r="K676" s="85" t="s">
        <v>42</v>
      </c>
      <c r="L676" s="87">
        <v>0</v>
      </c>
      <c r="M676" s="87"/>
      <c r="N676" s="88"/>
      <c r="O676" s="33"/>
      <c r="P676" s="85"/>
      <c r="Q676" s="21"/>
      <c r="R676" s="87"/>
      <c r="S676" s="87"/>
      <c r="T676" s="21"/>
      <c r="U676" s="89"/>
      <c r="V676" s="22"/>
    </row>
    <row r="677" spans="1:22" x14ac:dyDescent="0.25">
      <c r="A677" s="84" t="s">
        <v>982</v>
      </c>
      <c r="B677" s="85" t="s">
        <v>42</v>
      </c>
      <c r="C677" s="85" t="s">
        <v>342</v>
      </c>
      <c r="D677" s="85" t="s">
        <v>1110</v>
      </c>
      <c r="E677" s="86" t="s">
        <v>570</v>
      </c>
      <c r="F677" s="85" t="s">
        <v>42</v>
      </c>
      <c r="G677" s="85" t="s">
        <v>350</v>
      </c>
      <c r="H677" s="85"/>
      <c r="I677" s="85"/>
      <c r="J677" s="85"/>
      <c r="K677" s="85" t="s">
        <v>42</v>
      </c>
      <c r="L677" s="87">
        <v>0</v>
      </c>
      <c r="M677" s="87"/>
      <c r="N677" s="88"/>
      <c r="O677" s="33"/>
      <c r="P677" s="85"/>
      <c r="Q677" s="21"/>
      <c r="R677" s="87"/>
      <c r="S677" s="87"/>
      <c r="T677" s="21"/>
      <c r="U677" s="89"/>
      <c r="V677" s="22"/>
    </row>
    <row r="678" spans="1:22" x14ac:dyDescent="0.25">
      <c r="A678" s="84" t="s">
        <v>982</v>
      </c>
      <c r="B678" s="85" t="s">
        <v>42</v>
      </c>
      <c r="C678" s="85" t="s">
        <v>342</v>
      </c>
      <c r="D678" s="85" t="s">
        <v>1111</v>
      </c>
      <c r="E678" s="86" t="s">
        <v>1112</v>
      </c>
      <c r="F678" s="85" t="s">
        <v>1054</v>
      </c>
      <c r="G678" s="85" t="s">
        <v>304</v>
      </c>
      <c r="H678" s="85" t="s">
        <v>14</v>
      </c>
      <c r="I678" s="85" t="s">
        <v>258</v>
      </c>
      <c r="J678" s="86" t="s">
        <v>305</v>
      </c>
      <c r="K678" s="85" t="s">
        <v>386</v>
      </c>
      <c r="L678" s="87">
        <v>310</v>
      </c>
      <c r="M678" s="87">
        <f>L678*VLOOKUP(H678,dagsoorttabel1,2,FALSE)</f>
        <v>127.1</v>
      </c>
      <c r="N678" s="88">
        <f>prodnorm41</f>
        <v>0</v>
      </c>
      <c r="O678" s="33">
        <f>dagwerk41</f>
        <v>0</v>
      </c>
      <c r="P678" s="85" t="s">
        <v>109</v>
      </c>
      <c r="Q678" s="21">
        <f>uurtarief41</f>
        <v>0</v>
      </c>
      <c r="R678" s="87" t="e">
        <f>IF(ISBLANK(N678),0,M678/ROUND(N678,4))</f>
        <v>#DIV/0!</v>
      </c>
      <c r="S678" s="87" t="e">
        <f>IF(ISBLANK(N678),0,R678*ROUND(O678,2))</f>
        <v>#DIV/0!</v>
      </c>
      <c r="T678" s="21" t="e">
        <f>ROUND(Q678,2)*R678</f>
        <v>#DIV/0!</v>
      </c>
      <c r="U678" s="87" t="e">
        <f>R678*dagenperjaar1</f>
        <v>#DIV/0!</v>
      </c>
      <c r="V678" s="22" t="e">
        <f>U678*ROUND(Q678,2)</f>
        <v>#DIV/0!</v>
      </c>
    </row>
    <row r="679" spans="1:22" x14ac:dyDescent="0.25">
      <c r="A679" s="84" t="s">
        <v>982</v>
      </c>
      <c r="B679" s="85" t="s">
        <v>42</v>
      </c>
      <c r="C679" s="85" t="s">
        <v>342</v>
      </c>
      <c r="D679" s="85" t="s">
        <v>1113</v>
      </c>
      <c r="E679" s="86" t="s">
        <v>1114</v>
      </c>
      <c r="F679" s="85" t="s">
        <v>1115</v>
      </c>
      <c r="G679" s="85" t="s">
        <v>350</v>
      </c>
      <c r="H679" s="85"/>
      <c r="I679" s="85"/>
      <c r="J679" s="85"/>
      <c r="K679" s="85" t="s">
        <v>42</v>
      </c>
      <c r="L679" s="87">
        <v>20</v>
      </c>
      <c r="M679" s="87"/>
      <c r="N679" s="88"/>
      <c r="O679" s="33"/>
      <c r="P679" s="85"/>
      <c r="Q679" s="21"/>
      <c r="R679" s="87"/>
      <c r="S679" s="87"/>
      <c r="T679" s="21"/>
      <c r="U679" s="89"/>
      <c r="V679" s="22"/>
    </row>
    <row r="680" spans="1:22" x14ac:dyDescent="0.25">
      <c r="A680" s="84" t="s">
        <v>982</v>
      </c>
      <c r="B680" s="85" t="s">
        <v>42</v>
      </c>
      <c r="C680" s="85" t="s">
        <v>342</v>
      </c>
      <c r="D680" s="85" t="s">
        <v>1116</v>
      </c>
      <c r="E680" s="86" t="s">
        <v>570</v>
      </c>
      <c r="F680" s="85" t="s">
        <v>42</v>
      </c>
      <c r="G680" s="85" t="s">
        <v>350</v>
      </c>
      <c r="H680" s="85"/>
      <c r="I680" s="85"/>
      <c r="J680" s="85"/>
      <c r="K680" s="85" t="s">
        <v>42</v>
      </c>
      <c r="L680" s="87">
        <v>0</v>
      </c>
      <c r="M680" s="87"/>
      <c r="N680" s="88"/>
      <c r="O680" s="33"/>
      <c r="P680" s="85"/>
      <c r="Q680" s="21"/>
      <c r="R680" s="87"/>
      <c r="S680" s="87"/>
      <c r="T680" s="21"/>
      <c r="U680" s="89"/>
      <c r="V680" s="22"/>
    </row>
    <row r="681" spans="1:22" x14ac:dyDescent="0.25">
      <c r="A681" s="84" t="s">
        <v>982</v>
      </c>
      <c r="B681" s="85" t="s">
        <v>42</v>
      </c>
      <c r="C681" s="85" t="s">
        <v>342</v>
      </c>
      <c r="D681" s="85" t="s">
        <v>1117</v>
      </c>
      <c r="E681" s="86" t="s">
        <v>570</v>
      </c>
      <c r="F681" s="85" t="s">
        <v>42</v>
      </c>
      <c r="G681" s="85" t="s">
        <v>350</v>
      </c>
      <c r="H681" s="85"/>
      <c r="I681" s="85"/>
      <c r="J681" s="85"/>
      <c r="K681" s="85" t="s">
        <v>42</v>
      </c>
      <c r="L681" s="87">
        <v>0</v>
      </c>
      <c r="M681" s="87"/>
      <c r="N681" s="88"/>
      <c r="O681" s="33"/>
      <c r="P681" s="85"/>
      <c r="Q681" s="21"/>
      <c r="R681" s="87"/>
      <c r="S681" s="87"/>
      <c r="T681" s="21"/>
      <c r="U681" s="89"/>
      <c r="V681" s="22"/>
    </row>
    <row r="682" spans="1:22" x14ac:dyDescent="0.25">
      <c r="A682" s="84" t="s">
        <v>982</v>
      </c>
      <c r="B682" s="85" t="s">
        <v>42</v>
      </c>
      <c r="C682" s="85" t="s">
        <v>342</v>
      </c>
      <c r="D682" s="85" t="s">
        <v>1118</v>
      </c>
      <c r="E682" s="86" t="s">
        <v>590</v>
      </c>
      <c r="F682" s="85" t="s">
        <v>1054</v>
      </c>
      <c r="G682" s="85" t="s">
        <v>260</v>
      </c>
      <c r="H682" s="85" t="s">
        <v>14</v>
      </c>
      <c r="I682" s="85" t="s">
        <v>258</v>
      </c>
      <c r="J682" s="86" t="s">
        <v>261</v>
      </c>
      <c r="K682" s="85" t="s">
        <v>365</v>
      </c>
      <c r="L682" s="87">
        <v>8.8000000000000007</v>
      </c>
      <c r="M682" s="87">
        <f>L682*VLOOKUP(H682,dagsoorttabel1,2,FALSE)</f>
        <v>3.6080000000000001</v>
      </c>
      <c r="N682" s="88">
        <f>prodnorm7</f>
        <v>0</v>
      </c>
      <c r="O682" s="33">
        <f>dagwerk7</f>
        <v>0</v>
      </c>
      <c r="P682" s="85" t="s">
        <v>109</v>
      </c>
      <c r="Q682" s="21">
        <f>uurtarief7</f>
        <v>0</v>
      </c>
      <c r="R682" s="87" t="e">
        <f>IF(ISBLANK(N682),0,M682/ROUND(N682,4))</f>
        <v>#DIV/0!</v>
      </c>
      <c r="S682" s="87" t="e">
        <f>IF(ISBLANK(N682),0,R682*ROUND(O682,2))</f>
        <v>#DIV/0!</v>
      </c>
      <c r="T682" s="21" t="e">
        <f>ROUND(Q682,2)*R682</f>
        <v>#DIV/0!</v>
      </c>
      <c r="U682" s="87" t="e">
        <f>R682*dagenperjaar1</f>
        <v>#DIV/0!</v>
      </c>
      <c r="V682" s="22" t="e">
        <f>U682*ROUND(Q682,2)</f>
        <v>#DIV/0!</v>
      </c>
    </row>
    <row r="683" spans="1:22" x14ac:dyDescent="0.25">
      <c r="A683" s="84" t="s">
        <v>982</v>
      </c>
      <c r="B683" s="85" t="s">
        <v>42</v>
      </c>
      <c r="C683" s="85" t="s">
        <v>342</v>
      </c>
      <c r="D683" s="85" t="s">
        <v>1119</v>
      </c>
      <c r="E683" s="86" t="s">
        <v>570</v>
      </c>
      <c r="F683" s="85" t="s">
        <v>42</v>
      </c>
      <c r="G683" s="85" t="s">
        <v>350</v>
      </c>
      <c r="H683" s="85"/>
      <c r="I683" s="85"/>
      <c r="J683" s="85"/>
      <c r="K683" s="85" t="s">
        <v>42</v>
      </c>
      <c r="L683" s="87">
        <v>0</v>
      </c>
      <c r="M683" s="87"/>
      <c r="N683" s="88"/>
      <c r="O683" s="33"/>
      <c r="P683" s="85"/>
      <c r="Q683" s="21"/>
      <c r="R683" s="87"/>
      <c r="S683" s="87"/>
      <c r="T683" s="21"/>
      <c r="U683" s="89"/>
      <c r="V683" s="22"/>
    </row>
    <row r="684" spans="1:22" x14ac:dyDescent="0.25">
      <c r="A684" s="84" t="s">
        <v>982</v>
      </c>
      <c r="B684" s="85" t="s">
        <v>42</v>
      </c>
      <c r="C684" s="85" t="s">
        <v>342</v>
      </c>
      <c r="D684" s="85" t="s">
        <v>1120</v>
      </c>
      <c r="E684" s="86" t="s">
        <v>1112</v>
      </c>
      <c r="F684" s="85" t="s">
        <v>1054</v>
      </c>
      <c r="G684" s="85" t="s">
        <v>304</v>
      </c>
      <c r="H684" s="85" t="s">
        <v>14</v>
      </c>
      <c r="I684" s="85" t="s">
        <v>258</v>
      </c>
      <c r="J684" s="86" t="s">
        <v>305</v>
      </c>
      <c r="K684" s="85" t="s">
        <v>386</v>
      </c>
      <c r="L684" s="87">
        <v>90</v>
      </c>
      <c r="M684" s="87">
        <f>L684*VLOOKUP(H684,dagsoorttabel1,2,FALSE)</f>
        <v>36.9</v>
      </c>
      <c r="N684" s="88">
        <f>prodnorm41</f>
        <v>0</v>
      </c>
      <c r="O684" s="33">
        <f>dagwerk41</f>
        <v>0</v>
      </c>
      <c r="P684" s="85" t="s">
        <v>109</v>
      </c>
      <c r="Q684" s="21">
        <f>uurtarief41</f>
        <v>0</v>
      </c>
      <c r="R684" s="87" t="e">
        <f>IF(ISBLANK(N684),0,M684/ROUND(N684,4))</f>
        <v>#DIV/0!</v>
      </c>
      <c r="S684" s="87" t="e">
        <f>IF(ISBLANK(N684),0,R684*ROUND(O684,2))</f>
        <v>#DIV/0!</v>
      </c>
      <c r="T684" s="21" t="e">
        <f>ROUND(Q684,2)*R684</f>
        <v>#DIV/0!</v>
      </c>
      <c r="U684" s="87" t="e">
        <f>R684*dagenperjaar1</f>
        <v>#DIV/0!</v>
      </c>
      <c r="V684" s="22" t="e">
        <f>U684*ROUND(Q684,2)</f>
        <v>#DIV/0!</v>
      </c>
    </row>
    <row r="685" spans="1:22" x14ac:dyDescent="0.25">
      <c r="A685" s="84" t="s">
        <v>982</v>
      </c>
      <c r="B685" s="85" t="s">
        <v>42</v>
      </c>
      <c r="C685" s="85" t="s">
        <v>342</v>
      </c>
      <c r="D685" s="85" t="s">
        <v>1121</v>
      </c>
      <c r="E685" s="86" t="s">
        <v>864</v>
      </c>
      <c r="F685" s="85" t="s">
        <v>1054</v>
      </c>
      <c r="G685" s="85" t="s">
        <v>282</v>
      </c>
      <c r="H685" s="85" t="s">
        <v>9</v>
      </c>
      <c r="I685" s="85" t="s">
        <v>258</v>
      </c>
      <c r="J685" s="86" t="s">
        <v>283</v>
      </c>
      <c r="K685" s="85" t="s">
        <v>386</v>
      </c>
      <c r="L685" s="87">
        <v>58.8</v>
      </c>
      <c r="M685" s="87">
        <f>L685*VLOOKUP(H685,dagsoorttabel1,2,FALSE)</f>
        <v>60.269999999999989</v>
      </c>
      <c r="N685" s="88">
        <f>prodnorm24</f>
        <v>0</v>
      </c>
      <c r="O685" s="33">
        <f>dagwerk24</f>
        <v>0</v>
      </c>
      <c r="P685" s="85" t="s">
        <v>109</v>
      </c>
      <c r="Q685" s="21">
        <f>uurtarief24</f>
        <v>0</v>
      </c>
      <c r="R685" s="87" t="e">
        <f>IF(ISBLANK(N685),0,M685/ROUND(N685,4))</f>
        <v>#DIV/0!</v>
      </c>
      <c r="S685" s="87" t="e">
        <f>IF(ISBLANK(N685),0,R685*ROUND(O685,2))</f>
        <v>#DIV/0!</v>
      </c>
      <c r="T685" s="21" t="e">
        <f>ROUND(Q685,2)*R685</f>
        <v>#DIV/0!</v>
      </c>
      <c r="U685" s="87" t="e">
        <f>R685*dagenperjaar1</f>
        <v>#DIV/0!</v>
      </c>
      <c r="V685" s="22" t="e">
        <f>U685*ROUND(Q685,2)</f>
        <v>#DIV/0!</v>
      </c>
    </row>
    <row r="686" spans="1:22" x14ac:dyDescent="0.25">
      <c r="A686" s="84" t="s">
        <v>982</v>
      </c>
      <c r="B686" s="85" t="s">
        <v>42</v>
      </c>
      <c r="C686" s="85" t="s">
        <v>342</v>
      </c>
      <c r="D686" s="85" t="s">
        <v>1122</v>
      </c>
      <c r="E686" s="86" t="s">
        <v>1123</v>
      </c>
      <c r="F686" s="85" t="s">
        <v>1054</v>
      </c>
      <c r="G686" s="85" t="s">
        <v>350</v>
      </c>
      <c r="H686" s="85"/>
      <c r="I686" s="85"/>
      <c r="J686" s="85"/>
      <c r="K686" s="85" t="s">
        <v>42</v>
      </c>
      <c r="L686" s="87">
        <v>40</v>
      </c>
      <c r="M686" s="87"/>
      <c r="N686" s="88"/>
      <c r="O686" s="33"/>
      <c r="P686" s="85"/>
      <c r="Q686" s="21"/>
      <c r="R686" s="87"/>
      <c r="S686" s="87"/>
      <c r="T686" s="21"/>
      <c r="U686" s="89"/>
      <c r="V686" s="22"/>
    </row>
    <row r="687" spans="1:22" x14ac:dyDescent="0.25">
      <c r="A687" s="84" t="s">
        <v>982</v>
      </c>
      <c r="B687" s="85" t="s">
        <v>42</v>
      </c>
      <c r="C687" s="85" t="s">
        <v>342</v>
      </c>
      <c r="D687" s="85" t="s">
        <v>1124</v>
      </c>
      <c r="E687" s="86" t="s">
        <v>1008</v>
      </c>
      <c r="F687" s="85" t="s">
        <v>699</v>
      </c>
      <c r="G687" s="85" t="s">
        <v>310</v>
      </c>
      <c r="H687" s="85" t="s">
        <v>9</v>
      </c>
      <c r="I687" s="85" t="s">
        <v>258</v>
      </c>
      <c r="J687" s="86" t="s">
        <v>311</v>
      </c>
      <c r="K687" s="85" t="s">
        <v>417</v>
      </c>
      <c r="L687" s="87">
        <v>7.8</v>
      </c>
      <c r="M687" s="87">
        <f>L687*VLOOKUP(H687,dagsoorttabel1,2,FALSE)</f>
        <v>7.9949999999999992</v>
      </c>
      <c r="N687" s="88">
        <f>prodnorm45</f>
        <v>0</v>
      </c>
      <c r="O687" s="33">
        <f>dagwerk45</f>
        <v>0</v>
      </c>
      <c r="P687" s="85" t="s">
        <v>109</v>
      </c>
      <c r="Q687" s="21">
        <f>uurtarief45</f>
        <v>0</v>
      </c>
      <c r="R687" s="87" t="e">
        <f>IF(ISBLANK(N687),0,M687/ROUND(N687,4))</f>
        <v>#DIV/0!</v>
      </c>
      <c r="S687" s="87" t="e">
        <f>IF(ISBLANK(N687),0,R687*ROUND(O687,2))</f>
        <v>#DIV/0!</v>
      </c>
      <c r="T687" s="21" t="e">
        <f>ROUND(Q687,2)*R687</f>
        <v>#DIV/0!</v>
      </c>
      <c r="U687" s="87" t="e">
        <f>R687*dagenperjaar1</f>
        <v>#DIV/0!</v>
      </c>
      <c r="V687" s="22" t="e">
        <f>U687*ROUND(Q687,2)</f>
        <v>#DIV/0!</v>
      </c>
    </row>
    <row r="688" spans="1:22" x14ac:dyDescent="0.25">
      <c r="A688" s="84" t="s">
        <v>982</v>
      </c>
      <c r="B688" s="85" t="s">
        <v>42</v>
      </c>
      <c r="C688" s="85" t="s">
        <v>342</v>
      </c>
      <c r="D688" s="85" t="s">
        <v>1125</v>
      </c>
      <c r="E688" s="86" t="s">
        <v>570</v>
      </c>
      <c r="F688" s="85" t="s">
        <v>42</v>
      </c>
      <c r="G688" s="85" t="s">
        <v>350</v>
      </c>
      <c r="H688" s="85"/>
      <c r="I688" s="85"/>
      <c r="J688" s="85"/>
      <c r="K688" s="85" t="s">
        <v>42</v>
      </c>
      <c r="L688" s="87">
        <v>0</v>
      </c>
      <c r="M688" s="87"/>
      <c r="N688" s="88"/>
      <c r="O688" s="33"/>
      <c r="P688" s="85"/>
      <c r="Q688" s="21"/>
      <c r="R688" s="87"/>
      <c r="S688" s="87"/>
      <c r="T688" s="21"/>
      <c r="U688" s="89"/>
      <c r="V688" s="22"/>
    </row>
    <row r="689" spans="1:22" x14ac:dyDescent="0.25">
      <c r="A689" s="84" t="s">
        <v>982</v>
      </c>
      <c r="B689" s="85" t="s">
        <v>42</v>
      </c>
      <c r="C689" s="85" t="s">
        <v>342</v>
      </c>
      <c r="D689" s="85" t="s">
        <v>1126</v>
      </c>
      <c r="E689" s="86" t="s">
        <v>998</v>
      </c>
      <c r="F689" s="85" t="s">
        <v>42</v>
      </c>
      <c r="G689" s="85" t="s">
        <v>350</v>
      </c>
      <c r="H689" s="85"/>
      <c r="I689" s="85"/>
      <c r="J689" s="85"/>
      <c r="K689" s="85" t="s">
        <v>42</v>
      </c>
      <c r="L689" s="87">
        <v>0</v>
      </c>
      <c r="M689" s="87"/>
      <c r="N689" s="88"/>
      <c r="O689" s="33"/>
      <c r="P689" s="85"/>
      <c r="Q689" s="21"/>
      <c r="R689" s="87"/>
      <c r="S689" s="87"/>
      <c r="T689" s="21"/>
      <c r="U689" s="89"/>
      <c r="V689" s="22"/>
    </row>
    <row r="690" spans="1:22" x14ac:dyDescent="0.25">
      <c r="A690" s="84" t="s">
        <v>982</v>
      </c>
      <c r="B690" s="85" t="s">
        <v>42</v>
      </c>
      <c r="C690" s="85" t="s">
        <v>342</v>
      </c>
      <c r="D690" s="85" t="s">
        <v>1127</v>
      </c>
      <c r="E690" s="86" t="s">
        <v>1128</v>
      </c>
      <c r="F690" s="85" t="s">
        <v>699</v>
      </c>
      <c r="G690" s="85" t="s">
        <v>308</v>
      </c>
      <c r="H690" s="85" t="s">
        <v>9</v>
      </c>
      <c r="I690" s="85" t="s">
        <v>258</v>
      </c>
      <c r="J690" s="86" t="s">
        <v>309</v>
      </c>
      <c r="K690" s="85" t="s">
        <v>417</v>
      </c>
      <c r="L690" s="87">
        <v>4.7</v>
      </c>
      <c r="M690" s="87">
        <f>L690*VLOOKUP(H690,dagsoorttabel1,2,FALSE)</f>
        <v>4.8174999999999999</v>
      </c>
      <c r="N690" s="88">
        <f>prodnorm43</f>
        <v>0</v>
      </c>
      <c r="O690" s="33">
        <f>dagwerk43</f>
        <v>0</v>
      </c>
      <c r="P690" s="85" t="s">
        <v>109</v>
      </c>
      <c r="Q690" s="21">
        <f>uurtarief43</f>
        <v>0</v>
      </c>
      <c r="R690" s="87" t="e">
        <f>IF(ISBLANK(N690),0,M690/ROUND(N690,4))</f>
        <v>#DIV/0!</v>
      </c>
      <c r="S690" s="87" t="e">
        <f>IF(ISBLANK(N690),0,R690*ROUND(O690,2))</f>
        <v>#DIV/0!</v>
      </c>
      <c r="T690" s="21" t="e">
        <f>ROUND(Q690,2)*R690</f>
        <v>#DIV/0!</v>
      </c>
      <c r="U690" s="87" t="e">
        <f>R690*dagenperjaar1</f>
        <v>#DIV/0!</v>
      </c>
      <c r="V690" s="22" t="e">
        <f>U690*ROUND(Q690,2)</f>
        <v>#DIV/0!</v>
      </c>
    </row>
    <row r="691" spans="1:22" x14ac:dyDescent="0.25">
      <c r="A691" s="84" t="s">
        <v>982</v>
      </c>
      <c r="B691" s="85" t="s">
        <v>42</v>
      </c>
      <c r="C691" s="85" t="s">
        <v>342</v>
      </c>
      <c r="D691" s="85" t="s">
        <v>1129</v>
      </c>
      <c r="E691" s="86" t="s">
        <v>1007</v>
      </c>
      <c r="F691" s="85" t="s">
        <v>699</v>
      </c>
      <c r="G691" s="85" t="s">
        <v>310</v>
      </c>
      <c r="H691" s="85" t="s">
        <v>9</v>
      </c>
      <c r="I691" s="85" t="s">
        <v>258</v>
      </c>
      <c r="J691" s="86" t="s">
        <v>311</v>
      </c>
      <c r="K691" s="85" t="s">
        <v>417</v>
      </c>
      <c r="L691" s="87">
        <v>19</v>
      </c>
      <c r="M691" s="87">
        <f>L691*VLOOKUP(H691,dagsoorttabel1,2,FALSE)</f>
        <v>19.474999999999998</v>
      </c>
      <c r="N691" s="88">
        <f>prodnorm45</f>
        <v>0</v>
      </c>
      <c r="O691" s="33">
        <f>dagwerk45</f>
        <v>0</v>
      </c>
      <c r="P691" s="85" t="s">
        <v>109</v>
      </c>
      <c r="Q691" s="21">
        <f>uurtarief45</f>
        <v>0</v>
      </c>
      <c r="R691" s="87" t="e">
        <f>IF(ISBLANK(N691),0,M691/ROUND(N691,4))</f>
        <v>#DIV/0!</v>
      </c>
      <c r="S691" s="87" t="e">
        <f>IF(ISBLANK(N691),0,R691*ROUND(O691,2))</f>
        <v>#DIV/0!</v>
      </c>
      <c r="T691" s="21" t="e">
        <f>ROUND(Q691,2)*R691</f>
        <v>#DIV/0!</v>
      </c>
      <c r="U691" s="87" t="e">
        <f>R691*dagenperjaar1</f>
        <v>#DIV/0!</v>
      </c>
      <c r="V691" s="22" t="e">
        <f>U691*ROUND(Q691,2)</f>
        <v>#DIV/0!</v>
      </c>
    </row>
    <row r="692" spans="1:22" x14ac:dyDescent="0.25">
      <c r="A692" s="84" t="s">
        <v>982</v>
      </c>
      <c r="B692" s="85" t="s">
        <v>42</v>
      </c>
      <c r="C692" s="85" t="s">
        <v>342</v>
      </c>
      <c r="D692" s="85" t="s">
        <v>1130</v>
      </c>
      <c r="E692" s="86" t="s">
        <v>1131</v>
      </c>
      <c r="F692" s="85" t="s">
        <v>1115</v>
      </c>
      <c r="G692" s="85" t="s">
        <v>350</v>
      </c>
      <c r="H692" s="85"/>
      <c r="I692" s="85"/>
      <c r="J692" s="85"/>
      <c r="K692" s="85" t="s">
        <v>42</v>
      </c>
      <c r="L692" s="87">
        <v>90</v>
      </c>
      <c r="M692" s="87"/>
      <c r="N692" s="88"/>
      <c r="O692" s="33"/>
      <c r="P692" s="85"/>
      <c r="Q692" s="21"/>
      <c r="R692" s="87"/>
      <c r="S692" s="87"/>
      <c r="T692" s="21"/>
      <c r="U692" s="89"/>
      <c r="V692" s="22"/>
    </row>
    <row r="693" spans="1:22" x14ac:dyDescent="0.25">
      <c r="A693" s="84" t="s">
        <v>982</v>
      </c>
      <c r="B693" s="85" t="s">
        <v>42</v>
      </c>
      <c r="C693" s="85" t="s">
        <v>342</v>
      </c>
      <c r="D693" s="85" t="s">
        <v>1132</v>
      </c>
      <c r="E693" s="86" t="s">
        <v>1133</v>
      </c>
      <c r="F693" s="85" t="s">
        <v>413</v>
      </c>
      <c r="G693" s="85" t="s">
        <v>304</v>
      </c>
      <c r="H693" s="85" t="s">
        <v>14</v>
      </c>
      <c r="I693" s="85" t="s">
        <v>258</v>
      </c>
      <c r="J693" s="86" t="s">
        <v>305</v>
      </c>
      <c r="K693" s="85" t="s">
        <v>386</v>
      </c>
      <c r="L693" s="87">
        <v>12</v>
      </c>
      <c r="M693" s="87">
        <f>L693*VLOOKUP(H693,dagsoorttabel1,2,FALSE)</f>
        <v>4.92</v>
      </c>
      <c r="N693" s="88">
        <f>prodnorm41</f>
        <v>0</v>
      </c>
      <c r="O693" s="33">
        <f>dagwerk41</f>
        <v>0</v>
      </c>
      <c r="P693" s="85" t="s">
        <v>109</v>
      </c>
      <c r="Q693" s="21">
        <f>uurtarief41</f>
        <v>0</v>
      </c>
      <c r="R693" s="87" t="e">
        <f>IF(ISBLANK(N693),0,M693/ROUND(N693,4))</f>
        <v>#DIV/0!</v>
      </c>
      <c r="S693" s="87" t="e">
        <f>IF(ISBLANK(N693),0,R693*ROUND(O693,2))</f>
        <v>#DIV/0!</v>
      </c>
      <c r="T693" s="21" t="e">
        <f>ROUND(Q693,2)*R693</f>
        <v>#DIV/0!</v>
      </c>
      <c r="U693" s="87" t="e">
        <f>R693*dagenperjaar1</f>
        <v>#DIV/0!</v>
      </c>
      <c r="V693" s="22" t="e">
        <f>U693*ROUND(Q693,2)</f>
        <v>#DIV/0!</v>
      </c>
    </row>
    <row r="694" spans="1:22" x14ac:dyDescent="0.25">
      <c r="A694" s="84" t="s">
        <v>982</v>
      </c>
      <c r="B694" s="85" t="s">
        <v>42</v>
      </c>
      <c r="C694" s="85" t="s">
        <v>342</v>
      </c>
      <c r="D694" s="85" t="s">
        <v>1134</v>
      </c>
      <c r="E694" s="86" t="s">
        <v>570</v>
      </c>
      <c r="F694" s="85" t="s">
        <v>42</v>
      </c>
      <c r="G694" s="85" t="s">
        <v>350</v>
      </c>
      <c r="H694" s="85"/>
      <c r="I694" s="85"/>
      <c r="J694" s="85"/>
      <c r="K694" s="85" t="s">
        <v>42</v>
      </c>
      <c r="L694" s="87">
        <v>0</v>
      </c>
      <c r="M694" s="87"/>
      <c r="N694" s="88"/>
      <c r="O694" s="33"/>
      <c r="P694" s="85"/>
      <c r="Q694" s="21"/>
      <c r="R694" s="87"/>
      <c r="S694" s="87"/>
      <c r="T694" s="21"/>
      <c r="U694" s="89"/>
      <c r="V694" s="22"/>
    </row>
    <row r="695" spans="1:22" x14ac:dyDescent="0.25">
      <c r="A695" s="84" t="s">
        <v>982</v>
      </c>
      <c r="B695" s="85" t="s">
        <v>42</v>
      </c>
      <c r="C695" s="85" t="s">
        <v>342</v>
      </c>
      <c r="D695" s="85" t="s">
        <v>1135</v>
      </c>
      <c r="E695" s="86" t="s">
        <v>1136</v>
      </c>
      <c r="F695" s="85" t="s">
        <v>42</v>
      </c>
      <c r="G695" s="85" t="s">
        <v>350</v>
      </c>
      <c r="H695" s="85"/>
      <c r="I695" s="85"/>
      <c r="J695" s="85"/>
      <c r="K695" s="85" t="s">
        <v>42</v>
      </c>
      <c r="L695" s="87">
        <v>0</v>
      </c>
      <c r="M695" s="87"/>
      <c r="N695" s="88"/>
      <c r="O695" s="33"/>
      <c r="P695" s="85"/>
      <c r="Q695" s="21"/>
      <c r="R695" s="87"/>
      <c r="S695" s="87"/>
      <c r="T695" s="21"/>
      <c r="U695" s="89"/>
      <c r="V695" s="22"/>
    </row>
    <row r="696" spans="1:22" x14ac:dyDescent="0.25">
      <c r="A696" s="84" t="s">
        <v>982</v>
      </c>
      <c r="B696" s="85" t="s">
        <v>42</v>
      </c>
      <c r="C696" s="85" t="s">
        <v>342</v>
      </c>
      <c r="D696" s="85" t="s">
        <v>1137</v>
      </c>
      <c r="E696" s="86" t="s">
        <v>1136</v>
      </c>
      <c r="F696" s="85" t="s">
        <v>42</v>
      </c>
      <c r="G696" s="85" t="s">
        <v>350</v>
      </c>
      <c r="H696" s="85"/>
      <c r="I696" s="85"/>
      <c r="J696" s="85"/>
      <c r="K696" s="85" t="s">
        <v>42</v>
      </c>
      <c r="L696" s="87">
        <v>0</v>
      </c>
      <c r="M696" s="87"/>
      <c r="N696" s="88"/>
      <c r="O696" s="33"/>
      <c r="P696" s="85"/>
      <c r="Q696" s="21"/>
      <c r="R696" s="87"/>
      <c r="S696" s="87"/>
      <c r="T696" s="21"/>
      <c r="U696" s="89"/>
      <c r="V696" s="22"/>
    </row>
    <row r="697" spans="1:22" x14ac:dyDescent="0.25">
      <c r="A697" s="84" t="s">
        <v>982</v>
      </c>
      <c r="B697" s="85" t="s">
        <v>42</v>
      </c>
      <c r="C697" s="85" t="s">
        <v>342</v>
      </c>
      <c r="D697" s="85" t="s">
        <v>1138</v>
      </c>
      <c r="E697" s="86" t="s">
        <v>570</v>
      </c>
      <c r="F697" s="85" t="s">
        <v>42</v>
      </c>
      <c r="G697" s="85" t="s">
        <v>350</v>
      </c>
      <c r="H697" s="85"/>
      <c r="I697" s="85"/>
      <c r="J697" s="85"/>
      <c r="K697" s="85" t="s">
        <v>42</v>
      </c>
      <c r="L697" s="87">
        <v>0</v>
      </c>
      <c r="M697" s="87"/>
      <c r="N697" s="88"/>
      <c r="O697" s="33"/>
      <c r="P697" s="85"/>
      <c r="Q697" s="21"/>
      <c r="R697" s="87"/>
      <c r="S697" s="87"/>
      <c r="T697" s="21"/>
      <c r="U697" s="89"/>
      <c r="V697" s="22"/>
    </row>
    <row r="698" spans="1:22" x14ac:dyDescent="0.25">
      <c r="A698" s="84" t="s">
        <v>982</v>
      </c>
      <c r="B698" s="85" t="s">
        <v>42</v>
      </c>
      <c r="C698" s="85" t="s">
        <v>342</v>
      </c>
      <c r="D698" s="85" t="s">
        <v>1139</v>
      </c>
      <c r="E698" s="86" t="s">
        <v>570</v>
      </c>
      <c r="F698" s="85" t="s">
        <v>42</v>
      </c>
      <c r="G698" s="85" t="s">
        <v>350</v>
      </c>
      <c r="H698" s="85"/>
      <c r="I698" s="85"/>
      <c r="J698" s="85"/>
      <c r="K698" s="85" t="s">
        <v>42</v>
      </c>
      <c r="L698" s="87">
        <v>0</v>
      </c>
      <c r="M698" s="87"/>
      <c r="N698" s="88"/>
      <c r="O698" s="33"/>
      <c r="P698" s="85"/>
      <c r="Q698" s="21"/>
      <c r="R698" s="87"/>
      <c r="S698" s="87"/>
      <c r="T698" s="21"/>
      <c r="U698" s="89"/>
      <c r="V698" s="22"/>
    </row>
    <row r="699" spans="1:22" x14ac:dyDescent="0.25">
      <c r="A699" s="84" t="s">
        <v>982</v>
      </c>
      <c r="B699" s="85" t="s">
        <v>42</v>
      </c>
      <c r="C699" s="85" t="s">
        <v>342</v>
      </c>
      <c r="D699" s="85" t="s">
        <v>1140</v>
      </c>
      <c r="E699" s="86" t="s">
        <v>570</v>
      </c>
      <c r="F699" s="85" t="s">
        <v>42</v>
      </c>
      <c r="G699" s="85" t="s">
        <v>350</v>
      </c>
      <c r="H699" s="85"/>
      <c r="I699" s="85"/>
      <c r="J699" s="85"/>
      <c r="K699" s="85" t="s">
        <v>42</v>
      </c>
      <c r="L699" s="87">
        <v>0</v>
      </c>
      <c r="M699" s="87"/>
      <c r="N699" s="88"/>
      <c r="O699" s="33"/>
      <c r="P699" s="85"/>
      <c r="Q699" s="21"/>
      <c r="R699" s="87"/>
      <c r="S699" s="87"/>
      <c r="T699" s="21"/>
      <c r="U699" s="89"/>
      <c r="V699" s="22"/>
    </row>
    <row r="700" spans="1:22" x14ac:dyDescent="0.25">
      <c r="A700" s="84" t="s">
        <v>982</v>
      </c>
      <c r="B700" s="85" t="s">
        <v>42</v>
      </c>
      <c r="C700" s="85" t="s">
        <v>342</v>
      </c>
      <c r="D700" s="85" t="s">
        <v>1141</v>
      </c>
      <c r="E700" s="86" t="s">
        <v>1040</v>
      </c>
      <c r="F700" s="85" t="s">
        <v>985</v>
      </c>
      <c r="G700" s="85" t="s">
        <v>308</v>
      </c>
      <c r="H700" s="85" t="s">
        <v>9</v>
      </c>
      <c r="I700" s="85" t="s">
        <v>258</v>
      </c>
      <c r="J700" s="86" t="s">
        <v>309</v>
      </c>
      <c r="K700" s="85" t="s">
        <v>417</v>
      </c>
      <c r="L700" s="87">
        <v>37</v>
      </c>
      <c r="M700" s="87">
        <f>L700*VLOOKUP(H700,dagsoorttabel1,2,FALSE)</f>
        <v>37.924999999999997</v>
      </c>
      <c r="N700" s="88">
        <f>prodnorm43</f>
        <v>0</v>
      </c>
      <c r="O700" s="33">
        <f>dagwerk43</f>
        <v>0</v>
      </c>
      <c r="P700" s="85" t="s">
        <v>109</v>
      </c>
      <c r="Q700" s="21">
        <f>uurtarief43</f>
        <v>0</v>
      </c>
      <c r="R700" s="87" t="e">
        <f>IF(ISBLANK(N700),0,M700/ROUND(N700,4))</f>
        <v>#DIV/0!</v>
      </c>
      <c r="S700" s="87" t="e">
        <f>IF(ISBLANK(N700),0,R700*ROUND(O700,2))</f>
        <v>#DIV/0!</v>
      </c>
      <c r="T700" s="21" t="e">
        <f>ROUND(Q700,2)*R700</f>
        <v>#DIV/0!</v>
      </c>
      <c r="U700" s="87" t="e">
        <f>R700*dagenperjaar1</f>
        <v>#DIV/0!</v>
      </c>
      <c r="V700" s="22" t="e">
        <f>U700*ROUND(Q700,2)</f>
        <v>#DIV/0!</v>
      </c>
    </row>
    <row r="701" spans="1:22" x14ac:dyDescent="0.25">
      <c r="A701" s="84" t="s">
        <v>982</v>
      </c>
      <c r="B701" s="85" t="s">
        <v>42</v>
      </c>
      <c r="C701" s="85" t="s">
        <v>342</v>
      </c>
      <c r="D701" s="85" t="s">
        <v>1142</v>
      </c>
      <c r="E701" s="86" t="s">
        <v>1143</v>
      </c>
      <c r="F701" s="85" t="s">
        <v>42</v>
      </c>
      <c r="G701" s="85" t="s">
        <v>350</v>
      </c>
      <c r="H701" s="85"/>
      <c r="I701" s="85"/>
      <c r="J701" s="85"/>
      <c r="K701" s="85" t="s">
        <v>42</v>
      </c>
      <c r="L701" s="87">
        <v>0</v>
      </c>
      <c r="M701" s="87"/>
      <c r="N701" s="88"/>
      <c r="O701" s="33"/>
      <c r="P701" s="85"/>
      <c r="Q701" s="21"/>
      <c r="R701" s="87"/>
      <c r="S701" s="87"/>
      <c r="T701" s="21"/>
      <c r="U701" s="89"/>
      <c r="V701" s="22"/>
    </row>
    <row r="702" spans="1:22" x14ac:dyDescent="0.25">
      <c r="A702" s="84" t="s">
        <v>982</v>
      </c>
      <c r="B702" s="85" t="s">
        <v>42</v>
      </c>
      <c r="C702" s="85" t="s">
        <v>342</v>
      </c>
      <c r="D702" s="85" t="s">
        <v>1144</v>
      </c>
      <c r="E702" s="86" t="s">
        <v>1145</v>
      </c>
      <c r="F702" s="85" t="s">
        <v>1115</v>
      </c>
      <c r="G702" s="85" t="s">
        <v>350</v>
      </c>
      <c r="H702" s="85"/>
      <c r="I702" s="85"/>
      <c r="J702" s="85"/>
      <c r="K702" s="85" t="s">
        <v>42</v>
      </c>
      <c r="L702" s="87">
        <v>306</v>
      </c>
      <c r="M702" s="87"/>
      <c r="N702" s="88"/>
      <c r="O702" s="33"/>
      <c r="P702" s="85"/>
      <c r="Q702" s="21"/>
      <c r="R702" s="87"/>
      <c r="S702" s="87"/>
      <c r="T702" s="21"/>
      <c r="U702" s="89"/>
      <c r="V702" s="22"/>
    </row>
    <row r="703" spans="1:22" x14ac:dyDescent="0.25">
      <c r="A703" s="84" t="s">
        <v>982</v>
      </c>
      <c r="B703" s="85" t="s">
        <v>42</v>
      </c>
      <c r="C703" s="85" t="s">
        <v>342</v>
      </c>
      <c r="D703" s="85" t="s">
        <v>1146</v>
      </c>
      <c r="E703" s="86" t="s">
        <v>1040</v>
      </c>
      <c r="F703" s="85" t="s">
        <v>985</v>
      </c>
      <c r="G703" s="85" t="s">
        <v>308</v>
      </c>
      <c r="H703" s="85" t="s">
        <v>9</v>
      </c>
      <c r="I703" s="85" t="s">
        <v>258</v>
      </c>
      <c r="J703" s="86" t="s">
        <v>309</v>
      </c>
      <c r="K703" s="85" t="s">
        <v>417</v>
      </c>
      <c r="L703" s="87">
        <v>7.8</v>
      </c>
      <c r="M703" s="87">
        <f>L703*VLOOKUP(H703,dagsoorttabel1,2,FALSE)</f>
        <v>7.9949999999999992</v>
      </c>
      <c r="N703" s="88">
        <f>prodnorm43</f>
        <v>0</v>
      </c>
      <c r="O703" s="33">
        <f>dagwerk43</f>
        <v>0</v>
      </c>
      <c r="P703" s="85" t="s">
        <v>109</v>
      </c>
      <c r="Q703" s="21">
        <f>uurtarief43</f>
        <v>0</v>
      </c>
      <c r="R703" s="87" t="e">
        <f>IF(ISBLANK(N703),0,M703/ROUND(N703,4))</f>
        <v>#DIV/0!</v>
      </c>
      <c r="S703" s="87" t="e">
        <f>IF(ISBLANK(N703),0,R703*ROUND(O703,2))</f>
        <v>#DIV/0!</v>
      </c>
      <c r="T703" s="21" t="e">
        <f>ROUND(Q703,2)*R703</f>
        <v>#DIV/0!</v>
      </c>
      <c r="U703" s="87" t="e">
        <f>R703*dagenperjaar1</f>
        <v>#DIV/0!</v>
      </c>
      <c r="V703" s="22" t="e">
        <f>U703*ROUND(Q703,2)</f>
        <v>#DIV/0!</v>
      </c>
    </row>
    <row r="704" spans="1:22" x14ac:dyDescent="0.25">
      <c r="A704" s="84" t="s">
        <v>982</v>
      </c>
      <c r="B704" s="85" t="s">
        <v>42</v>
      </c>
      <c r="C704" s="85" t="s">
        <v>342</v>
      </c>
      <c r="D704" s="85" t="s">
        <v>1147</v>
      </c>
      <c r="E704" s="86" t="s">
        <v>864</v>
      </c>
      <c r="F704" s="85" t="s">
        <v>1054</v>
      </c>
      <c r="G704" s="85" t="s">
        <v>282</v>
      </c>
      <c r="H704" s="85" t="s">
        <v>9</v>
      </c>
      <c r="I704" s="85" t="s">
        <v>258</v>
      </c>
      <c r="J704" s="86" t="s">
        <v>283</v>
      </c>
      <c r="K704" s="85" t="s">
        <v>386</v>
      </c>
      <c r="L704" s="87">
        <v>44.2</v>
      </c>
      <c r="M704" s="87">
        <f>L704*VLOOKUP(H704,dagsoorttabel1,2,FALSE)</f>
        <v>45.305</v>
      </c>
      <c r="N704" s="88">
        <f>prodnorm24</f>
        <v>0</v>
      </c>
      <c r="O704" s="33">
        <f>dagwerk24</f>
        <v>0</v>
      </c>
      <c r="P704" s="85" t="s">
        <v>109</v>
      </c>
      <c r="Q704" s="21">
        <f>uurtarief24</f>
        <v>0</v>
      </c>
      <c r="R704" s="87" t="e">
        <f>IF(ISBLANK(N704),0,M704/ROUND(N704,4))</f>
        <v>#DIV/0!</v>
      </c>
      <c r="S704" s="87" t="e">
        <f>IF(ISBLANK(N704),0,R704*ROUND(O704,2))</f>
        <v>#DIV/0!</v>
      </c>
      <c r="T704" s="21" t="e">
        <f>ROUND(Q704,2)*R704</f>
        <v>#DIV/0!</v>
      </c>
      <c r="U704" s="87" t="e">
        <f>R704*dagenperjaar1</f>
        <v>#DIV/0!</v>
      </c>
      <c r="V704" s="22" t="e">
        <f>U704*ROUND(Q704,2)</f>
        <v>#DIV/0!</v>
      </c>
    </row>
    <row r="705" spans="1:22" x14ac:dyDescent="0.25">
      <c r="A705" s="84" t="s">
        <v>982</v>
      </c>
      <c r="B705" s="85" t="s">
        <v>42</v>
      </c>
      <c r="C705" s="85" t="s">
        <v>342</v>
      </c>
      <c r="D705" s="85" t="s">
        <v>1148</v>
      </c>
      <c r="E705" s="86" t="s">
        <v>570</v>
      </c>
      <c r="F705" s="85" t="s">
        <v>42</v>
      </c>
      <c r="G705" s="85" t="s">
        <v>350</v>
      </c>
      <c r="H705" s="85"/>
      <c r="I705" s="85"/>
      <c r="J705" s="85"/>
      <c r="K705" s="85" t="s">
        <v>42</v>
      </c>
      <c r="L705" s="87">
        <v>0</v>
      </c>
      <c r="M705" s="87"/>
      <c r="N705" s="88"/>
      <c r="O705" s="33"/>
      <c r="P705" s="85"/>
      <c r="Q705" s="21"/>
      <c r="R705" s="87"/>
      <c r="S705" s="87"/>
      <c r="T705" s="21"/>
      <c r="U705" s="89"/>
      <c r="V705" s="22"/>
    </row>
    <row r="706" spans="1:22" x14ac:dyDescent="0.25">
      <c r="A706" s="84" t="s">
        <v>982</v>
      </c>
      <c r="B706" s="85" t="s">
        <v>42</v>
      </c>
      <c r="C706" s="85" t="s">
        <v>342</v>
      </c>
      <c r="D706" s="85" t="s">
        <v>1149</v>
      </c>
      <c r="E706" s="86" t="s">
        <v>1150</v>
      </c>
      <c r="F706" s="85" t="s">
        <v>1115</v>
      </c>
      <c r="G706" s="85" t="s">
        <v>350</v>
      </c>
      <c r="H706" s="85"/>
      <c r="I706" s="85"/>
      <c r="J706" s="85"/>
      <c r="K706" s="85" t="s">
        <v>42</v>
      </c>
      <c r="L706" s="87">
        <v>20</v>
      </c>
      <c r="M706" s="87"/>
      <c r="N706" s="88"/>
      <c r="O706" s="33"/>
      <c r="P706" s="85"/>
      <c r="Q706" s="21"/>
      <c r="R706" s="87"/>
      <c r="S706" s="87"/>
      <c r="T706" s="21"/>
      <c r="U706" s="89"/>
      <c r="V706" s="22"/>
    </row>
    <row r="707" spans="1:22" x14ac:dyDescent="0.25">
      <c r="A707" s="84" t="s">
        <v>982</v>
      </c>
      <c r="B707" s="85" t="s">
        <v>42</v>
      </c>
      <c r="C707" s="85" t="s">
        <v>342</v>
      </c>
      <c r="D707" s="85" t="s">
        <v>1151</v>
      </c>
      <c r="E707" s="86" t="s">
        <v>373</v>
      </c>
      <c r="F707" s="85" t="s">
        <v>345</v>
      </c>
      <c r="G707" s="85" t="s">
        <v>312</v>
      </c>
      <c r="H707" s="85" t="s">
        <v>9</v>
      </c>
      <c r="I707" s="85" t="s">
        <v>258</v>
      </c>
      <c r="J707" s="86" t="s">
        <v>313</v>
      </c>
      <c r="K707" s="85" t="s">
        <v>346</v>
      </c>
      <c r="L707" s="87">
        <v>40</v>
      </c>
      <c r="M707" s="87">
        <f>L707*VLOOKUP(H707,dagsoorttabel1,2,FALSE)</f>
        <v>41</v>
      </c>
      <c r="N707" s="88">
        <f>prodnorm46</f>
        <v>0</v>
      </c>
      <c r="O707" s="33">
        <f>dagwerk46</f>
        <v>0</v>
      </c>
      <c r="P707" s="85" t="s">
        <v>109</v>
      </c>
      <c r="Q707" s="21">
        <f>uurtarief46</f>
        <v>0</v>
      </c>
      <c r="R707" s="87" t="e">
        <f>IF(ISBLANK(N707),0,M707/ROUND(N707,4))</f>
        <v>#DIV/0!</v>
      </c>
      <c r="S707" s="87" t="e">
        <f>IF(ISBLANK(N707),0,R707*ROUND(O707,2))</f>
        <v>#DIV/0!</v>
      </c>
      <c r="T707" s="21" t="e">
        <f>ROUND(Q707,2)*R707</f>
        <v>#DIV/0!</v>
      </c>
      <c r="U707" s="87" t="e">
        <f>R707*dagenperjaar1</f>
        <v>#DIV/0!</v>
      </c>
      <c r="V707" s="22" t="e">
        <f>U707*ROUND(Q707,2)</f>
        <v>#DIV/0!</v>
      </c>
    </row>
    <row r="708" spans="1:22" x14ac:dyDescent="0.25">
      <c r="A708" s="84" t="s">
        <v>982</v>
      </c>
      <c r="B708" s="85" t="s">
        <v>42</v>
      </c>
      <c r="C708" s="85" t="s">
        <v>342</v>
      </c>
      <c r="D708" s="85" t="s">
        <v>1152</v>
      </c>
      <c r="E708" s="86" t="s">
        <v>1153</v>
      </c>
      <c r="F708" s="85" t="s">
        <v>345</v>
      </c>
      <c r="G708" s="85" t="s">
        <v>300</v>
      </c>
      <c r="H708" s="85" t="s">
        <v>14</v>
      </c>
      <c r="I708" s="85" t="s">
        <v>258</v>
      </c>
      <c r="J708" s="86" t="s">
        <v>301</v>
      </c>
      <c r="K708" s="85" t="s">
        <v>386</v>
      </c>
      <c r="L708" s="87">
        <v>167.1</v>
      </c>
      <c r="M708" s="87">
        <f>L708*VLOOKUP(H708,dagsoorttabel1,2,FALSE)</f>
        <v>68.510999999999996</v>
      </c>
      <c r="N708" s="88">
        <f>prodnorm37</f>
        <v>0</v>
      </c>
      <c r="O708" s="33">
        <f>dagwerk37</f>
        <v>0</v>
      </c>
      <c r="P708" s="85" t="s">
        <v>109</v>
      </c>
      <c r="Q708" s="21">
        <f>uurtarief37</f>
        <v>0</v>
      </c>
      <c r="R708" s="87" t="e">
        <f>IF(ISBLANK(N708),0,M708/ROUND(N708,4))</f>
        <v>#DIV/0!</v>
      </c>
      <c r="S708" s="87" t="e">
        <f>IF(ISBLANK(N708),0,R708*ROUND(O708,2))</f>
        <v>#DIV/0!</v>
      </c>
      <c r="T708" s="21" t="e">
        <f>ROUND(Q708,2)*R708</f>
        <v>#DIV/0!</v>
      </c>
      <c r="U708" s="87" t="e">
        <f>R708*dagenperjaar1</f>
        <v>#DIV/0!</v>
      </c>
      <c r="V708" s="22" t="e">
        <f>U708*ROUND(Q708,2)</f>
        <v>#DIV/0!</v>
      </c>
    </row>
    <row r="709" spans="1:22" x14ac:dyDescent="0.25">
      <c r="A709" s="84" t="s">
        <v>982</v>
      </c>
      <c r="B709" s="85" t="s">
        <v>42</v>
      </c>
      <c r="C709" s="85" t="s">
        <v>342</v>
      </c>
      <c r="D709" s="85" t="s">
        <v>1154</v>
      </c>
      <c r="E709" s="86" t="s">
        <v>570</v>
      </c>
      <c r="F709" s="85" t="s">
        <v>42</v>
      </c>
      <c r="G709" s="85" t="s">
        <v>350</v>
      </c>
      <c r="H709" s="85"/>
      <c r="I709" s="85"/>
      <c r="J709" s="85"/>
      <c r="K709" s="85" t="s">
        <v>42</v>
      </c>
      <c r="L709" s="87">
        <v>0</v>
      </c>
      <c r="M709" s="87"/>
      <c r="N709" s="88"/>
      <c r="O709" s="33"/>
      <c r="P709" s="85"/>
      <c r="Q709" s="21"/>
      <c r="R709" s="87"/>
      <c r="S709" s="87"/>
      <c r="T709" s="21"/>
      <c r="U709" s="89"/>
      <c r="V709" s="22"/>
    </row>
    <row r="710" spans="1:22" x14ac:dyDescent="0.25">
      <c r="A710" s="84" t="s">
        <v>982</v>
      </c>
      <c r="B710" s="85" t="s">
        <v>42</v>
      </c>
      <c r="C710" s="85" t="s">
        <v>342</v>
      </c>
      <c r="D710" s="85" t="s">
        <v>1155</v>
      </c>
      <c r="E710" s="86" t="s">
        <v>1058</v>
      </c>
      <c r="F710" s="85" t="s">
        <v>1054</v>
      </c>
      <c r="G710" s="85" t="s">
        <v>282</v>
      </c>
      <c r="H710" s="85" t="s">
        <v>9</v>
      </c>
      <c r="I710" s="85" t="s">
        <v>258</v>
      </c>
      <c r="J710" s="86" t="s">
        <v>283</v>
      </c>
      <c r="K710" s="85" t="s">
        <v>386</v>
      </c>
      <c r="L710" s="87">
        <v>104.5</v>
      </c>
      <c r="M710" s="87">
        <f>L710*VLOOKUP(H710,dagsoorttabel1,2,FALSE)</f>
        <v>107.1125</v>
      </c>
      <c r="N710" s="88">
        <f>prodnorm24</f>
        <v>0</v>
      </c>
      <c r="O710" s="33">
        <f>dagwerk24</f>
        <v>0</v>
      </c>
      <c r="P710" s="85" t="s">
        <v>109</v>
      </c>
      <c r="Q710" s="21">
        <f>uurtarief24</f>
        <v>0</v>
      </c>
      <c r="R710" s="87" t="e">
        <f>IF(ISBLANK(N710),0,M710/ROUND(N710,4))</f>
        <v>#DIV/0!</v>
      </c>
      <c r="S710" s="87" t="e">
        <f>IF(ISBLANK(N710),0,R710*ROUND(O710,2))</f>
        <v>#DIV/0!</v>
      </c>
      <c r="T710" s="21" t="e">
        <f>ROUND(Q710,2)*R710</f>
        <v>#DIV/0!</v>
      </c>
      <c r="U710" s="87" t="e">
        <f>R710*dagenperjaar1</f>
        <v>#DIV/0!</v>
      </c>
      <c r="V710" s="22" t="e">
        <f>U710*ROUND(Q710,2)</f>
        <v>#DIV/0!</v>
      </c>
    </row>
    <row r="711" spans="1:22" x14ac:dyDescent="0.25">
      <c r="A711" s="84" t="s">
        <v>982</v>
      </c>
      <c r="B711" s="85" t="s">
        <v>42</v>
      </c>
      <c r="C711" s="85" t="s">
        <v>342</v>
      </c>
      <c r="D711" s="85" t="s">
        <v>1156</v>
      </c>
      <c r="E711" s="86" t="s">
        <v>570</v>
      </c>
      <c r="F711" s="85" t="s">
        <v>42</v>
      </c>
      <c r="G711" s="85" t="s">
        <v>350</v>
      </c>
      <c r="H711" s="85"/>
      <c r="I711" s="85"/>
      <c r="J711" s="85"/>
      <c r="K711" s="85" t="s">
        <v>42</v>
      </c>
      <c r="L711" s="87">
        <v>0</v>
      </c>
      <c r="M711" s="87"/>
      <c r="N711" s="88"/>
      <c r="O711" s="33"/>
      <c r="P711" s="85"/>
      <c r="Q711" s="21"/>
      <c r="R711" s="87"/>
      <c r="S711" s="87"/>
      <c r="T711" s="21"/>
      <c r="U711" s="89"/>
      <c r="V711" s="22"/>
    </row>
    <row r="712" spans="1:22" x14ac:dyDescent="0.25">
      <c r="A712" s="84" t="s">
        <v>982</v>
      </c>
      <c r="B712" s="85" t="s">
        <v>42</v>
      </c>
      <c r="C712" s="85" t="s">
        <v>342</v>
      </c>
      <c r="D712" s="85" t="s">
        <v>1157</v>
      </c>
      <c r="E712" s="86" t="s">
        <v>570</v>
      </c>
      <c r="F712" s="85" t="s">
        <v>42</v>
      </c>
      <c r="G712" s="85" t="s">
        <v>350</v>
      </c>
      <c r="H712" s="85"/>
      <c r="I712" s="85"/>
      <c r="J712" s="85"/>
      <c r="K712" s="85" t="s">
        <v>42</v>
      </c>
      <c r="L712" s="87">
        <v>0</v>
      </c>
      <c r="M712" s="87"/>
      <c r="N712" s="88"/>
      <c r="O712" s="33"/>
      <c r="P712" s="85"/>
      <c r="Q712" s="21"/>
      <c r="R712" s="87"/>
      <c r="S712" s="87"/>
      <c r="T712" s="21"/>
      <c r="U712" s="89"/>
      <c r="V712" s="22"/>
    </row>
    <row r="713" spans="1:22" x14ac:dyDescent="0.25">
      <c r="A713" s="84" t="s">
        <v>982</v>
      </c>
      <c r="B713" s="85" t="s">
        <v>42</v>
      </c>
      <c r="C713" s="85" t="s">
        <v>342</v>
      </c>
      <c r="D713" s="85" t="s">
        <v>1158</v>
      </c>
      <c r="E713" s="86" t="s">
        <v>1159</v>
      </c>
      <c r="F713" s="85" t="s">
        <v>42</v>
      </c>
      <c r="G713" s="85" t="s">
        <v>350</v>
      </c>
      <c r="H713" s="85"/>
      <c r="I713" s="85"/>
      <c r="J713" s="85"/>
      <c r="K713" s="85" t="s">
        <v>42</v>
      </c>
      <c r="L713" s="87">
        <v>0</v>
      </c>
      <c r="M713" s="87"/>
      <c r="N713" s="88"/>
      <c r="O713" s="33"/>
      <c r="P713" s="85"/>
      <c r="Q713" s="21"/>
      <c r="R713" s="87"/>
      <c r="S713" s="87"/>
      <c r="T713" s="21"/>
      <c r="U713" s="89"/>
      <c r="V713" s="22"/>
    </row>
    <row r="714" spans="1:22" x14ac:dyDescent="0.25">
      <c r="A714" s="84" t="s">
        <v>982</v>
      </c>
      <c r="B714" s="85" t="s">
        <v>42</v>
      </c>
      <c r="C714" s="85" t="s">
        <v>342</v>
      </c>
      <c r="D714" s="85" t="s">
        <v>1160</v>
      </c>
      <c r="E714" s="86" t="s">
        <v>1161</v>
      </c>
      <c r="F714" s="85" t="s">
        <v>42</v>
      </c>
      <c r="G714" s="85" t="s">
        <v>350</v>
      </c>
      <c r="H714" s="85"/>
      <c r="I714" s="85"/>
      <c r="J714" s="85"/>
      <c r="K714" s="85" t="s">
        <v>42</v>
      </c>
      <c r="L714" s="87">
        <v>0</v>
      </c>
      <c r="M714" s="87"/>
      <c r="N714" s="88"/>
      <c r="O714" s="33"/>
      <c r="P714" s="85"/>
      <c r="Q714" s="21"/>
      <c r="R714" s="87"/>
      <c r="S714" s="87"/>
      <c r="T714" s="21"/>
      <c r="U714" s="89"/>
      <c r="V714" s="22"/>
    </row>
    <row r="715" spans="1:22" x14ac:dyDescent="0.25">
      <c r="A715" s="84" t="s">
        <v>982</v>
      </c>
      <c r="B715" s="85" t="s">
        <v>42</v>
      </c>
      <c r="C715" s="85" t="s">
        <v>464</v>
      </c>
      <c r="D715" s="85" t="s">
        <v>465</v>
      </c>
      <c r="E715" s="86" t="s">
        <v>988</v>
      </c>
      <c r="F715" s="85" t="s">
        <v>666</v>
      </c>
      <c r="G715" s="85" t="s">
        <v>322</v>
      </c>
      <c r="H715" s="85" t="s">
        <v>9</v>
      </c>
      <c r="I715" s="85" t="s">
        <v>258</v>
      </c>
      <c r="J715" s="86" t="s">
        <v>323</v>
      </c>
      <c r="K715" s="85" t="s">
        <v>346</v>
      </c>
      <c r="L715" s="87">
        <v>35</v>
      </c>
      <c r="M715" s="87">
        <f>L715*VLOOKUP(H715,dagsoorttabel1,2,FALSE)</f>
        <v>35.875</v>
      </c>
      <c r="N715" s="88">
        <f>prodnorm54</f>
        <v>0</v>
      </c>
      <c r="O715" s="33">
        <f>dagwerk54</f>
        <v>0</v>
      </c>
      <c r="P715" s="85" t="s">
        <v>109</v>
      </c>
      <c r="Q715" s="21">
        <f>uurtarief54</f>
        <v>0</v>
      </c>
      <c r="R715" s="87" t="e">
        <f>IF(ISBLANK(N715),0,M715/ROUND(N715,4))</f>
        <v>#DIV/0!</v>
      </c>
      <c r="S715" s="87" t="e">
        <f>IF(ISBLANK(N715),0,R715*ROUND(O715,2))</f>
        <v>#DIV/0!</v>
      </c>
      <c r="T715" s="21" t="e">
        <f>ROUND(Q715,2)*R715</f>
        <v>#DIV/0!</v>
      </c>
      <c r="U715" s="87" t="e">
        <f>R715*dagenperjaar1</f>
        <v>#DIV/0!</v>
      </c>
      <c r="V715" s="22" t="e">
        <f>U715*ROUND(Q715,2)</f>
        <v>#DIV/0!</v>
      </c>
    </row>
    <row r="716" spans="1:22" x14ac:dyDescent="0.25">
      <c r="A716" s="84" t="s">
        <v>982</v>
      </c>
      <c r="B716" s="85" t="s">
        <v>42</v>
      </c>
      <c r="C716" s="85" t="s">
        <v>464</v>
      </c>
      <c r="D716" s="85" t="s">
        <v>467</v>
      </c>
      <c r="E716" s="86" t="s">
        <v>991</v>
      </c>
      <c r="F716" s="85" t="s">
        <v>349</v>
      </c>
      <c r="G716" s="85" t="s">
        <v>318</v>
      </c>
      <c r="H716" s="85" t="s">
        <v>9</v>
      </c>
      <c r="I716" s="85" t="s">
        <v>258</v>
      </c>
      <c r="J716" s="86" t="s">
        <v>319</v>
      </c>
      <c r="K716" s="85" t="s">
        <v>346</v>
      </c>
      <c r="L716" s="87">
        <v>3</v>
      </c>
      <c r="M716" s="87">
        <f>L716*VLOOKUP(H716,dagsoorttabel1,2,FALSE)</f>
        <v>3.0749999999999997</v>
      </c>
      <c r="N716" s="88">
        <f>prodnorm49</f>
        <v>0</v>
      </c>
      <c r="O716" s="33">
        <f>dagwerk49</f>
        <v>0</v>
      </c>
      <c r="P716" s="85" t="s">
        <v>109</v>
      </c>
      <c r="Q716" s="21">
        <f>uurtarief49</f>
        <v>0</v>
      </c>
      <c r="R716" s="87" t="e">
        <f>IF(ISBLANK(N716),0,M716/ROUND(N716,4))</f>
        <v>#DIV/0!</v>
      </c>
      <c r="S716" s="87" t="e">
        <f>IF(ISBLANK(N716),0,R716*ROUND(O716,2))</f>
        <v>#DIV/0!</v>
      </c>
      <c r="T716" s="21" t="e">
        <f>ROUND(Q716,2)*R716</f>
        <v>#DIV/0!</v>
      </c>
      <c r="U716" s="87" t="e">
        <f>R716*dagenperjaar1</f>
        <v>#DIV/0!</v>
      </c>
      <c r="V716" s="22" t="e">
        <f>U716*ROUND(Q716,2)</f>
        <v>#DIV/0!</v>
      </c>
    </row>
    <row r="717" spans="1:22" x14ac:dyDescent="0.25">
      <c r="A717" s="84" t="s">
        <v>982</v>
      </c>
      <c r="B717" s="85" t="s">
        <v>42</v>
      </c>
      <c r="C717" s="85" t="s">
        <v>464</v>
      </c>
      <c r="D717" s="85" t="s">
        <v>468</v>
      </c>
      <c r="E717" s="86" t="s">
        <v>373</v>
      </c>
      <c r="F717" s="85" t="s">
        <v>699</v>
      </c>
      <c r="G717" s="85" t="s">
        <v>312</v>
      </c>
      <c r="H717" s="85" t="s">
        <v>9</v>
      </c>
      <c r="I717" s="85" t="s">
        <v>258</v>
      </c>
      <c r="J717" s="86" t="s">
        <v>313</v>
      </c>
      <c r="K717" s="85" t="s">
        <v>346</v>
      </c>
      <c r="L717" s="87">
        <v>23</v>
      </c>
      <c r="M717" s="87">
        <f>L717*VLOOKUP(H717,dagsoorttabel1,2,FALSE)</f>
        <v>23.574999999999999</v>
      </c>
      <c r="N717" s="88">
        <f>prodnorm46</f>
        <v>0</v>
      </c>
      <c r="O717" s="33">
        <f>dagwerk46</f>
        <v>0</v>
      </c>
      <c r="P717" s="85" t="s">
        <v>109</v>
      </c>
      <c r="Q717" s="21">
        <f>uurtarief46</f>
        <v>0</v>
      </c>
      <c r="R717" s="87" t="e">
        <f>IF(ISBLANK(N717),0,M717/ROUND(N717,4))</f>
        <v>#DIV/0!</v>
      </c>
      <c r="S717" s="87" t="e">
        <f>IF(ISBLANK(N717),0,R717*ROUND(O717,2))</f>
        <v>#DIV/0!</v>
      </c>
      <c r="T717" s="21" t="e">
        <f>ROUND(Q717,2)*R717</f>
        <v>#DIV/0!</v>
      </c>
      <c r="U717" s="87" t="e">
        <f>R717*dagenperjaar1</f>
        <v>#DIV/0!</v>
      </c>
      <c r="V717" s="22" t="e">
        <f>U717*ROUND(Q717,2)</f>
        <v>#DIV/0!</v>
      </c>
    </row>
    <row r="718" spans="1:22" x14ac:dyDescent="0.25">
      <c r="A718" s="84" t="s">
        <v>982</v>
      </c>
      <c r="B718" s="85" t="s">
        <v>42</v>
      </c>
      <c r="C718" s="85" t="s">
        <v>464</v>
      </c>
      <c r="D718" s="85" t="s">
        <v>470</v>
      </c>
      <c r="E718" s="86" t="s">
        <v>1003</v>
      </c>
      <c r="F718" s="85" t="s">
        <v>699</v>
      </c>
      <c r="G718" s="85" t="s">
        <v>310</v>
      </c>
      <c r="H718" s="85" t="s">
        <v>9</v>
      </c>
      <c r="I718" s="85" t="s">
        <v>258</v>
      </c>
      <c r="J718" s="86" t="s">
        <v>311</v>
      </c>
      <c r="K718" s="85" t="s">
        <v>417</v>
      </c>
      <c r="L718" s="87">
        <v>5</v>
      </c>
      <c r="M718" s="87">
        <f>L718*VLOOKUP(H718,dagsoorttabel1,2,FALSE)</f>
        <v>5.125</v>
      </c>
      <c r="N718" s="88">
        <f>prodnorm45</f>
        <v>0</v>
      </c>
      <c r="O718" s="33">
        <f>dagwerk45</f>
        <v>0</v>
      </c>
      <c r="P718" s="85" t="s">
        <v>109</v>
      </c>
      <c r="Q718" s="21">
        <f>uurtarief45</f>
        <v>0</v>
      </c>
      <c r="R718" s="87" t="e">
        <f>IF(ISBLANK(N718),0,M718/ROUND(N718,4))</f>
        <v>#DIV/0!</v>
      </c>
      <c r="S718" s="87" t="e">
        <f>IF(ISBLANK(N718),0,R718*ROUND(O718,2))</f>
        <v>#DIV/0!</v>
      </c>
      <c r="T718" s="21" t="e">
        <f>ROUND(Q718,2)*R718</f>
        <v>#DIV/0!</v>
      </c>
      <c r="U718" s="87" t="e">
        <f>R718*dagenperjaar1</f>
        <v>#DIV/0!</v>
      </c>
      <c r="V718" s="22" t="e">
        <f>U718*ROUND(Q718,2)</f>
        <v>#DIV/0!</v>
      </c>
    </row>
    <row r="719" spans="1:22" x14ac:dyDescent="0.25">
      <c r="A719" s="84" t="s">
        <v>982</v>
      </c>
      <c r="B719" s="85" t="s">
        <v>42</v>
      </c>
      <c r="C719" s="85" t="s">
        <v>464</v>
      </c>
      <c r="D719" s="85" t="s">
        <v>472</v>
      </c>
      <c r="E719" s="86" t="s">
        <v>570</v>
      </c>
      <c r="F719" s="85" t="s">
        <v>42</v>
      </c>
      <c r="G719" s="85" t="s">
        <v>350</v>
      </c>
      <c r="H719" s="85"/>
      <c r="I719" s="85"/>
      <c r="J719" s="85"/>
      <c r="K719" s="85" t="s">
        <v>42</v>
      </c>
      <c r="L719" s="87">
        <v>0</v>
      </c>
      <c r="M719" s="87"/>
      <c r="N719" s="88"/>
      <c r="O719" s="33"/>
      <c r="P719" s="85"/>
      <c r="Q719" s="21"/>
      <c r="R719" s="87"/>
      <c r="S719" s="87"/>
      <c r="T719" s="21"/>
      <c r="U719" s="89"/>
      <c r="V719" s="22"/>
    </row>
    <row r="720" spans="1:22" x14ac:dyDescent="0.25">
      <c r="A720" s="84" t="s">
        <v>982</v>
      </c>
      <c r="B720" s="85" t="s">
        <v>42</v>
      </c>
      <c r="C720" s="85" t="s">
        <v>464</v>
      </c>
      <c r="D720" s="85" t="s">
        <v>474</v>
      </c>
      <c r="E720" s="86" t="s">
        <v>1162</v>
      </c>
      <c r="F720" s="85" t="s">
        <v>42</v>
      </c>
      <c r="G720" s="85" t="s">
        <v>350</v>
      </c>
      <c r="H720" s="85"/>
      <c r="I720" s="85"/>
      <c r="J720" s="85"/>
      <c r="K720" s="85" t="s">
        <v>42</v>
      </c>
      <c r="L720" s="87">
        <v>0</v>
      </c>
      <c r="M720" s="87"/>
      <c r="N720" s="88"/>
      <c r="O720" s="33"/>
      <c r="P720" s="85"/>
      <c r="Q720" s="21"/>
      <c r="R720" s="87"/>
      <c r="S720" s="87"/>
      <c r="T720" s="21"/>
      <c r="U720" s="89"/>
      <c r="V720" s="22"/>
    </row>
    <row r="721" spans="1:22" x14ac:dyDescent="0.25">
      <c r="A721" s="84" t="s">
        <v>982</v>
      </c>
      <c r="B721" s="85" t="s">
        <v>42</v>
      </c>
      <c r="C721" s="85" t="s">
        <v>464</v>
      </c>
      <c r="D721" s="85" t="s">
        <v>475</v>
      </c>
      <c r="E721" s="86" t="s">
        <v>373</v>
      </c>
      <c r="F721" s="85" t="s">
        <v>699</v>
      </c>
      <c r="G721" s="85" t="s">
        <v>312</v>
      </c>
      <c r="H721" s="85" t="s">
        <v>9</v>
      </c>
      <c r="I721" s="85" t="s">
        <v>258</v>
      </c>
      <c r="J721" s="86" t="s">
        <v>313</v>
      </c>
      <c r="K721" s="85" t="s">
        <v>346</v>
      </c>
      <c r="L721" s="87">
        <v>18</v>
      </c>
      <c r="M721" s="87">
        <f>L721*VLOOKUP(H721,dagsoorttabel1,2,FALSE)</f>
        <v>18.45</v>
      </c>
      <c r="N721" s="88">
        <f>prodnorm46</f>
        <v>0</v>
      </c>
      <c r="O721" s="33">
        <f>dagwerk46</f>
        <v>0</v>
      </c>
      <c r="P721" s="85" t="s">
        <v>109</v>
      </c>
      <c r="Q721" s="21">
        <f>uurtarief46</f>
        <v>0</v>
      </c>
      <c r="R721" s="87" t="e">
        <f>IF(ISBLANK(N721),0,M721/ROUND(N721,4))</f>
        <v>#DIV/0!</v>
      </c>
      <c r="S721" s="87" t="e">
        <f>IF(ISBLANK(N721),0,R721*ROUND(O721,2))</f>
        <v>#DIV/0!</v>
      </c>
      <c r="T721" s="21" t="e">
        <f>ROUND(Q721,2)*R721</f>
        <v>#DIV/0!</v>
      </c>
      <c r="U721" s="87" t="e">
        <f>R721*dagenperjaar1</f>
        <v>#DIV/0!</v>
      </c>
      <c r="V721" s="22" t="e">
        <f>U721*ROUND(Q721,2)</f>
        <v>#DIV/0!</v>
      </c>
    </row>
    <row r="722" spans="1:22" x14ac:dyDescent="0.25">
      <c r="A722" s="84" t="s">
        <v>982</v>
      </c>
      <c r="B722" s="85" t="s">
        <v>42</v>
      </c>
      <c r="C722" s="85" t="s">
        <v>464</v>
      </c>
      <c r="D722" s="85" t="s">
        <v>476</v>
      </c>
      <c r="E722" s="86" t="s">
        <v>1040</v>
      </c>
      <c r="F722" s="85" t="s">
        <v>699</v>
      </c>
      <c r="G722" s="85" t="s">
        <v>308</v>
      </c>
      <c r="H722" s="85" t="s">
        <v>9</v>
      </c>
      <c r="I722" s="85" t="s">
        <v>258</v>
      </c>
      <c r="J722" s="86" t="s">
        <v>309</v>
      </c>
      <c r="K722" s="85" t="s">
        <v>417</v>
      </c>
      <c r="L722" s="87">
        <v>20.2</v>
      </c>
      <c r="M722" s="87">
        <f>L722*VLOOKUP(H722,dagsoorttabel1,2,FALSE)</f>
        <v>20.704999999999998</v>
      </c>
      <c r="N722" s="88">
        <f>prodnorm43</f>
        <v>0</v>
      </c>
      <c r="O722" s="33">
        <f>dagwerk43</f>
        <v>0</v>
      </c>
      <c r="P722" s="85" t="s">
        <v>109</v>
      </c>
      <c r="Q722" s="21">
        <f>uurtarief43</f>
        <v>0</v>
      </c>
      <c r="R722" s="87" t="e">
        <f>IF(ISBLANK(N722),0,M722/ROUND(N722,4))</f>
        <v>#DIV/0!</v>
      </c>
      <c r="S722" s="87" t="e">
        <f>IF(ISBLANK(N722),0,R722*ROUND(O722,2))</f>
        <v>#DIV/0!</v>
      </c>
      <c r="T722" s="21" t="e">
        <f>ROUND(Q722,2)*R722</f>
        <v>#DIV/0!</v>
      </c>
      <c r="U722" s="87" t="e">
        <f>R722*dagenperjaar1</f>
        <v>#DIV/0!</v>
      </c>
      <c r="V722" s="22" t="e">
        <f>U722*ROUND(Q722,2)</f>
        <v>#DIV/0!</v>
      </c>
    </row>
    <row r="723" spans="1:22" x14ac:dyDescent="0.25">
      <c r="A723" s="84" t="s">
        <v>982</v>
      </c>
      <c r="B723" s="85" t="s">
        <v>42</v>
      </c>
      <c r="C723" s="85" t="s">
        <v>464</v>
      </c>
      <c r="D723" s="85" t="s">
        <v>477</v>
      </c>
      <c r="E723" s="86" t="s">
        <v>1163</v>
      </c>
      <c r="F723" s="85" t="s">
        <v>699</v>
      </c>
      <c r="G723" s="85" t="s">
        <v>350</v>
      </c>
      <c r="H723" s="85"/>
      <c r="I723" s="85"/>
      <c r="J723" s="85"/>
      <c r="K723" s="85" t="s">
        <v>42</v>
      </c>
      <c r="L723" s="87">
        <v>9.1</v>
      </c>
      <c r="M723" s="87"/>
      <c r="N723" s="88"/>
      <c r="O723" s="33"/>
      <c r="P723" s="85"/>
      <c r="Q723" s="21"/>
      <c r="R723" s="87"/>
      <c r="S723" s="87"/>
      <c r="T723" s="21"/>
      <c r="U723" s="89"/>
      <c r="V723" s="22"/>
    </row>
    <row r="724" spans="1:22" x14ac:dyDescent="0.25">
      <c r="A724" s="84" t="s">
        <v>982</v>
      </c>
      <c r="B724" s="85" t="s">
        <v>42</v>
      </c>
      <c r="C724" s="85" t="s">
        <v>464</v>
      </c>
      <c r="D724" s="85" t="s">
        <v>478</v>
      </c>
      <c r="E724" s="86" t="s">
        <v>1040</v>
      </c>
      <c r="F724" s="85" t="s">
        <v>699</v>
      </c>
      <c r="G724" s="85" t="s">
        <v>308</v>
      </c>
      <c r="H724" s="85" t="s">
        <v>9</v>
      </c>
      <c r="I724" s="85" t="s">
        <v>258</v>
      </c>
      <c r="J724" s="86" t="s">
        <v>309</v>
      </c>
      <c r="K724" s="85" t="s">
        <v>417</v>
      </c>
      <c r="L724" s="87">
        <v>28.8</v>
      </c>
      <c r="M724" s="87">
        <f>L724*VLOOKUP(H724,dagsoorttabel1,2,FALSE)</f>
        <v>29.52</v>
      </c>
      <c r="N724" s="88">
        <f>prodnorm43</f>
        <v>0</v>
      </c>
      <c r="O724" s="33">
        <f>dagwerk43</f>
        <v>0</v>
      </c>
      <c r="P724" s="85" t="s">
        <v>109</v>
      </c>
      <c r="Q724" s="21">
        <f>uurtarief43</f>
        <v>0</v>
      </c>
      <c r="R724" s="87" t="e">
        <f>IF(ISBLANK(N724),0,M724/ROUND(N724,4))</f>
        <v>#DIV/0!</v>
      </c>
      <c r="S724" s="87" t="e">
        <f>IF(ISBLANK(N724),0,R724*ROUND(O724,2))</f>
        <v>#DIV/0!</v>
      </c>
      <c r="T724" s="21" t="e">
        <f>ROUND(Q724,2)*R724</f>
        <v>#DIV/0!</v>
      </c>
      <c r="U724" s="87" t="e">
        <f>R724*dagenperjaar1</f>
        <v>#DIV/0!</v>
      </c>
      <c r="V724" s="22" t="e">
        <f>U724*ROUND(Q724,2)</f>
        <v>#DIV/0!</v>
      </c>
    </row>
    <row r="725" spans="1:22" x14ac:dyDescent="0.25">
      <c r="A725" s="84" t="s">
        <v>982</v>
      </c>
      <c r="B725" s="85" t="s">
        <v>42</v>
      </c>
      <c r="C725" s="85" t="s">
        <v>464</v>
      </c>
      <c r="D725" s="85" t="s">
        <v>480</v>
      </c>
      <c r="E725" s="86" t="s">
        <v>1164</v>
      </c>
      <c r="F725" s="85" t="s">
        <v>670</v>
      </c>
      <c r="G725" s="85" t="s">
        <v>324</v>
      </c>
      <c r="H725" s="85" t="s">
        <v>24</v>
      </c>
      <c r="I725" s="85" t="s">
        <v>325</v>
      </c>
      <c r="J725" s="86" t="s">
        <v>326</v>
      </c>
      <c r="K725" s="85" t="s">
        <v>386</v>
      </c>
      <c r="L725" s="87">
        <v>300</v>
      </c>
      <c r="M725" s="87">
        <f>L725*VLOOKUP(H725,dagsoorttabel1,2,FALSE)</f>
        <v>3</v>
      </c>
      <c r="N725" s="88">
        <f>prodnorm4</f>
        <v>0</v>
      </c>
      <c r="O725" s="33">
        <f>dagwerk4</f>
        <v>0</v>
      </c>
      <c r="P725" s="85" t="s">
        <v>109</v>
      </c>
      <c r="Q725" s="21">
        <f>uurtarief4</f>
        <v>0</v>
      </c>
      <c r="R725" s="87" t="e">
        <f>IF(ISBLANK(N725),0,M725/ROUND(N725,4))</f>
        <v>#DIV/0!</v>
      </c>
      <c r="S725" s="87" t="e">
        <f>IF(ISBLANK(N725),0,R725*ROUND(O725,2))</f>
        <v>#DIV/0!</v>
      </c>
      <c r="T725" s="21" t="e">
        <f>ROUND(Q725,2)*R725</f>
        <v>#DIV/0!</v>
      </c>
      <c r="U725" s="87" t="e">
        <f>R725*dagenperjaar1</f>
        <v>#DIV/0!</v>
      </c>
      <c r="V725" s="22" t="e">
        <f>U725*ROUND(Q725,2)</f>
        <v>#DIV/0!</v>
      </c>
    </row>
    <row r="726" spans="1:22" ht="23" x14ac:dyDescent="0.25">
      <c r="A726" s="84" t="s">
        <v>982</v>
      </c>
      <c r="B726" s="85" t="s">
        <v>42</v>
      </c>
      <c r="C726" s="85" t="s">
        <v>464</v>
      </c>
      <c r="D726" s="85" t="s">
        <v>480</v>
      </c>
      <c r="E726" s="86" t="s">
        <v>1164</v>
      </c>
      <c r="F726" s="85" t="s">
        <v>670</v>
      </c>
      <c r="G726" s="85" t="s">
        <v>270</v>
      </c>
      <c r="H726" s="85" t="s">
        <v>14</v>
      </c>
      <c r="I726" s="85" t="s">
        <v>258</v>
      </c>
      <c r="J726" s="86" t="s">
        <v>271</v>
      </c>
      <c r="K726" s="85" t="s">
        <v>386</v>
      </c>
      <c r="L726" s="87">
        <v>300</v>
      </c>
      <c r="M726" s="87">
        <f>L726*VLOOKUP(H726,dagsoorttabel1,2,FALSE)</f>
        <v>122.99999999999999</v>
      </c>
      <c r="N726" s="88">
        <f>prodnorm17</f>
        <v>0</v>
      </c>
      <c r="O726" s="33">
        <f>dagwerk17</f>
        <v>0</v>
      </c>
      <c r="P726" s="85" t="s">
        <v>109</v>
      </c>
      <c r="Q726" s="21">
        <f>uurtarief17</f>
        <v>0</v>
      </c>
      <c r="R726" s="87" t="e">
        <f>IF(ISBLANK(N726),0,M726/ROUND(N726,4))</f>
        <v>#DIV/0!</v>
      </c>
      <c r="S726" s="87" t="e">
        <f>IF(ISBLANK(N726),0,R726*ROUND(O726,2))</f>
        <v>#DIV/0!</v>
      </c>
      <c r="T726" s="21" t="e">
        <f>ROUND(Q726,2)*R726</f>
        <v>#DIV/0!</v>
      </c>
      <c r="U726" s="87" t="e">
        <f>R726*dagenperjaar1</f>
        <v>#DIV/0!</v>
      </c>
      <c r="V726" s="22" t="e">
        <f>U726*ROUND(Q726,2)</f>
        <v>#DIV/0!</v>
      </c>
    </row>
    <row r="727" spans="1:22" ht="23" x14ac:dyDescent="0.25">
      <c r="A727" s="84" t="s">
        <v>982</v>
      </c>
      <c r="B727" s="85" t="s">
        <v>42</v>
      </c>
      <c r="C727" s="85" t="s">
        <v>464</v>
      </c>
      <c r="D727" s="85" t="s">
        <v>481</v>
      </c>
      <c r="E727" s="86" t="s">
        <v>1165</v>
      </c>
      <c r="F727" s="85" t="s">
        <v>670</v>
      </c>
      <c r="G727" s="85" t="s">
        <v>270</v>
      </c>
      <c r="H727" s="85" t="s">
        <v>16</v>
      </c>
      <c r="I727" s="85" t="s">
        <v>258</v>
      </c>
      <c r="J727" s="86" t="s">
        <v>271</v>
      </c>
      <c r="K727" s="85" t="s">
        <v>346</v>
      </c>
      <c r="L727" s="87">
        <v>5.8</v>
      </c>
      <c r="M727" s="87">
        <f>L727*VLOOKUP(H727,dagsoorttabel1,2,FALSE)</f>
        <v>1.1889999999999998</v>
      </c>
      <c r="N727" s="88">
        <f>prodnorm16</f>
        <v>0</v>
      </c>
      <c r="O727" s="33">
        <f>dagwerk16</f>
        <v>0</v>
      </c>
      <c r="P727" s="85" t="s">
        <v>109</v>
      </c>
      <c r="Q727" s="21">
        <f>uurtarief16</f>
        <v>0</v>
      </c>
      <c r="R727" s="87" t="e">
        <f>IF(ISBLANK(N727),0,M727/ROUND(N727,4))</f>
        <v>#DIV/0!</v>
      </c>
      <c r="S727" s="87" t="e">
        <f>IF(ISBLANK(N727),0,R727*ROUND(O727,2))</f>
        <v>#DIV/0!</v>
      </c>
      <c r="T727" s="21" t="e">
        <f>ROUND(Q727,2)*R727</f>
        <v>#DIV/0!</v>
      </c>
      <c r="U727" s="87" t="e">
        <f>R727*dagenperjaar1</f>
        <v>#DIV/0!</v>
      </c>
      <c r="V727" s="22" t="e">
        <f>U727*ROUND(Q727,2)</f>
        <v>#DIV/0!</v>
      </c>
    </row>
    <row r="728" spans="1:22" x14ac:dyDescent="0.25">
      <c r="A728" s="84" t="s">
        <v>982</v>
      </c>
      <c r="B728" s="85" t="s">
        <v>42</v>
      </c>
      <c r="C728" s="85" t="s">
        <v>464</v>
      </c>
      <c r="D728" s="85" t="s">
        <v>482</v>
      </c>
      <c r="E728" s="86" t="s">
        <v>570</v>
      </c>
      <c r="F728" s="85" t="s">
        <v>670</v>
      </c>
      <c r="G728" s="85" t="s">
        <v>350</v>
      </c>
      <c r="H728" s="85"/>
      <c r="I728" s="85"/>
      <c r="J728" s="85"/>
      <c r="K728" s="85" t="s">
        <v>42</v>
      </c>
      <c r="L728" s="87">
        <v>40</v>
      </c>
      <c r="M728" s="87"/>
      <c r="N728" s="88"/>
      <c r="O728" s="33"/>
      <c r="P728" s="85"/>
      <c r="Q728" s="21"/>
      <c r="R728" s="87"/>
      <c r="S728" s="87"/>
      <c r="T728" s="21"/>
      <c r="U728" s="89"/>
      <c r="V728" s="22"/>
    </row>
    <row r="729" spans="1:22" x14ac:dyDescent="0.25">
      <c r="A729" s="84" t="s">
        <v>982</v>
      </c>
      <c r="B729" s="85" t="s">
        <v>42</v>
      </c>
      <c r="C729" s="85" t="s">
        <v>464</v>
      </c>
      <c r="D729" s="85" t="s">
        <v>484</v>
      </c>
      <c r="E729" s="86" t="s">
        <v>1166</v>
      </c>
      <c r="F729" s="85" t="s">
        <v>670</v>
      </c>
      <c r="G729" s="85" t="s">
        <v>324</v>
      </c>
      <c r="H729" s="85" t="s">
        <v>24</v>
      </c>
      <c r="I729" s="85" t="s">
        <v>325</v>
      </c>
      <c r="J729" s="86" t="s">
        <v>326</v>
      </c>
      <c r="K729" s="85" t="s">
        <v>42</v>
      </c>
      <c r="L729" s="87">
        <v>300</v>
      </c>
      <c r="M729" s="87">
        <f>L729*VLOOKUP(H729,dagsoorttabel1,2,FALSE)</f>
        <v>3</v>
      </c>
      <c r="N729" s="88">
        <f>prodnorm4</f>
        <v>0</v>
      </c>
      <c r="O729" s="33">
        <f>dagwerk4</f>
        <v>0</v>
      </c>
      <c r="P729" s="85" t="s">
        <v>109</v>
      </c>
      <c r="Q729" s="21">
        <f>uurtarief4</f>
        <v>0</v>
      </c>
      <c r="R729" s="87" t="e">
        <f>IF(ISBLANK(N729),0,M729/ROUND(N729,4))</f>
        <v>#DIV/0!</v>
      </c>
      <c r="S729" s="87" t="e">
        <f>IF(ISBLANK(N729),0,R729*ROUND(O729,2))</f>
        <v>#DIV/0!</v>
      </c>
      <c r="T729" s="21" t="e">
        <f>ROUND(Q729,2)*R729</f>
        <v>#DIV/0!</v>
      </c>
      <c r="U729" s="87" t="e">
        <f>R729*dagenperjaar1</f>
        <v>#DIV/0!</v>
      </c>
      <c r="V729" s="22" t="e">
        <f>U729*ROUND(Q729,2)</f>
        <v>#DIV/0!</v>
      </c>
    </row>
    <row r="730" spans="1:22" ht="23" x14ac:dyDescent="0.25">
      <c r="A730" s="84" t="s">
        <v>982</v>
      </c>
      <c r="B730" s="85" t="s">
        <v>42</v>
      </c>
      <c r="C730" s="85" t="s">
        <v>464</v>
      </c>
      <c r="D730" s="85" t="s">
        <v>484</v>
      </c>
      <c r="E730" s="86" t="s">
        <v>1166</v>
      </c>
      <c r="F730" s="85" t="s">
        <v>670</v>
      </c>
      <c r="G730" s="85" t="s">
        <v>270</v>
      </c>
      <c r="H730" s="85" t="s">
        <v>14</v>
      </c>
      <c r="I730" s="85" t="s">
        <v>258</v>
      </c>
      <c r="J730" s="86" t="s">
        <v>271</v>
      </c>
      <c r="K730" s="85" t="s">
        <v>42</v>
      </c>
      <c r="L730" s="87">
        <v>300</v>
      </c>
      <c r="M730" s="87">
        <f>L730*VLOOKUP(H730,dagsoorttabel1,2,FALSE)</f>
        <v>122.99999999999999</v>
      </c>
      <c r="N730" s="88">
        <f>prodnorm17</f>
        <v>0</v>
      </c>
      <c r="O730" s="33">
        <f>dagwerk17</f>
        <v>0</v>
      </c>
      <c r="P730" s="85" t="s">
        <v>109</v>
      </c>
      <c r="Q730" s="21">
        <f>uurtarief17</f>
        <v>0</v>
      </c>
      <c r="R730" s="87" t="e">
        <f>IF(ISBLANK(N730),0,M730/ROUND(N730,4))</f>
        <v>#DIV/0!</v>
      </c>
      <c r="S730" s="87" t="e">
        <f>IF(ISBLANK(N730),0,R730*ROUND(O730,2))</f>
        <v>#DIV/0!</v>
      </c>
      <c r="T730" s="21" t="e">
        <f>ROUND(Q730,2)*R730</f>
        <v>#DIV/0!</v>
      </c>
      <c r="U730" s="87" t="e">
        <f>R730*dagenperjaar1</f>
        <v>#DIV/0!</v>
      </c>
      <c r="V730" s="22" t="e">
        <f>U730*ROUND(Q730,2)</f>
        <v>#DIV/0!</v>
      </c>
    </row>
    <row r="731" spans="1:22" x14ac:dyDescent="0.25">
      <c r="A731" s="84" t="s">
        <v>982</v>
      </c>
      <c r="B731" s="85" t="s">
        <v>42</v>
      </c>
      <c r="C731" s="85" t="s">
        <v>464</v>
      </c>
      <c r="D731" s="85" t="s">
        <v>486</v>
      </c>
      <c r="E731" s="86" t="s">
        <v>570</v>
      </c>
      <c r="F731" s="85" t="s">
        <v>670</v>
      </c>
      <c r="G731" s="85" t="s">
        <v>350</v>
      </c>
      <c r="H731" s="85"/>
      <c r="I731" s="85"/>
      <c r="J731" s="85"/>
      <c r="K731" s="85" t="s">
        <v>42</v>
      </c>
      <c r="L731" s="87">
        <v>40</v>
      </c>
      <c r="M731" s="87"/>
      <c r="N731" s="88"/>
      <c r="O731" s="33"/>
      <c r="P731" s="85"/>
      <c r="Q731" s="21"/>
      <c r="R731" s="87"/>
      <c r="S731" s="87"/>
      <c r="T731" s="21"/>
      <c r="U731" s="89"/>
      <c r="V731" s="22"/>
    </row>
    <row r="732" spans="1:22" ht="23" x14ac:dyDescent="0.25">
      <c r="A732" s="84" t="s">
        <v>982</v>
      </c>
      <c r="B732" s="85" t="s">
        <v>42</v>
      </c>
      <c r="C732" s="85" t="s">
        <v>464</v>
      </c>
      <c r="D732" s="85" t="s">
        <v>487</v>
      </c>
      <c r="E732" s="86" t="s">
        <v>570</v>
      </c>
      <c r="F732" s="85" t="s">
        <v>670</v>
      </c>
      <c r="G732" s="85" t="s">
        <v>270</v>
      </c>
      <c r="H732" s="85" t="s">
        <v>16</v>
      </c>
      <c r="I732" s="85" t="s">
        <v>258</v>
      </c>
      <c r="J732" s="86" t="s">
        <v>271</v>
      </c>
      <c r="K732" s="85" t="s">
        <v>42</v>
      </c>
      <c r="L732" s="87">
        <v>40</v>
      </c>
      <c r="M732" s="87">
        <f>L732*VLOOKUP(H732,dagsoorttabel1,2,FALSE)</f>
        <v>8.1999999999999993</v>
      </c>
      <c r="N732" s="88">
        <f>prodnorm16</f>
        <v>0</v>
      </c>
      <c r="O732" s="33">
        <f>dagwerk16</f>
        <v>0</v>
      </c>
      <c r="P732" s="85" t="s">
        <v>109</v>
      </c>
      <c r="Q732" s="21">
        <f>uurtarief16</f>
        <v>0</v>
      </c>
      <c r="R732" s="87" t="e">
        <f>IF(ISBLANK(N732),0,M732/ROUND(N732,4))</f>
        <v>#DIV/0!</v>
      </c>
      <c r="S732" s="87" t="e">
        <f>IF(ISBLANK(N732),0,R732*ROUND(O732,2))</f>
        <v>#DIV/0!</v>
      </c>
      <c r="T732" s="21" t="e">
        <f>ROUND(Q732,2)*R732</f>
        <v>#DIV/0!</v>
      </c>
      <c r="U732" s="87" t="e">
        <f>R732*dagenperjaar1</f>
        <v>#DIV/0!</v>
      </c>
      <c r="V732" s="22" t="e">
        <f>U732*ROUND(Q732,2)</f>
        <v>#DIV/0!</v>
      </c>
    </row>
    <row r="733" spans="1:22" ht="23" x14ac:dyDescent="0.25">
      <c r="A733" s="84" t="s">
        <v>982</v>
      </c>
      <c r="B733" s="85" t="s">
        <v>42</v>
      </c>
      <c r="C733" s="85" t="s">
        <v>464</v>
      </c>
      <c r="D733" s="85" t="s">
        <v>489</v>
      </c>
      <c r="E733" s="86" t="s">
        <v>1167</v>
      </c>
      <c r="F733" s="85" t="s">
        <v>670</v>
      </c>
      <c r="G733" s="85" t="s">
        <v>270</v>
      </c>
      <c r="H733" s="85" t="s">
        <v>16</v>
      </c>
      <c r="I733" s="85" t="s">
        <v>258</v>
      </c>
      <c r="J733" s="86" t="s">
        <v>271</v>
      </c>
      <c r="K733" s="85" t="s">
        <v>346</v>
      </c>
      <c r="L733" s="87">
        <v>4.4000000000000004</v>
      </c>
      <c r="M733" s="87">
        <f>L733*VLOOKUP(H733,dagsoorttabel1,2,FALSE)</f>
        <v>0.90200000000000002</v>
      </c>
      <c r="N733" s="88">
        <f>prodnorm16</f>
        <v>0</v>
      </c>
      <c r="O733" s="33">
        <f>dagwerk16</f>
        <v>0</v>
      </c>
      <c r="P733" s="85" t="s">
        <v>109</v>
      </c>
      <c r="Q733" s="21">
        <f>uurtarief16</f>
        <v>0</v>
      </c>
      <c r="R733" s="87" t="e">
        <f>IF(ISBLANK(N733),0,M733/ROUND(N733,4))</f>
        <v>#DIV/0!</v>
      </c>
      <c r="S733" s="87" t="e">
        <f>IF(ISBLANK(N733),0,R733*ROUND(O733,2))</f>
        <v>#DIV/0!</v>
      </c>
      <c r="T733" s="21" t="e">
        <f>ROUND(Q733,2)*R733</f>
        <v>#DIV/0!</v>
      </c>
      <c r="U733" s="87" t="e">
        <f>R733*dagenperjaar1</f>
        <v>#DIV/0!</v>
      </c>
      <c r="V733" s="22" t="e">
        <f>U733*ROUND(Q733,2)</f>
        <v>#DIV/0!</v>
      </c>
    </row>
    <row r="734" spans="1:22" x14ac:dyDescent="0.25">
      <c r="A734" s="84" t="s">
        <v>982</v>
      </c>
      <c r="B734" s="85" t="s">
        <v>42</v>
      </c>
      <c r="C734" s="85" t="s">
        <v>464</v>
      </c>
      <c r="D734" s="85" t="s">
        <v>490</v>
      </c>
      <c r="E734" s="86" t="s">
        <v>1168</v>
      </c>
      <c r="F734" s="85" t="s">
        <v>670</v>
      </c>
      <c r="G734" s="85" t="s">
        <v>324</v>
      </c>
      <c r="H734" s="85" t="s">
        <v>24</v>
      </c>
      <c r="I734" s="85" t="s">
        <v>325</v>
      </c>
      <c r="J734" s="86" t="s">
        <v>326</v>
      </c>
      <c r="K734" s="85" t="s">
        <v>386</v>
      </c>
      <c r="L734" s="87">
        <v>300</v>
      </c>
      <c r="M734" s="87">
        <f>L734*VLOOKUP(H734,dagsoorttabel1,2,FALSE)</f>
        <v>3</v>
      </c>
      <c r="N734" s="88">
        <f>prodnorm4</f>
        <v>0</v>
      </c>
      <c r="O734" s="33">
        <f>dagwerk4</f>
        <v>0</v>
      </c>
      <c r="P734" s="85" t="s">
        <v>109</v>
      </c>
      <c r="Q734" s="21">
        <f>uurtarief4</f>
        <v>0</v>
      </c>
      <c r="R734" s="87" t="e">
        <f>IF(ISBLANK(N734),0,M734/ROUND(N734,4))</f>
        <v>#DIV/0!</v>
      </c>
      <c r="S734" s="87" t="e">
        <f>IF(ISBLANK(N734),0,R734*ROUND(O734,2))</f>
        <v>#DIV/0!</v>
      </c>
      <c r="T734" s="21" t="e">
        <f>ROUND(Q734,2)*R734</f>
        <v>#DIV/0!</v>
      </c>
      <c r="U734" s="87" t="e">
        <f>R734*dagenperjaar1</f>
        <v>#DIV/0!</v>
      </c>
      <c r="V734" s="22" t="e">
        <f>U734*ROUND(Q734,2)</f>
        <v>#DIV/0!</v>
      </c>
    </row>
    <row r="735" spans="1:22" ht="23" x14ac:dyDescent="0.25">
      <c r="A735" s="84" t="s">
        <v>982</v>
      </c>
      <c r="B735" s="85" t="s">
        <v>42</v>
      </c>
      <c r="C735" s="85" t="s">
        <v>464</v>
      </c>
      <c r="D735" s="85" t="s">
        <v>490</v>
      </c>
      <c r="E735" s="86" t="s">
        <v>1168</v>
      </c>
      <c r="F735" s="85" t="s">
        <v>670</v>
      </c>
      <c r="G735" s="85" t="s">
        <v>270</v>
      </c>
      <c r="H735" s="85" t="s">
        <v>14</v>
      </c>
      <c r="I735" s="85" t="s">
        <v>258</v>
      </c>
      <c r="J735" s="86" t="s">
        <v>271</v>
      </c>
      <c r="K735" s="85" t="s">
        <v>386</v>
      </c>
      <c r="L735" s="87">
        <v>300</v>
      </c>
      <c r="M735" s="87">
        <f>L735*VLOOKUP(H735,dagsoorttabel1,2,FALSE)</f>
        <v>122.99999999999999</v>
      </c>
      <c r="N735" s="88">
        <f>prodnorm17</f>
        <v>0</v>
      </c>
      <c r="O735" s="33">
        <f>dagwerk17</f>
        <v>0</v>
      </c>
      <c r="P735" s="85" t="s">
        <v>109</v>
      </c>
      <c r="Q735" s="21">
        <f>uurtarief17</f>
        <v>0</v>
      </c>
      <c r="R735" s="87" t="e">
        <f>IF(ISBLANK(N735),0,M735/ROUND(N735,4))</f>
        <v>#DIV/0!</v>
      </c>
      <c r="S735" s="87" t="e">
        <f>IF(ISBLANK(N735),0,R735*ROUND(O735,2))</f>
        <v>#DIV/0!</v>
      </c>
      <c r="T735" s="21" t="e">
        <f>ROUND(Q735,2)*R735</f>
        <v>#DIV/0!</v>
      </c>
      <c r="U735" s="87" t="e">
        <f>R735*dagenperjaar1</f>
        <v>#DIV/0!</v>
      </c>
      <c r="V735" s="22" t="e">
        <f>U735*ROUND(Q735,2)</f>
        <v>#DIV/0!</v>
      </c>
    </row>
    <row r="736" spans="1:22" x14ac:dyDescent="0.25">
      <c r="A736" s="84" t="s">
        <v>982</v>
      </c>
      <c r="B736" s="85" t="s">
        <v>42</v>
      </c>
      <c r="C736" s="85" t="s">
        <v>464</v>
      </c>
      <c r="D736" s="85" t="s">
        <v>1169</v>
      </c>
      <c r="E736" s="86" t="s">
        <v>570</v>
      </c>
      <c r="F736" s="85" t="s">
        <v>670</v>
      </c>
      <c r="G736" s="85" t="s">
        <v>350</v>
      </c>
      <c r="H736" s="85"/>
      <c r="I736" s="85"/>
      <c r="J736" s="85"/>
      <c r="K736" s="85" t="s">
        <v>42</v>
      </c>
      <c r="L736" s="87">
        <v>40</v>
      </c>
      <c r="M736" s="87"/>
      <c r="N736" s="88"/>
      <c r="O736" s="33"/>
      <c r="P736" s="85"/>
      <c r="Q736" s="21"/>
      <c r="R736" s="87"/>
      <c r="S736" s="87"/>
      <c r="T736" s="21"/>
      <c r="U736" s="89"/>
      <c r="V736" s="22"/>
    </row>
    <row r="737" spans="1:22" ht="23" x14ac:dyDescent="0.25">
      <c r="A737" s="84" t="s">
        <v>982</v>
      </c>
      <c r="B737" s="85" t="s">
        <v>42</v>
      </c>
      <c r="C737" s="85" t="s">
        <v>464</v>
      </c>
      <c r="D737" s="85" t="s">
        <v>1170</v>
      </c>
      <c r="E737" s="86" t="s">
        <v>1165</v>
      </c>
      <c r="F737" s="85" t="s">
        <v>699</v>
      </c>
      <c r="G737" s="85" t="s">
        <v>270</v>
      </c>
      <c r="H737" s="85" t="s">
        <v>16</v>
      </c>
      <c r="I737" s="85" t="s">
        <v>258</v>
      </c>
      <c r="J737" s="86" t="s">
        <v>271</v>
      </c>
      <c r="K737" s="85" t="s">
        <v>346</v>
      </c>
      <c r="L737" s="87">
        <v>5.8</v>
      </c>
      <c r="M737" s="87">
        <f t="shared" ref="M737:M742" si="180">L737*VLOOKUP(H737,dagsoorttabel1,2,FALSE)</f>
        <v>1.1889999999999998</v>
      </c>
      <c r="N737" s="88">
        <f>prodnorm16</f>
        <v>0</v>
      </c>
      <c r="O737" s="33">
        <f>dagwerk16</f>
        <v>0</v>
      </c>
      <c r="P737" s="85" t="s">
        <v>109</v>
      </c>
      <c r="Q737" s="21">
        <f>uurtarief16</f>
        <v>0</v>
      </c>
      <c r="R737" s="87" t="e">
        <f t="shared" ref="R737:R742" si="181">IF(ISBLANK(N737),0,M737/ROUND(N737,4))</f>
        <v>#DIV/0!</v>
      </c>
      <c r="S737" s="87" t="e">
        <f t="shared" ref="S737:S742" si="182">IF(ISBLANK(N737),0,R737*ROUND(O737,2))</f>
        <v>#DIV/0!</v>
      </c>
      <c r="T737" s="21" t="e">
        <f t="shared" ref="T737:T742" si="183">ROUND(Q737,2)*R737</f>
        <v>#DIV/0!</v>
      </c>
      <c r="U737" s="87" t="e">
        <f t="shared" ref="U737:U742" si="184">R737*dagenperjaar1</f>
        <v>#DIV/0!</v>
      </c>
      <c r="V737" s="22" t="e">
        <f t="shared" ref="V737:V742" si="185">U737*ROUND(Q737,2)</f>
        <v>#DIV/0!</v>
      </c>
    </row>
    <row r="738" spans="1:22" x14ac:dyDescent="0.25">
      <c r="A738" s="84" t="s">
        <v>982</v>
      </c>
      <c r="B738" s="85" t="s">
        <v>42</v>
      </c>
      <c r="C738" s="85" t="s">
        <v>464</v>
      </c>
      <c r="D738" s="85" t="s">
        <v>1171</v>
      </c>
      <c r="E738" s="86" t="s">
        <v>1040</v>
      </c>
      <c r="F738" s="85" t="s">
        <v>699</v>
      </c>
      <c r="G738" s="85" t="s">
        <v>308</v>
      </c>
      <c r="H738" s="85" t="s">
        <v>9</v>
      </c>
      <c r="I738" s="85" t="s">
        <v>258</v>
      </c>
      <c r="J738" s="86" t="s">
        <v>309</v>
      </c>
      <c r="K738" s="85" t="s">
        <v>417</v>
      </c>
      <c r="L738" s="87">
        <v>34.1</v>
      </c>
      <c r="M738" s="87">
        <f t="shared" si="180"/>
        <v>34.952500000000001</v>
      </c>
      <c r="N738" s="88">
        <f>prodnorm43</f>
        <v>0</v>
      </c>
      <c r="O738" s="33">
        <f>dagwerk43</f>
        <v>0</v>
      </c>
      <c r="P738" s="85" t="s">
        <v>109</v>
      </c>
      <c r="Q738" s="21">
        <f>uurtarief43</f>
        <v>0</v>
      </c>
      <c r="R738" s="87" t="e">
        <f t="shared" si="181"/>
        <v>#DIV/0!</v>
      </c>
      <c r="S738" s="87" t="e">
        <f t="shared" si="182"/>
        <v>#DIV/0!</v>
      </c>
      <c r="T738" s="21" t="e">
        <f t="shared" si="183"/>
        <v>#DIV/0!</v>
      </c>
      <c r="U738" s="87" t="e">
        <f t="shared" si="184"/>
        <v>#DIV/0!</v>
      </c>
      <c r="V738" s="22" t="e">
        <f t="shared" si="185"/>
        <v>#DIV/0!</v>
      </c>
    </row>
    <row r="739" spans="1:22" x14ac:dyDescent="0.25">
      <c r="A739" s="84" t="s">
        <v>982</v>
      </c>
      <c r="B739" s="85" t="s">
        <v>42</v>
      </c>
      <c r="C739" s="85" t="s">
        <v>464</v>
      </c>
      <c r="D739" s="85" t="s">
        <v>1172</v>
      </c>
      <c r="E739" s="86" t="s">
        <v>1163</v>
      </c>
      <c r="F739" s="85" t="s">
        <v>699</v>
      </c>
      <c r="G739" s="85" t="s">
        <v>306</v>
      </c>
      <c r="H739" s="85" t="s">
        <v>9</v>
      </c>
      <c r="I739" s="85" t="s">
        <v>258</v>
      </c>
      <c r="J739" s="86" t="s">
        <v>307</v>
      </c>
      <c r="K739" s="85" t="s">
        <v>417</v>
      </c>
      <c r="L739" s="87">
        <v>9.1</v>
      </c>
      <c r="M739" s="87">
        <f t="shared" si="180"/>
        <v>9.3274999999999988</v>
      </c>
      <c r="N739" s="88">
        <f>prodnorm42</f>
        <v>0</v>
      </c>
      <c r="O739" s="33">
        <f>dagwerk42</f>
        <v>0</v>
      </c>
      <c r="P739" s="85" t="s">
        <v>109</v>
      </c>
      <c r="Q739" s="21">
        <f>uurtarief42</f>
        <v>0</v>
      </c>
      <c r="R739" s="87" t="e">
        <f t="shared" si="181"/>
        <v>#DIV/0!</v>
      </c>
      <c r="S739" s="87" t="e">
        <f t="shared" si="182"/>
        <v>#DIV/0!</v>
      </c>
      <c r="T739" s="21" t="e">
        <f t="shared" si="183"/>
        <v>#DIV/0!</v>
      </c>
      <c r="U739" s="87" t="e">
        <f t="shared" si="184"/>
        <v>#DIV/0!</v>
      </c>
      <c r="V739" s="22" t="e">
        <f t="shared" si="185"/>
        <v>#DIV/0!</v>
      </c>
    </row>
    <row r="740" spans="1:22" x14ac:dyDescent="0.25">
      <c r="A740" s="84" t="s">
        <v>982</v>
      </c>
      <c r="B740" s="85" t="s">
        <v>42</v>
      </c>
      <c r="C740" s="85" t="s">
        <v>464</v>
      </c>
      <c r="D740" s="85" t="s">
        <v>491</v>
      </c>
      <c r="E740" s="86" t="s">
        <v>1040</v>
      </c>
      <c r="F740" s="85" t="s">
        <v>699</v>
      </c>
      <c r="G740" s="85" t="s">
        <v>308</v>
      </c>
      <c r="H740" s="85" t="s">
        <v>9</v>
      </c>
      <c r="I740" s="85" t="s">
        <v>258</v>
      </c>
      <c r="J740" s="86" t="s">
        <v>309</v>
      </c>
      <c r="K740" s="85" t="s">
        <v>417</v>
      </c>
      <c r="L740" s="87">
        <v>27.4</v>
      </c>
      <c r="M740" s="87">
        <f t="shared" si="180"/>
        <v>28.084999999999997</v>
      </c>
      <c r="N740" s="88">
        <f>prodnorm43</f>
        <v>0</v>
      </c>
      <c r="O740" s="33">
        <f>dagwerk43</f>
        <v>0</v>
      </c>
      <c r="P740" s="85" t="s">
        <v>109</v>
      </c>
      <c r="Q740" s="21">
        <f>uurtarief43</f>
        <v>0</v>
      </c>
      <c r="R740" s="87" t="e">
        <f t="shared" si="181"/>
        <v>#DIV/0!</v>
      </c>
      <c r="S740" s="87" t="e">
        <f t="shared" si="182"/>
        <v>#DIV/0!</v>
      </c>
      <c r="T740" s="21" t="e">
        <f t="shared" si="183"/>
        <v>#DIV/0!</v>
      </c>
      <c r="U740" s="87" t="e">
        <f t="shared" si="184"/>
        <v>#DIV/0!</v>
      </c>
      <c r="V740" s="22" t="e">
        <f t="shared" si="185"/>
        <v>#DIV/0!</v>
      </c>
    </row>
    <row r="741" spans="1:22" x14ac:dyDescent="0.25">
      <c r="A741" s="84" t="s">
        <v>982</v>
      </c>
      <c r="B741" s="85" t="s">
        <v>42</v>
      </c>
      <c r="C741" s="85" t="s">
        <v>464</v>
      </c>
      <c r="D741" s="85" t="s">
        <v>1173</v>
      </c>
      <c r="E741" s="86" t="s">
        <v>1163</v>
      </c>
      <c r="F741" s="85" t="s">
        <v>699</v>
      </c>
      <c r="G741" s="85" t="s">
        <v>306</v>
      </c>
      <c r="H741" s="85" t="s">
        <v>9</v>
      </c>
      <c r="I741" s="85" t="s">
        <v>258</v>
      </c>
      <c r="J741" s="86" t="s">
        <v>307</v>
      </c>
      <c r="K741" s="85" t="s">
        <v>417</v>
      </c>
      <c r="L741" s="87">
        <v>9.1</v>
      </c>
      <c r="M741" s="87">
        <f t="shared" si="180"/>
        <v>9.3274999999999988</v>
      </c>
      <c r="N741" s="88">
        <f>prodnorm42</f>
        <v>0</v>
      </c>
      <c r="O741" s="33">
        <f>dagwerk42</f>
        <v>0</v>
      </c>
      <c r="P741" s="85" t="s">
        <v>109</v>
      </c>
      <c r="Q741" s="21">
        <f>uurtarief42</f>
        <v>0</v>
      </c>
      <c r="R741" s="87" t="e">
        <f t="shared" si="181"/>
        <v>#DIV/0!</v>
      </c>
      <c r="S741" s="87" t="e">
        <f t="shared" si="182"/>
        <v>#DIV/0!</v>
      </c>
      <c r="T741" s="21" t="e">
        <f t="shared" si="183"/>
        <v>#DIV/0!</v>
      </c>
      <c r="U741" s="87" t="e">
        <f t="shared" si="184"/>
        <v>#DIV/0!</v>
      </c>
      <c r="V741" s="22" t="e">
        <f t="shared" si="185"/>
        <v>#DIV/0!</v>
      </c>
    </row>
    <row r="742" spans="1:22" x14ac:dyDescent="0.25">
      <c r="A742" s="84" t="s">
        <v>982</v>
      </c>
      <c r="B742" s="85" t="s">
        <v>42</v>
      </c>
      <c r="C742" s="85" t="s">
        <v>464</v>
      </c>
      <c r="D742" s="85" t="s">
        <v>1174</v>
      </c>
      <c r="E742" s="86" t="s">
        <v>373</v>
      </c>
      <c r="F742" s="85" t="s">
        <v>699</v>
      </c>
      <c r="G742" s="85" t="s">
        <v>312</v>
      </c>
      <c r="H742" s="85" t="s">
        <v>9</v>
      </c>
      <c r="I742" s="85" t="s">
        <v>258</v>
      </c>
      <c r="J742" s="86" t="s">
        <v>313</v>
      </c>
      <c r="K742" s="85" t="s">
        <v>346</v>
      </c>
      <c r="L742" s="87">
        <v>80</v>
      </c>
      <c r="M742" s="87">
        <f t="shared" si="180"/>
        <v>82</v>
      </c>
      <c r="N742" s="88">
        <f>prodnorm46</f>
        <v>0</v>
      </c>
      <c r="O742" s="33">
        <f>dagwerk46</f>
        <v>0</v>
      </c>
      <c r="P742" s="85" t="s">
        <v>109</v>
      </c>
      <c r="Q742" s="21">
        <f>uurtarief46</f>
        <v>0</v>
      </c>
      <c r="R742" s="87" t="e">
        <f t="shared" si="181"/>
        <v>#DIV/0!</v>
      </c>
      <c r="S742" s="87" t="e">
        <f t="shared" si="182"/>
        <v>#DIV/0!</v>
      </c>
      <c r="T742" s="21" t="e">
        <f t="shared" si="183"/>
        <v>#DIV/0!</v>
      </c>
      <c r="U742" s="87" t="e">
        <f t="shared" si="184"/>
        <v>#DIV/0!</v>
      </c>
      <c r="V742" s="22" t="e">
        <f t="shared" si="185"/>
        <v>#DIV/0!</v>
      </c>
    </row>
    <row r="743" spans="1:22" x14ac:dyDescent="0.25">
      <c r="A743" s="84" t="s">
        <v>982</v>
      </c>
      <c r="B743" s="85" t="s">
        <v>42</v>
      </c>
      <c r="C743" s="85" t="s">
        <v>464</v>
      </c>
      <c r="D743" s="85" t="s">
        <v>1175</v>
      </c>
      <c r="E743" s="86" t="s">
        <v>770</v>
      </c>
      <c r="F743" s="85" t="s">
        <v>42</v>
      </c>
      <c r="G743" s="85" t="s">
        <v>350</v>
      </c>
      <c r="H743" s="85"/>
      <c r="I743" s="85"/>
      <c r="J743" s="85"/>
      <c r="K743" s="85" t="s">
        <v>42</v>
      </c>
      <c r="L743" s="87">
        <v>0</v>
      </c>
      <c r="M743" s="87"/>
      <c r="N743" s="88"/>
      <c r="O743" s="33"/>
      <c r="P743" s="85"/>
      <c r="Q743" s="21"/>
      <c r="R743" s="87"/>
      <c r="S743" s="87"/>
      <c r="T743" s="21"/>
      <c r="U743" s="89"/>
      <c r="V743" s="22"/>
    </row>
    <row r="744" spans="1:22" x14ac:dyDescent="0.25">
      <c r="A744" s="84" t="s">
        <v>982</v>
      </c>
      <c r="B744" s="85" t="s">
        <v>42</v>
      </c>
      <c r="C744" s="85" t="s">
        <v>464</v>
      </c>
      <c r="D744" s="85" t="s">
        <v>1176</v>
      </c>
      <c r="E744" s="86" t="s">
        <v>1177</v>
      </c>
      <c r="F744" s="85" t="s">
        <v>699</v>
      </c>
      <c r="G744" s="85" t="s">
        <v>308</v>
      </c>
      <c r="H744" s="85" t="s">
        <v>9</v>
      </c>
      <c r="I744" s="85" t="s">
        <v>258</v>
      </c>
      <c r="J744" s="86" t="s">
        <v>309</v>
      </c>
      <c r="K744" s="85" t="s">
        <v>417</v>
      </c>
      <c r="L744" s="87">
        <v>13.4</v>
      </c>
      <c r="M744" s="87">
        <f>L744*VLOOKUP(H744,dagsoorttabel1,2,FALSE)</f>
        <v>13.734999999999999</v>
      </c>
      <c r="N744" s="88">
        <f>prodnorm43</f>
        <v>0</v>
      </c>
      <c r="O744" s="33">
        <f>dagwerk43</f>
        <v>0</v>
      </c>
      <c r="P744" s="85" t="s">
        <v>109</v>
      </c>
      <c r="Q744" s="21">
        <f>uurtarief43</f>
        <v>0</v>
      </c>
      <c r="R744" s="87" t="e">
        <f>IF(ISBLANK(N744),0,M744/ROUND(N744,4))</f>
        <v>#DIV/0!</v>
      </c>
      <c r="S744" s="87" t="e">
        <f>IF(ISBLANK(N744),0,R744*ROUND(O744,2))</f>
        <v>#DIV/0!</v>
      </c>
      <c r="T744" s="21" t="e">
        <f>ROUND(Q744,2)*R744</f>
        <v>#DIV/0!</v>
      </c>
      <c r="U744" s="87" t="e">
        <f>R744*dagenperjaar1</f>
        <v>#DIV/0!</v>
      </c>
      <c r="V744" s="22" t="e">
        <f>U744*ROUND(Q744,2)</f>
        <v>#DIV/0!</v>
      </c>
    </row>
    <row r="745" spans="1:22" ht="23" x14ac:dyDescent="0.25">
      <c r="A745" s="84" t="s">
        <v>982</v>
      </c>
      <c r="B745" s="85" t="s">
        <v>42</v>
      </c>
      <c r="C745" s="85" t="s">
        <v>464</v>
      </c>
      <c r="D745" s="85" t="s">
        <v>1178</v>
      </c>
      <c r="E745" s="86" t="s">
        <v>1179</v>
      </c>
      <c r="F745" s="85" t="s">
        <v>699</v>
      </c>
      <c r="G745" s="85" t="s">
        <v>308</v>
      </c>
      <c r="H745" s="85" t="s">
        <v>9</v>
      </c>
      <c r="I745" s="85" t="s">
        <v>258</v>
      </c>
      <c r="J745" s="86" t="s">
        <v>309</v>
      </c>
      <c r="K745" s="85" t="s">
        <v>417</v>
      </c>
      <c r="L745" s="87">
        <v>13.4</v>
      </c>
      <c r="M745" s="87">
        <f>L745*VLOOKUP(H745,dagsoorttabel1,2,FALSE)</f>
        <v>13.734999999999999</v>
      </c>
      <c r="N745" s="88">
        <f>prodnorm43</f>
        <v>0</v>
      </c>
      <c r="O745" s="33">
        <f>dagwerk43</f>
        <v>0</v>
      </c>
      <c r="P745" s="85" t="s">
        <v>109</v>
      </c>
      <c r="Q745" s="21">
        <f>uurtarief43</f>
        <v>0</v>
      </c>
      <c r="R745" s="87" t="e">
        <f>IF(ISBLANK(N745),0,M745/ROUND(N745,4))</f>
        <v>#DIV/0!</v>
      </c>
      <c r="S745" s="87" t="e">
        <f>IF(ISBLANK(N745),0,R745*ROUND(O745,2))</f>
        <v>#DIV/0!</v>
      </c>
      <c r="T745" s="21" t="e">
        <f>ROUND(Q745,2)*R745</f>
        <v>#DIV/0!</v>
      </c>
      <c r="U745" s="87" t="e">
        <f>R745*dagenperjaar1</f>
        <v>#DIV/0!</v>
      </c>
      <c r="V745" s="22" t="e">
        <f>U745*ROUND(Q745,2)</f>
        <v>#DIV/0!</v>
      </c>
    </row>
    <row r="746" spans="1:22" x14ac:dyDescent="0.25">
      <c r="A746" s="84" t="s">
        <v>982</v>
      </c>
      <c r="B746" s="85" t="s">
        <v>42</v>
      </c>
      <c r="C746" s="85" t="s">
        <v>464</v>
      </c>
      <c r="D746" s="85" t="s">
        <v>1180</v>
      </c>
      <c r="E746" s="86" t="s">
        <v>1040</v>
      </c>
      <c r="F746" s="85" t="s">
        <v>699</v>
      </c>
      <c r="G746" s="85" t="s">
        <v>308</v>
      </c>
      <c r="H746" s="85" t="s">
        <v>9</v>
      </c>
      <c r="I746" s="85" t="s">
        <v>258</v>
      </c>
      <c r="J746" s="86" t="s">
        <v>309</v>
      </c>
      <c r="K746" s="85" t="s">
        <v>417</v>
      </c>
      <c r="L746" s="87">
        <v>30.5</v>
      </c>
      <c r="M746" s="87">
        <f>L746*VLOOKUP(H746,dagsoorttabel1,2,FALSE)</f>
        <v>31.262499999999996</v>
      </c>
      <c r="N746" s="88">
        <f>prodnorm43</f>
        <v>0</v>
      </c>
      <c r="O746" s="33">
        <f>dagwerk43</f>
        <v>0</v>
      </c>
      <c r="P746" s="85" t="s">
        <v>109</v>
      </c>
      <c r="Q746" s="21">
        <f>uurtarief43</f>
        <v>0</v>
      </c>
      <c r="R746" s="87" t="e">
        <f>IF(ISBLANK(N746),0,M746/ROUND(N746,4))</f>
        <v>#DIV/0!</v>
      </c>
      <c r="S746" s="87" t="e">
        <f>IF(ISBLANK(N746),0,R746*ROUND(O746,2))</f>
        <v>#DIV/0!</v>
      </c>
      <c r="T746" s="21" t="e">
        <f>ROUND(Q746,2)*R746</f>
        <v>#DIV/0!</v>
      </c>
      <c r="U746" s="87" t="e">
        <f>R746*dagenperjaar1</f>
        <v>#DIV/0!</v>
      </c>
      <c r="V746" s="22" t="e">
        <f>U746*ROUND(Q746,2)</f>
        <v>#DIV/0!</v>
      </c>
    </row>
    <row r="747" spans="1:22" x14ac:dyDescent="0.25">
      <c r="A747" s="84" t="s">
        <v>982</v>
      </c>
      <c r="B747" s="85" t="s">
        <v>42</v>
      </c>
      <c r="C747" s="85" t="s">
        <v>464</v>
      </c>
      <c r="D747" s="85" t="s">
        <v>1181</v>
      </c>
      <c r="E747" s="86" t="s">
        <v>1163</v>
      </c>
      <c r="F747" s="85" t="s">
        <v>699</v>
      </c>
      <c r="G747" s="85" t="s">
        <v>350</v>
      </c>
      <c r="H747" s="85"/>
      <c r="I747" s="85"/>
      <c r="J747" s="85"/>
      <c r="K747" s="85" t="s">
        <v>42</v>
      </c>
      <c r="L747" s="87">
        <v>20</v>
      </c>
      <c r="M747" s="87"/>
      <c r="N747" s="88"/>
      <c r="O747" s="33"/>
      <c r="P747" s="85"/>
      <c r="Q747" s="21"/>
      <c r="R747" s="87"/>
      <c r="S747" s="87"/>
      <c r="T747" s="21"/>
      <c r="U747" s="89"/>
      <c r="V747" s="22"/>
    </row>
    <row r="748" spans="1:22" x14ac:dyDescent="0.25">
      <c r="A748" s="84" t="s">
        <v>982</v>
      </c>
      <c r="B748" s="85" t="s">
        <v>42</v>
      </c>
      <c r="C748" s="85" t="s">
        <v>464</v>
      </c>
      <c r="D748" s="85" t="s">
        <v>492</v>
      </c>
      <c r="E748" s="86" t="s">
        <v>1040</v>
      </c>
      <c r="F748" s="85" t="s">
        <v>699</v>
      </c>
      <c r="G748" s="85" t="s">
        <v>308</v>
      </c>
      <c r="H748" s="85" t="s">
        <v>9</v>
      </c>
      <c r="I748" s="85" t="s">
        <v>258</v>
      </c>
      <c r="J748" s="86" t="s">
        <v>309</v>
      </c>
      <c r="K748" s="85" t="s">
        <v>417</v>
      </c>
      <c r="L748" s="87">
        <v>30.8</v>
      </c>
      <c r="M748" s="87">
        <f>L748*VLOOKUP(H748,dagsoorttabel1,2,FALSE)</f>
        <v>31.569999999999997</v>
      </c>
      <c r="N748" s="88">
        <f>prodnorm43</f>
        <v>0</v>
      </c>
      <c r="O748" s="33">
        <f>dagwerk43</f>
        <v>0</v>
      </c>
      <c r="P748" s="85" t="s">
        <v>109</v>
      </c>
      <c r="Q748" s="21">
        <f>uurtarief43</f>
        <v>0</v>
      </c>
      <c r="R748" s="87" t="e">
        <f>IF(ISBLANK(N748),0,M748/ROUND(N748,4))</f>
        <v>#DIV/0!</v>
      </c>
      <c r="S748" s="87" t="e">
        <f>IF(ISBLANK(N748),0,R748*ROUND(O748,2))</f>
        <v>#DIV/0!</v>
      </c>
      <c r="T748" s="21" t="e">
        <f>ROUND(Q748,2)*R748</f>
        <v>#DIV/0!</v>
      </c>
      <c r="U748" s="87" t="e">
        <f>R748*dagenperjaar1</f>
        <v>#DIV/0!</v>
      </c>
      <c r="V748" s="22" t="e">
        <f>U748*ROUND(Q748,2)</f>
        <v>#DIV/0!</v>
      </c>
    </row>
    <row r="749" spans="1:22" x14ac:dyDescent="0.25">
      <c r="A749" s="84" t="s">
        <v>982</v>
      </c>
      <c r="B749" s="85" t="s">
        <v>42</v>
      </c>
      <c r="C749" s="85" t="s">
        <v>464</v>
      </c>
      <c r="D749" s="85" t="s">
        <v>1182</v>
      </c>
      <c r="E749" s="86" t="s">
        <v>1163</v>
      </c>
      <c r="F749" s="85" t="s">
        <v>699</v>
      </c>
      <c r="G749" s="85" t="s">
        <v>350</v>
      </c>
      <c r="H749" s="85"/>
      <c r="I749" s="85"/>
      <c r="J749" s="85"/>
      <c r="K749" s="85" t="s">
        <v>42</v>
      </c>
      <c r="L749" s="87">
        <v>20</v>
      </c>
      <c r="M749" s="87"/>
      <c r="N749" s="88"/>
      <c r="O749" s="33"/>
      <c r="P749" s="85"/>
      <c r="Q749" s="21"/>
      <c r="R749" s="87"/>
      <c r="S749" s="87"/>
      <c r="T749" s="21"/>
      <c r="U749" s="89"/>
      <c r="V749" s="22"/>
    </row>
    <row r="750" spans="1:22" x14ac:dyDescent="0.25">
      <c r="A750" s="84" t="s">
        <v>982</v>
      </c>
      <c r="B750" s="85" t="s">
        <v>42</v>
      </c>
      <c r="C750" s="85" t="s">
        <v>464</v>
      </c>
      <c r="D750" s="85" t="s">
        <v>1183</v>
      </c>
      <c r="E750" s="86" t="s">
        <v>1184</v>
      </c>
      <c r="F750" s="85" t="s">
        <v>699</v>
      </c>
      <c r="G750" s="85" t="s">
        <v>274</v>
      </c>
      <c r="H750" s="85" t="s">
        <v>9</v>
      </c>
      <c r="I750" s="85" t="s">
        <v>258</v>
      </c>
      <c r="J750" s="86" t="s">
        <v>275</v>
      </c>
      <c r="K750" s="85" t="s">
        <v>365</v>
      </c>
      <c r="L750" s="87">
        <v>28</v>
      </c>
      <c r="M750" s="87">
        <f t="shared" ref="M750:M766" si="186">L750*VLOOKUP(H750,dagsoorttabel1,2,FALSE)</f>
        <v>28.699999999999996</v>
      </c>
      <c r="N750" s="88">
        <f>prodnorm20</f>
        <v>0</v>
      </c>
      <c r="O750" s="33">
        <f>dagwerk20</f>
        <v>0</v>
      </c>
      <c r="P750" s="85" t="s">
        <v>109</v>
      </c>
      <c r="Q750" s="21">
        <f>uurtarief20</f>
        <v>0</v>
      </c>
      <c r="R750" s="87" t="e">
        <f t="shared" ref="R750:R766" si="187">IF(ISBLANK(N750),0,M750/ROUND(N750,4))</f>
        <v>#DIV/0!</v>
      </c>
      <c r="S750" s="87" t="e">
        <f t="shared" ref="S750:S766" si="188">IF(ISBLANK(N750),0,R750*ROUND(O750,2))</f>
        <v>#DIV/0!</v>
      </c>
      <c r="T750" s="21" t="e">
        <f t="shared" ref="T750:T766" si="189">ROUND(Q750,2)*R750</f>
        <v>#DIV/0!</v>
      </c>
      <c r="U750" s="87" t="e">
        <f t="shared" ref="U750:U766" si="190">R750*dagenperjaar1</f>
        <v>#DIV/0!</v>
      </c>
      <c r="V750" s="22" t="e">
        <f t="shared" ref="V750:V766" si="191">U750*ROUND(Q750,2)</f>
        <v>#DIV/0!</v>
      </c>
    </row>
    <row r="751" spans="1:22" x14ac:dyDescent="0.25">
      <c r="A751" s="84" t="s">
        <v>982</v>
      </c>
      <c r="B751" s="85" t="s">
        <v>42</v>
      </c>
      <c r="C751" s="85" t="s">
        <v>464</v>
      </c>
      <c r="D751" s="85" t="s">
        <v>497</v>
      </c>
      <c r="E751" s="86" t="s">
        <v>373</v>
      </c>
      <c r="F751" s="85" t="s">
        <v>349</v>
      </c>
      <c r="G751" s="85" t="s">
        <v>312</v>
      </c>
      <c r="H751" s="85" t="s">
        <v>9</v>
      </c>
      <c r="I751" s="85" t="s">
        <v>258</v>
      </c>
      <c r="J751" s="86" t="s">
        <v>313</v>
      </c>
      <c r="K751" s="85" t="s">
        <v>346</v>
      </c>
      <c r="L751" s="87">
        <v>51</v>
      </c>
      <c r="M751" s="87">
        <f t="shared" si="186"/>
        <v>52.274999999999999</v>
      </c>
      <c r="N751" s="88">
        <f>prodnorm46</f>
        <v>0</v>
      </c>
      <c r="O751" s="33">
        <f>dagwerk46</f>
        <v>0</v>
      </c>
      <c r="P751" s="85" t="s">
        <v>109</v>
      </c>
      <c r="Q751" s="21">
        <f>uurtarief46</f>
        <v>0</v>
      </c>
      <c r="R751" s="87" t="e">
        <f t="shared" si="187"/>
        <v>#DIV/0!</v>
      </c>
      <c r="S751" s="87" t="e">
        <f t="shared" si="188"/>
        <v>#DIV/0!</v>
      </c>
      <c r="T751" s="21" t="e">
        <f t="shared" si="189"/>
        <v>#DIV/0!</v>
      </c>
      <c r="U751" s="87" t="e">
        <f t="shared" si="190"/>
        <v>#DIV/0!</v>
      </c>
      <c r="V751" s="22" t="e">
        <f t="shared" si="191"/>
        <v>#DIV/0!</v>
      </c>
    </row>
    <row r="752" spans="1:22" x14ac:dyDescent="0.25">
      <c r="A752" s="84" t="s">
        <v>982</v>
      </c>
      <c r="B752" s="85" t="s">
        <v>42</v>
      </c>
      <c r="C752" s="85" t="s">
        <v>464</v>
      </c>
      <c r="D752" s="85" t="s">
        <v>498</v>
      </c>
      <c r="E752" s="86" t="s">
        <v>373</v>
      </c>
      <c r="F752" s="85" t="s">
        <v>349</v>
      </c>
      <c r="G752" s="85" t="s">
        <v>312</v>
      </c>
      <c r="H752" s="85" t="s">
        <v>9</v>
      </c>
      <c r="I752" s="85" t="s">
        <v>258</v>
      </c>
      <c r="J752" s="86" t="s">
        <v>313</v>
      </c>
      <c r="K752" s="85" t="s">
        <v>346</v>
      </c>
      <c r="L752" s="87">
        <v>93</v>
      </c>
      <c r="M752" s="87">
        <f t="shared" si="186"/>
        <v>95.324999999999989</v>
      </c>
      <c r="N752" s="88">
        <f>prodnorm46</f>
        <v>0</v>
      </c>
      <c r="O752" s="33">
        <f>dagwerk46</f>
        <v>0</v>
      </c>
      <c r="P752" s="85" t="s">
        <v>109</v>
      </c>
      <c r="Q752" s="21">
        <f>uurtarief46</f>
        <v>0</v>
      </c>
      <c r="R752" s="87" t="e">
        <f t="shared" si="187"/>
        <v>#DIV/0!</v>
      </c>
      <c r="S752" s="87" t="e">
        <f t="shared" si="188"/>
        <v>#DIV/0!</v>
      </c>
      <c r="T752" s="21" t="e">
        <f t="shared" si="189"/>
        <v>#DIV/0!</v>
      </c>
      <c r="U752" s="87" t="e">
        <f t="shared" si="190"/>
        <v>#DIV/0!</v>
      </c>
      <c r="V752" s="22" t="e">
        <f t="shared" si="191"/>
        <v>#DIV/0!</v>
      </c>
    </row>
    <row r="753" spans="1:22" x14ac:dyDescent="0.25">
      <c r="A753" s="84" t="s">
        <v>982</v>
      </c>
      <c r="B753" s="85" t="s">
        <v>42</v>
      </c>
      <c r="C753" s="85" t="s">
        <v>464</v>
      </c>
      <c r="D753" s="85" t="s">
        <v>499</v>
      </c>
      <c r="E753" s="86" t="s">
        <v>864</v>
      </c>
      <c r="F753" s="85" t="s">
        <v>349</v>
      </c>
      <c r="G753" s="85" t="s">
        <v>282</v>
      </c>
      <c r="H753" s="85" t="s">
        <v>9</v>
      </c>
      <c r="I753" s="85" t="s">
        <v>258</v>
      </c>
      <c r="J753" s="86" t="s">
        <v>283</v>
      </c>
      <c r="K753" s="85" t="s">
        <v>386</v>
      </c>
      <c r="L753" s="87">
        <v>59</v>
      </c>
      <c r="M753" s="87">
        <f t="shared" si="186"/>
        <v>60.474999999999994</v>
      </c>
      <c r="N753" s="88">
        <f>prodnorm24</f>
        <v>0</v>
      </c>
      <c r="O753" s="33">
        <f>dagwerk24</f>
        <v>0</v>
      </c>
      <c r="P753" s="85" t="s">
        <v>109</v>
      </c>
      <c r="Q753" s="21">
        <f>uurtarief24</f>
        <v>0</v>
      </c>
      <c r="R753" s="87" t="e">
        <f t="shared" si="187"/>
        <v>#DIV/0!</v>
      </c>
      <c r="S753" s="87" t="e">
        <f t="shared" si="188"/>
        <v>#DIV/0!</v>
      </c>
      <c r="T753" s="21" t="e">
        <f t="shared" si="189"/>
        <v>#DIV/0!</v>
      </c>
      <c r="U753" s="87" t="e">
        <f t="shared" si="190"/>
        <v>#DIV/0!</v>
      </c>
      <c r="V753" s="22" t="e">
        <f t="shared" si="191"/>
        <v>#DIV/0!</v>
      </c>
    </row>
    <row r="754" spans="1:22" x14ac:dyDescent="0.25">
      <c r="A754" s="84" t="s">
        <v>982</v>
      </c>
      <c r="B754" s="85" t="s">
        <v>42</v>
      </c>
      <c r="C754" s="85" t="s">
        <v>464</v>
      </c>
      <c r="D754" s="85" t="s">
        <v>500</v>
      </c>
      <c r="E754" s="86" t="s">
        <v>1003</v>
      </c>
      <c r="F754" s="85" t="s">
        <v>699</v>
      </c>
      <c r="G754" s="85" t="s">
        <v>310</v>
      </c>
      <c r="H754" s="85" t="s">
        <v>9</v>
      </c>
      <c r="I754" s="85" t="s">
        <v>258</v>
      </c>
      <c r="J754" s="86" t="s">
        <v>311</v>
      </c>
      <c r="K754" s="85" t="s">
        <v>417</v>
      </c>
      <c r="L754" s="87">
        <v>5</v>
      </c>
      <c r="M754" s="87">
        <f t="shared" si="186"/>
        <v>5.125</v>
      </c>
      <c r="N754" s="88">
        <f>prodnorm45</f>
        <v>0</v>
      </c>
      <c r="O754" s="33">
        <f>dagwerk45</f>
        <v>0</v>
      </c>
      <c r="P754" s="85" t="s">
        <v>109</v>
      </c>
      <c r="Q754" s="21">
        <f>uurtarief45</f>
        <v>0</v>
      </c>
      <c r="R754" s="87" t="e">
        <f t="shared" si="187"/>
        <v>#DIV/0!</v>
      </c>
      <c r="S754" s="87" t="e">
        <f t="shared" si="188"/>
        <v>#DIV/0!</v>
      </c>
      <c r="T754" s="21" t="e">
        <f t="shared" si="189"/>
        <v>#DIV/0!</v>
      </c>
      <c r="U754" s="87" t="e">
        <f t="shared" si="190"/>
        <v>#DIV/0!</v>
      </c>
      <c r="V754" s="22" t="e">
        <f t="shared" si="191"/>
        <v>#DIV/0!</v>
      </c>
    </row>
    <row r="755" spans="1:22" x14ac:dyDescent="0.25">
      <c r="A755" s="84" t="s">
        <v>982</v>
      </c>
      <c r="B755" s="85" t="s">
        <v>42</v>
      </c>
      <c r="C755" s="85" t="s">
        <v>464</v>
      </c>
      <c r="D755" s="85" t="s">
        <v>501</v>
      </c>
      <c r="E755" s="86" t="s">
        <v>988</v>
      </c>
      <c r="F755" s="85" t="s">
        <v>985</v>
      </c>
      <c r="G755" s="85" t="s">
        <v>322</v>
      </c>
      <c r="H755" s="85" t="s">
        <v>9</v>
      </c>
      <c r="I755" s="85" t="s">
        <v>258</v>
      </c>
      <c r="J755" s="86" t="s">
        <v>323</v>
      </c>
      <c r="K755" s="85" t="s">
        <v>346</v>
      </c>
      <c r="L755" s="87">
        <v>17</v>
      </c>
      <c r="M755" s="87">
        <f t="shared" si="186"/>
        <v>17.424999999999997</v>
      </c>
      <c r="N755" s="88">
        <f>prodnorm54</f>
        <v>0</v>
      </c>
      <c r="O755" s="33">
        <f>dagwerk54</f>
        <v>0</v>
      </c>
      <c r="P755" s="85" t="s">
        <v>109</v>
      </c>
      <c r="Q755" s="21">
        <f>uurtarief54</f>
        <v>0</v>
      </c>
      <c r="R755" s="87" t="e">
        <f t="shared" si="187"/>
        <v>#DIV/0!</v>
      </c>
      <c r="S755" s="87" t="e">
        <f t="shared" si="188"/>
        <v>#DIV/0!</v>
      </c>
      <c r="T755" s="21" t="e">
        <f t="shared" si="189"/>
        <v>#DIV/0!</v>
      </c>
      <c r="U755" s="87" t="e">
        <f t="shared" si="190"/>
        <v>#DIV/0!</v>
      </c>
      <c r="V755" s="22" t="e">
        <f t="shared" si="191"/>
        <v>#DIV/0!</v>
      </c>
    </row>
    <row r="756" spans="1:22" x14ac:dyDescent="0.25">
      <c r="A756" s="84" t="s">
        <v>982</v>
      </c>
      <c r="B756" s="85" t="s">
        <v>42</v>
      </c>
      <c r="C756" s="85" t="s">
        <v>464</v>
      </c>
      <c r="D756" s="85" t="s">
        <v>502</v>
      </c>
      <c r="E756" s="86" t="s">
        <v>590</v>
      </c>
      <c r="F756" s="85" t="s">
        <v>349</v>
      </c>
      <c r="G756" s="85" t="s">
        <v>260</v>
      </c>
      <c r="H756" s="85" t="s">
        <v>14</v>
      </c>
      <c r="I756" s="85" t="s">
        <v>258</v>
      </c>
      <c r="J756" s="86" t="s">
        <v>261</v>
      </c>
      <c r="K756" s="85" t="s">
        <v>365</v>
      </c>
      <c r="L756" s="87">
        <v>13</v>
      </c>
      <c r="M756" s="87">
        <f t="shared" si="186"/>
        <v>5.33</v>
      </c>
      <c r="N756" s="88">
        <f>prodnorm7</f>
        <v>0</v>
      </c>
      <c r="O756" s="33">
        <f>dagwerk7</f>
        <v>0</v>
      </c>
      <c r="P756" s="85" t="s">
        <v>109</v>
      </c>
      <c r="Q756" s="21">
        <f>uurtarief7</f>
        <v>0</v>
      </c>
      <c r="R756" s="87" t="e">
        <f t="shared" si="187"/>
        <v>#DIV/0!</v>
      </c>
      <c r="S756" s="87" t="e">
        <f t="shared" si="188"/>
        <v>#DIV/0!</v>
      </c>
      <c r="T756" s="21" t="e">
        <f t="shared" si="189"/>
        <v>#DIV/0!</v>
      </c>
      <c r="U756" s="87" t="e">
        <f t="shared" si="190"/>
        <v>#DIV/0!</v>
      </c>
      <c r="V756" s="22" t="e">
        <f t="shared" si="191"/>
        <v>#DIV/0!</v>
      </c>
    </row>
    <row r="757" spans="1:22" x14ac:dyDescent="0.25">
      <c r="A757" s="84" t="s">
        <v>982</v>
      </c>
      <c r="B757" s="85" t="s">
        <v>42</v>
      </c>
      <c r="C757" s="85" t="s">
        <v>464</v>
      </c>
      <c r="D757" s="85" t="s">
        <v>503</v>
      </c>
      <c r="E757" s="86" t="s">
        <v>373</v>
      </c>
      <c r="F757" s="85" t="s">
        <v>349</v>
      </c>
      <c r="G757" s="85" t="s">
        <v>312</v>
      </c>
      <c r="H757" s="85" t="s">
        <v>9</v>
      </c>
      <c r="I757" s="85" t="s">
        <v>258</v>
      </c>
      <c r="J757" s="86" t="s">
        <v>313</v>
      </c>
      <c r="K757" s="85" t="s">
        <v>346</v>
      </c>
      <c r="L757" s="87">
        <v>7</v>
      </c>
      <c r="M757" s="87">
        <f t="shared" si="186"/>
        <v>7.1749999999999989</v>
      </c>
      <c r="N757" s="88">
        <f>prodnorm46</f>
        <v>0</v>
      </c>
      <c r="O757" s="33">
        <f>dagwerk46</f>
        <v>0</v>
      </c>
      <c r="P757" s="85" t="s">
        <v>109</v>
      </c>
      <c r="Q757" s="21">
        <f>uurtarief46</f>
        <v>0</v>
      </c>
      <c r="R757" s="87" t="e">
        <f t="shared" si="187"/>
        <v>#DIV/0!</v>
      </c>
      <c r="S757" s="87" t="e">
        <f t="shared" si="188"/>
        <v>#DIV/0!</v>
      </c>
      <c r="T757" s="21" t="e">
        <f t="shared" si="189"/>
        <v>#DIV/0!</v>
      </c>
      <c r="U757" s="87" t="e">
        <f t="shared" si="190"/>
        <v>#DIV/0!</v>
      </c>
      <c r="V757" s="22" t="e">
        <f t="shared" si="191"/>
        <v>#DIV/0!</v>
      </c>
    </row>
    <row r="758" spans="1:22" x14ac:dyDescent="0.25">
      <c r="A758" s="84" t="s">
        <v>982</v>
      </c>
      <c r="B758" s="85" t="s">
        <v>42</v>
      </c>
      <c r="C758" s="85" t="s">
        <v>464</v>
      </c>
      <c r="D758" s="85" t="s">
        <v>504</v>
      </c>
      <c r="E758" s="86" t="s">
        <v>590</v>
      </c>
      <c r="F758" s="85" t="s">
        <v>349</v>
      </c>
      <c r="G758" s="85" t="s">
        <v>260</v>
      </c>
      <c r="H758" s="85" t="s">
        <v>14</v>
      </c>
      <c r="I758" s="85" t="s">
        <v>258</v>
      </c>
      <c r="J758" s="86" t="s">
        <v>261</v>
      </c>
      <c r="K758" s="85" t="s">
        <v>365</v>
      </c>
      <c r="L758" s="87">
        <v>14</v>
      </c>
      <c r="M758" s="87">
        <f t="shared" si="186"/>
        <v>5.7399999999999993</v>
      </c>
      <c r="N758" s="88">
        <f>prodnorm7</f>
        <v>0</v>
      </c>
      <c r="O758" s="33">
        <f>dagwerk7</f>
        <v>0</v>
      </c>
      <c r="P758" s="85" t="s">
        <v>109</v>
      </c>
      <c r="Q758" s="21">
        <f>uurtarief7</f>
        <v>0</v>
      </c>
      <c r="R758" s="87" t="e">
        <f t="shared" si="187"/>
        <v>#DIV/0!</v>
      </c>
      <c r="S758" s="87" t="e">
        <f t="shared" si="188"/>
        <v>#DIV/0!</v>
      </c>
      <c r="T758" s="21" t="e">
        <f t="shared" si="189"/>
        <v>#DIV/0!</v>
      </c>
      <c r="U758" s="87" t="e">
        <f t="shared" si="190"/>
        <v>#DIV/0!</v>
      </c>
      <c r="V758" s="22" t="e">
        <f t="shared" si="191"/>
        <v>#DIV/0!</v>
      </c>
    </row>
    <row r="759" spans="1:22" x14ac:dyDescent="0.25">
      <c r="A759" s="84" t="s">
        <v>982</v>
      </c>
      <c r="B759" s="85" t="s">
        <v>42</v>
      </c>
      <c r="C759" s="85" t="s">
        <v>464</v>
      </c>
      <c r="D759" s="85" t="s">
        <v>506</v>
      </c>
      <c r="E759" s="86" t="s">
        <v>590</v>
      </c>
      <c r="F759" s="85" t="s">
        <v>349</v>
      </c>
      <c r="G759" s="85" t="s">
        <v>260</v>
      </c>
      <c r="H759" s="85" t="s">
        <v>14</v>
      </c>
      <c r="I759" s="85" t="s">
        <v>258</v>
      </c>
      <c r="J759" s="86" t="s">
        <v>261</v>
      </c>
      <c r="K759" s="85" t="s">
        <v>365</v>
      </c>
      <c r="L759" s="87">
        <v>14</v>
      </c>
      <c r="M759" s="87">
        <f t="shared" si="186"/>
        <v>5.7399999999999993</v>
      </c>
      <c r="N759" s="88">
        <f>prodnorm7</f>
        <v>0</v>
      </c>
      <c r="O759" s="33">
        <f>dagwerk7</f>
        <v>0</v>
      </c>
      <c r="P759" s="85" t="s">
        <v>109</v>
      </c>
      <c r="Q759" s="21">
        <f>uurtarief7</f>
        <v>0</v>
      </c>
      <c r="R759" s="87" t="e">
        <f t="shared" si="187"/>
        <v>#DIV/0!</v>
      </c>
      <c r="S759" s="87" t="e">
        <f t="shared" si="188"/>
        <v>#DIV/0!</v>
      </c>
      <c r="T759" s="21" t="e">
        <f t="shared" si="189"/>
        <v>#DIV/0!</v>
      </c>
      <c r="U759" s="87" t="e">
        <f t="shared" si="190"/>
        <v>#DIV/0!</v>
      </c>
      <c r="V759" s="22" t="e">
        <f t="shared" si="191"/>
        <v>#DIV/0!</v>
      </c>
    </row>
    <row r="760" spans="1:22" x14ac:dyDescent="0.25">
      <c r="A760" s="84" t="s">
        <v>982</v>
      </c>
      <c r="B760" s="85" t="s">
        <v>42</v>
      </c>
      <c r="C760" s="85" t="s">
        <v>464</v>
      </c>
      <c r="D760" s="85" t="s">
        <v>508</v>
      </c>
      <c r="E760" s="86" t="s">
        <v>1185</v>
      </c>
      <c r="F760" s="85" t="s">
        <v>349</v>
      </c>
      <c r="G760" s="85" t="s">
        <v>260</v>
      </c>
      <c r="H760" s="85" t="s">
        <v>14</v>
      </c>
      <c r="I760" s="85" t="s">
        <v>258</v>
      </c>
      <c r="J760" s="86" t="s">
        <v>261</v>
      </c>
      <c r="K760" s="85" t="s">
        <v>365</v>
      </c>
      <c r="L760" s="87">
        <v>12</v>
      </c>
      <c r="M760" s="87">
        <f t="shared" si="186"/>
        <v>4.92</v>
      </c>
      <c r="N760" s="88">
        <f>prodnorm7</f>
        <v>0</v>
      </c>
      <c r="O760" s="33">
        <f>dagwerk7</f>
        <v>0</v>
      </c>
      <c r="P760" s="85" t="s">
        <v>109</v>
      </c>
      <c r="Q760" s="21">
        <f>uurtarief7</f>
        <v>0</v>
      </c>
      <c r="R760" s="87" t="e">
        <f t="shared" si="187"/>
        <v>#DIV/0!</v>
      </c>
      <c r="S760" s="87" t="e">
        <f t="shared" si="188"/>
        <v>#DIV/0!</v>
      </c>
      <c r="T760" s="21" t="e">
        <f t="shared" si="189"/>
        <v>#DIV/0!</v>
      </c>
      <c r="U760" s="87" t="e">
        <f t="shared" si="190"/>
        <v>#DIV/0!</v>
      </c>
      <c r="V760" s="22" t="e">
        <f t="shared" si="191"/>
        <v>#DIV/0!</v>
      </c>
    </row>
    <row r="761" spans="1:22" x14ac:dyDescent="0.25">
      <c r="A761" s="84" t="s">
        <v>982</v>
      </c>
      <c r="B761" s="85" t="s">
        <v>42</v>
      </c>
      <c r="C761" s="85" t="s">
        <v>464</v>
      </c>
      <c r="D761" s="85" t="s">
        <v>510</v>
      </c>
      <c r="E761" s="86" t="s">
        <v>864</v>
      </c>
      <c r="F761" s="85" t="s">
        <v>349</v>
      </c>
      <c r="G761" s="85" t="s">
        <v>282</v>
      </c>
      <c r="H761" s="85" t="s">
        <v>9</v>
      </c>
      <c r="I761" s="85" t="s">
        <v>258</v>
      </c>
      <c r="J761" s="86" t="s">
        <v>283</v>
      </c>
      <c r="K761" s="85" t="s">
        <v>386</v>
      </c>
      <c r="L761" s="87">
        <v>53</v>
      </c>
      <c r="M761" s="87">
        <f t="shared" si="186"/>
        <v>54.324999999999996</v>
      </c>
      <c r="N761" s="88">
        <f>prodnorm24</f>
        <v>0</v>
      </c>
      <c r="O761" s="33">
        <f>dagwerk24</f>
        <v>0</v>
      </c>
      <c r="P761" s="85" t="s">
        <v>109</v>
      </c>
      <c r="Q761" s="21">
        <f>uurtarief24</f>
        <v>0</v>
      </c>
      <c r="R761" s="87" t="e">
        <f t="shared" si="187"/>
        <v>#DIV/0!</v>
      </c>
      <c r="S761" s="87" t="e">
        <f t="shared" si="188"/>
        <v>#DIV/0!</v>
      </c>
      <c r="T761" s="21" t="e">
        <f t="shared" si="189"/>
        <v>#DIV/0!</v>
      </c>
      <c r="U761" s="87" t="e">
        <f t="shared" si="190"/>
        <v>#DIV/0!</v>
      </c>
      <c r="V761" s="22" t="e">
        <f t="shared" si="191"/>
        <v>#DIV/0!</v>
      </c>
    </row>
    <row r="762" spans="1:22" x14ac:dyDescent="0.25">
      <c r="A762" s="84" t="s">
        <v>982</v>
      </c>
      <c r="B762" s="85" t="s">
        <v>42</v>
      </c>
      <c r="C762" s="85" t="s">
        <v>464</v>
      </c>
      <c r="D762" s="85" t="s">
        <v>511</v>
      </c>
      <c r="E762" s="86" t="s">
        <v>590</v>
      </c>
      <c r="F762" s="85" t="s">
        <v>349</v>
      </c>
      <c r="G762" s="85" t="s">
        <v>260</v>
      </c>
      <c r="H762" s="85" t="s">
        <v>14</v>
      </c>
      <c r="I762" s="85" t="s">
        <v>258</v>
      </c>
      <c r="J762" s="86" t="s">
        <v>261</v>
      </c>
      <c r="K762" s="85" t="s">
        <v>365</v>
      </c>
      <c r="L762" s="87">
        <v>15</v>
      </c>
      <c r="M762" s="87">
        <f t="shared" si="186"/>
        <v>6.1499999999999995</v>
      </c>
      <c r="N762" s="88">
        <f>prodnorm7</f>
        <v>0</v>
      </c>
      <c r="O762" s="33">
        <f>dagwerk7</f>
        <v>0</v>
      </c>
      <c r="P762" s="85" t="s">
        <v>109</v>
      </c>
      <c r="Q762" s="21">
        <f>uurtarief7</f>
        <v>0</v>
      </c>
      <c r="R762" s="87" t="e">
        <f t="shared" si="187"/>
        <v>#DIV/0!</v>
      </c>
      <c r="S762" s="87" t="e">
        <f t="shared" si="188"/>
        <v>#DIV/0!</v>
      </c>
      <c r="T762" s="21" t="e">
        <f t="shared" si="189"/>
        <v>#DIV/0!</v>
      </c>
      <c r="U762" s="87" t="e">
        <f t="shared" si="190"/>
        <v>#DIV/0!</v>
      </c>
      <c r="V762" s="22" t="e">
        <f t="shared" si="191"/>
        <v>#DIV/0!</v>
      </c>
    </row>
    <row r="763" spans="1:22" x14ac:dyDescent="0.25">
      <c r="A763" s="84" t="s">
        <v>982</v>
      </c>
      <c r="B763" s="85" t="s">
        <v>42</v>
      </c>
      <c r="C763" s="85" t="s">
        <v>464</v>
      </c>
      <c r="D763" s="85" t="s">
        <v>512</v>
      </c>
      <c r="E763" s="86" t="s">
        <v>1186</v>
      </c>
      <c r="F763" s="85" t="s">
        <v>349</v>
      </c>
      <c r="G763" s="85" t="s">
        <v>298</v>
      </c>
      <c r="H763" s="85" t="s">
        <v>9</v>
      </c>
      <c r="I763" s="85" t="s">
        <v>258</v>
      </c>
      <c r="J763" s="86" t="s">
        <v>299</v>
      </c>
      <c r="K763" s="85" t="s">
        <v>386</v>
      </c>
      <c r="L763" s="87">
        <v>59</v>
      </c>
      <c r="M763" s="87">
        <f t="shared" si="186"/>
        <v>60.474999999999994</v>
      </c>
      <c r="N763" s="88">
        <f>prodnorm35</f>
        <v>0</v>
      </c>
      <c r="O763" s="33">
        <f>dagwerk35</f>
        <v>0</v>
      </c>
      <c r="P763" s="85" t="s">
        <v>109</v>
      </c>
      <c r="Q763" s="21">
        <f>uurtarief35</f>
        <v>0</v>
      </c>
      <c r="R763" s="87" t="e">
        <f t="shared" si="187"/>
        <v>#DIV/0!</v>
      </c>
      <c r="S763" s="87" t="e">
        <f t="shared" si="188"/>
        <v>#DIV/0!</v>
      </c>
      <c r="T763" s="21" t="e">
        <f t="shared" si="189"/>
        <v>#DIV/0!</v>
      </c>
      <c r="U763" s="87" t="e">
        <f t="shared" si="190"/>
        <v>#DIV/0!</v>
      </c>
      <c r="V763" s="22" t="e">
        <f t="shared" si="191"/>
        <v>#DIV/0!</v>
      </c>
    </row>
    <row r="764" spans="1:22" x14ac:dyDescent="0.25">
      <c r="A764" s="84" t="s">
        <v>982</v>
      </c>
      <c r="B764" s="85" t="s">
        <v>42</v>
      </c>
      <c r="C764" s="85" t="s">
        <v>464</v>
      </c>
      <c r="D764" s="85" t="s">
        <v>513</v>
      </c>
      <c r="E764" s="86" t="s">
        <v>1186</v>
      </c>
      <c r="F764" s="85" t="s">
        <v>349</v>
      </c>
      <c r="G764" s="85" t="s">
        <v>298</v>
      </c>
      <c r="H764" s="85" t="s">
        <v>9</v>
      </c>
      <c r="I764" s="85" t="s">
        <v>258</v>
      </c>
      <c r="J764" s="86" t="s">
        <v>299</v>
      </c>
      <c r="K764" s="85" t="s">
        <v>386</v>
      </c>
      <c r="L764" s="87">
        <v>63</v>
      </c>
      <c r="M764" s="87">
        <f t="shared" si="186"/>
        <v>64.574999999999989</v>
      </c>
      <c r="N764" s="88">
        <f>prodnorm35</f>
        <v>0</v>
      </c>
      <c r="O764" s="33">
        <f>dagwerk35</f>
        <v>0</v>
      </c>
      <c r="P764" s="85" t="s">
        <v>109</v>
      </c>
      <c r="Q764" s="21">
        <f>uurtarief35</f>
        <v>0</v>
      </c>
      <c r="R764" s="87" t="e">
        <f t="shared" si="187"/>
        <v>#DIV/0!</v>
      </c>
      <c r="S764" s="87" t="e">
        <f t="shared" si="188"/>
        <v>#DIV/0!</v>
      </c>
      <c r="T764" s="21" t="e">
        <f t="shared" si="189"/>
        <v>#DIV/0!</v>
      </c>
      <c r="U764" s="87" t="e">
        <f t="shared" si="190"/>
        <v>#DIV/0!</v>
      </c>
      <c r="V764" s="22" t="e">
        <f t="shared" si="191"/>
        <v>#DIV/0!</v>
      </c>
    </row>
    <row r="765" spans="1:22" x14ac:dyDescent="0.25">
      <c r="A765" s="84" t="s">
        <v>982</v>
      </c>
      <c r="B765" s="85" t="s">
        <v>42</v>
      </c>
      <c r="C765" s="85" t="s">
        <v>464</v>
      </c>
      <c r="D765" s="85" t="s">
        <v>514</v>
      </c>
      <c r="E765" s="86" t="s">
        <v>841</v>
      </c>
      <c r="F765" s="85" t="s">
        <v>349</v>
      </c>
      <c r="G765" s="85" t="s">
        <v>298</v>
      </c>
      <c r="H765" s="85" t="s">
        <v>9</v>
      </c>
      <c r="I765" s="85" t="s">
        <v>258</v>
      </c>
      <c r="J765" s="86" t="s">
        <v>299</v>
      </c>
      <c r="K765" s="85" t="s">
        <v>386</v>
      </c>
      <c r="L765" s="87">
        <v>25</v>
      </c>
      <c r="M765" s="87">
        <f t="shared" si="186"/>
        <v>25.624999999999996</v>
      </c>
      <c r="N765" s="88">
        <f>prodnorm35</f>
        <v>0</v>
      </c>
      <c r="O765" s="33">
        <f>dagwerk35</f>
        <v>0</v>
      </c>
      <c r="P765" s="85" t="s">
        <v>109</v>
      </c>
      <c r="Q765" s="21">
        <f>uurtarief35</f>
        <v>0</v>
      </c>
      <c r="R765" s="87" t="e">
        <f t="shared" si="187"/>
        <v>#DIV/0!</v>
      </c>
      <c r="S765" s="87" t="e">
        <f t="shared" si="188"/>
        <v>#DIV/0!</v>
      </c>
      <c r="T765" s="21" t="e">
        <f t="shared" si="189"/>
        <v>#DIV/0!</v>
      </c>
      <c r="U765" s="87" t="e">
        <f t="shared" si="190"/>
        <v>#DIV/0!</v>
      </c>
      <c r="V765" s="22" t="e">
        <f t="shared" si="191"/>
        <v>#DIV/0!</v>
      </c>
    </row>
    <row r="766" spans="1:22" x14ac:dyDescent="0.25">
      <c r="A766" s="84" t="s">
        <v>982</v>
      </c>
      <c r="B766" s="85" t="s">
        <v>42</v>
      </c>
      <c r="C766" s="85" t="s">
        <v>464</v>
      </c>
      <c r="D766" s="85" t="s">
        <v>515</v>
      </c>
      <c r="E766" s="86" t="s">
        <v>570</v>
      </c>
      <c r="F766" s="85" t="s">
        <v>349</v>
      </c>
      <c r="G766" s="85" t="s">
        <v>292</v>
      </c>
      <c r="H766" s="85" t="s">
        <v>20</v>
      </c>
      <c r="I766" s="85" t="s">
        <v>258</v>
      </c>
      <c r="J766" s="86" t="s">
        <v>293</v>
      </c>
      <c r="K766" s="85" t="s">
        <v>346</v>
      </c>
      <c r="L766" s="87">
        <v>11</v>
      </c>
      <c r="M766" s="87">
        <f t="shared" si="186"/>
        <v>0.65999999999999992</v>
      </c>
      <c r="N766" s="88">
        <f>prodnorm30</f>
        <v>0</v>
      </c>
      <c r="O766" s="33">
        <f>dagwerk30</f>
        <v>0</v>
      </c>
      <c r="P766" s="85" t="s">
        <v>109</v>
      </c>
      <c r="Q766" s="21">
        <f>uurtarief30</f>
        <v>0</v>
      </c>
      <c r="R766" s="87" t="e">
        <f t="shared" si="187"/>
        <v>#DIV/0!</v>
      </c>
      <c r="S766" s="87" t="e">
        <f t="shared" si="188"/>
        <v>#DIV/0!</v>
      </c>
      <c r="T766" s="21" t="e">
        <f t="shared" si="189"/>
        <v>#DIV/0!</v>
      </c>
      <c r="U766" s="87" t="e">
        <f t="shared" si="190"/>
        <v>#DIV/0!</v>
      </c>
      <c r="V766" s="22" t="e">
        <f t="shared" si="191"/>
        <v>#DIV/0!</v>
      </c>
    </row>
    <row r="767" spans="1:22" x14ac:dyDescent="0.25">
      <c r="A767" s="84" t="s">
        <v>982</v>
      </c>
      <c r="B767" s="85" t="s">
        <v>42</v>
      </c>
      <c r="C767" s="85" t="s">
        <v>464</v>
      </c>
      <c r="D767" s="85" t="s">
        <v>516</v>
      </c>
      <c r="E767" s="86" t="s">
        <v>570</v>
      </c>
      <c r="F767" s="85" t="s">
        <v>42</v>
      </c>
      <c r="G767" s="85" t="s">
        <v>350</v>
      </c>
      <c r="H767" s="85"/>
      <c r="I767" s="85"/>
      <c r="J767" s="85"/>
      <c r="K767" s="85" t="s">
        <v>42</v>
      </c>
      <c r="L767" s="87">
        <v>0</v>
      </c>
      <c r="M767" s="87"/>
      <c r="N767" s="88"/>
      <c r="O767" s="33"/>
      <c r="P767" s="85"/>
      <c r="Q767" s="21"/>
      <c r="R767" s="87"/>
      <c r="S767" s="87"/>
      <c r="T767" s="21"/>
      <c r="U767" s="89"/>
      <c r="V767" s="22"/>
    </row>
    <row r="768" spans="1:22" x14ac:dyDescent="0.25">
      <c r="A768" s="84" t="s">
        <v>982</v>
      </c>
      <c r="B768" s="85" t="s">
        <v>42</v>
      </c>
      <c r="C768" s="85" t="s">
        <v>464</v>
      </c>
      <c r="D768" s="85" t="s">
        <v>517</v>
      </c>
      <c r="E768" s="86" t="s">
        <v>1186</v>
      </c>
      <c r="F768" s="85" t="s">
        <v>349</v>
      </c>
      <c r="G768" s="85" t="s">
        <v>298</v>
      </c>
      <c r="H768" s="85" t="s">
        <v>9</v>
      </c>
      <c r="I768" s="85" t="s">
        <v>258</v>
      </c>
      <c r="J768" s="86" t="s">
        <v>299</v>
      </c>
      <c r="K768" s="85" t="s">
        <v>386</v>
      </c>
      <c r="L768" s="87">
        <v>72</v>
      </c>
      <c r="M768" s="87">
        <f>L768*VLOOKUP(H768,dagsoorttabel1,2,FALSE)</f>
        <v>73.8</v>
      </c>
      <c r="N768" s="88">
        <f>prodnorm35</f>
        <v>0</v>
      </c>
      <c r="O768" s="33">
        <f>dagwerk35</f>
        <v>0</v>
      </c>
      <c r="P768" s="85" t="s">
        <v>109</v>
      </c>
      <c r="Q768" s="21">
        <f>uurtarief35</f>
        <v>0</v>
      </c>
      <c r="R768" s="87" t="e">
        <f>IF(ISBLANK(N768),0,M768/ROUND(N768,4))</f>
        <v>#DIV/0!</v>
      </c>
      <c r="S768" s="87" t="e">
        <f>IF(ISBLANK(N768),0,R768*ROUND(O768,2))</f>
        <v>#DIV/0!</v>
      </c>
      <c r="T768" s="21" t="e">
        <f>ROUND(Q768,2)*R768</f>
        <v>#DIV/0!</v>
      </c>
      <c r="U768" s="87" t="e">
        <f>R768*dagenperjaar1</f>
        <v>#DIV/0!</v>
      </c>
      <c r="V768" s="22" t="e">
        <f>U768*ROUND(Q768,2)</f>
        <v>#DIV/0!</v>
      </c>
    </row>
    <row r="769" spans="1:22" x14ac:dyDescent="0.25">
      <c r="A769" s="84" t="s">
        <v>982</v>
      </c>
      <c r="B769" s="85" t="s">
        <v>42</v>
      </c>
      <c r="C769" s="85" t="s">
        <v>464</v>
      </c>
      <c r="D769" s="85" t="s">
        <v>1187</v>
      </c>
      <c r="E769" s="86" t="s">
        <v>1008</v>
      </c>
      <c r="F769" s="85" t="s">
        <v>699</v>
      </c>
      <c r="G769" s="85" t="s">
        <v>310</v>
      </c>
      <c r="H769" s="85" t="s">
        <v>9</v>
      </c>
      <c r="I769" s="85" t="s">
        <v>258</v>
      </c>
      <c r="J769" s="86" t="s">
        <v>311</v>
      </c>
      <c r="K769" s="85" t="s">
        <v>417</v>
      </c>
      <c r="L769" s="87">
        <v>10</v>
      </c>
      <c r="M769" s="87">
        <f>L769*VLOOKUP(H769,dagsoorttabel1,2,FALSE)</f>
        <v>10.25</v>
      </c>
      <c r="N769" s="88">
        <f>prodnorm45</f>
        <v>0</v>
      </c>
      <c r="O769" s="33">
        <f>dagwerk45</f>
        <v>0</v>
      </c>
      <c r="P769" s="85" t="s">
        <v>109</v>
      </c>
      <c r="Q769" s="21">
        <f>uurtarief45</f>
        <v>0</v>
      </c>
      <c r="R769" s="87" t="e">
        <f>IF(ISBLANK(N769),0,M769/ROUND(N769,4))</f>
        <v>#DIV/0!</v>
      </c>
      <c r="S769" s="87" t="e">
        <f>IF(ISBLANK(N769),0,R769*ROUND(O769,2))</f>
        <v>#DIV/0!</v>
      </c>
      <c r="T769" s="21" t="e">
        <f>ROUND(Q769,2)*R769</f>
        <v>#DIV/0!</v>
      </c>
      <c r="U769" s="87" t="e">
        <f>R769*dagenperjaar1</f>
        <v>#DIV/0!</v>
      </c>
      <c r="V769" s="22" t="e">
        <f>U769*ROUND(Q769,2)</f>
        <v>#DIV/0!</v>
      </c>
    </row>
    <row r="770" spans="1:22" x14ac:dyDescent="0.25">
      <c r="A770" s="84" t="s">
        <v>982</v>
      </c>
      <c r="B770" s="85" t="s">
        <v>42</v>
      </c>
      <c r="C770" s="85" t="s">
        <v>464</v>
      </c>
      <c r="D770" s="85" t="s">
        <v>1188</v>
      </c>
      <c r="E770" s="86" t="s">
        <v>570</v>
      </c>
      <c r="F770" s="85" t="s">
        <v>42</v>
      </c>
      <c r="G770" s="85" t="s">
        <v>350</v>
      </c>
      <c r="H770" s="85"/>
      <c r="I770" s="85"/>
      <c r="J770" s="85"/>
      <c r="K770" s="85" t="s">
        <v>42</v>
      </c>
      <c r="L770" s="87">
        <v>0</v>
      </c>
      <c r="M770" s="87"/>
      <c r="N770" s="88"/>
      <c r="O770" s="33"/>
      <c r="P770" s="85"/>
      <c r="Q770" s="21"/>
      <c r="R770" s="87"/>
      <c r="S770" s="87"/>
      <c r="T770" s="21"/>
      <c r="U770" s="89"/>
      <c r="V770" s="22"/>
    </row>
    <row r="771" spans="1:22" x14ac:dyDescent="0.25">
      <c r="A771" s="84" t="s">
        <v>982</v>
      </c>
      <c r="B771" s="85" t="s">
        <v>42</v>
      </c>
      <c r="C771" s="85" t="s">
        <v>464</v>
      </c>
      <c r="D771" s="85" t="s">
        <v>1189</v>
      </c>
      <c r="E771" s="86" t="s">
        <v>991</v>
      </c>
      <c r="F771" s="85" t="s">
        <v>42</v>
      </c>
      <c r="G771" s="85" t="s">
        <v>350</v>
      </c>
      <c r="H771" s="85"/>
      <c r="I771" s="85"/>
      <c r="J771" s="85"/>
      <c r="K771" s="85" t="s">
        <v>42</v>
      </c>
      <c r="L771" s="87">
        <v>0</v>
      </c>
      <c r="M771" s="87"/>
      <c r="N771" s="88"/>
      <c r="O771" s="33"/>
      <c r="P771" s="85"/>
      <c r="Q771" s="21"/>
      <c r="R771" s="87"/>
      <c r="S771" s="87"/>
      <c r="T771" s="21"/>
      <c r="U771" s="89"/>
      <c r="V771" s="22"/>
    </row>
    <row r="772" spans="1:22" x14ac:dyDescent="0.25">
      <c r="A772" s="84" t="s">
        <v>982</v>
      </c>
      <c r="B772" s="85" t="s">
        <v>42</v>
      </c>
      <c r="C772" s="85" t="s">
        <v>464</v>
      </c>
      <c r="D772" s="85" t="s">
        <v>1190</v>
      </c>
      <c r="E772" s="86" t="s">
        <v>1191</v>
      </c>
      <c r="F772" s="85" t="s">
        <v>699</v>
      </c>
      <c r="G772" s="85" t="s">
        <v>310</v>
      </c>
      <c r="H772" s="85" t="s">
        <v>9</v>
      </c>
      <c r="I772" s="85" t="s">
        <v>258</v>
      </c>
      <c r="J772" s="86" t="s">
        <v>311</v>
      </c>
      <c r="K772" s="85" t="s">
        <v>417</v>
      </c>
      <c r="L772" s="87">
        <v>16</v>
      </c>
      <c r="M772" s="87">
        <f>L772*VLOOKUP(H772,dagsoorttabel1,2,FALSE)</f>
        <v>16.399999999999999</v>
      </c>
      <c r="N772" s="88">
        <f>prodnorm45</f>
        <v>0</v>
      </c>
      <c r="O772" s="33">
        <f>dagwerk45</f>
        <v>0</v>
      </c>
      <c r="P772" s="85" t="s">
        <v>109</v>
      </c>
      <c r="Q772" s="21">
        <f>uurtarief45</f>
        <v>0</v>
      </c>
      <c r="R772" s="87" t="e">
        <f>IF(ISBLANK(N772),0,M772/ROUND(N772,4))</f>
        <v>#DIV/0!</v>
      </c>
      <c r="S772" s="87" t="e">
        <f>IF(ISBLANK(N772),0,R772*ROUND(O772,2))</f>
        <v>#DIV/0!</v>
      </c>
      <c r="T772" s="21" t="e">
        <f>ROUND(Q772,2)*R772</f>
        <v>#DIV/0!</v>
      </c>
      <c r="U772" s="87" t="e">
        <f>R772*dagenperjaar1</f>
        <v>#DIV/0!</v>
      </c>
      <c r="V772" s="22" t="e">
        <f>U772*ROUND(Q772,2)</f>
        <v>#DIV/0!</v>
      </c>
    </row>
    <row r="773" spans="1:22" x14ac:dyDescent="0.25">
      <c r="A773" s="84" t="s">
        <v>982</v>
      </c>
      <c r="B773" s="85" t="s">
        <v>42</v>
      </c>
      <c r="C773" s="85" t="s">
        <v>464</v>
      </c>
      <c r="D773" s="85" t="s">
        <v>1192</v>
      </c>
      <c r="E773" s="86" t="s">
        <v>1186</v>
      </c>
      <c r="F773" s="85" t="s">
        <v>349</v>
      </c>
      <c r="G773" s="85" t="s">
        <v>298</v>
      </c>
      <c r="H773" s="85" t="s">
        <v>9</v>
      </c>
      <c r="I773" s="85" t="s">
        <v>258</v>
      </c>
      <c r="J773" s="86" t="s">
        <v>299</v>
      </c>
      <c r="K773" s="85" t="s">
        <v>386</v>
      </c>
      <c r="L773" s="87">
        <v>72</v>
      </c>
      <c r="M773" s="87">
        <f>L773*VLOOKUP(H773,dagsoorttabel1,2,FALSE)</f>
        <v>73.8</v>
      </c>
      <c r="N773" s="88">
        <f>prodnorm35</f>
        <v>0</v>
      </c>
      <c r="O773" s="33">
        <f>dagwerk35</f>
        <v>0</v>
      </c>
      <c r="P773" s="85" t="s">
        <v>109</v>
      </c>
      <c r="Q773" s="21">
        <f>uurtarief35</f>
        <v>0</v>
      </c>
      <c r="R773" s="87" t="e">
        <f>IF(ISBLANK(N773),0,M773/ROUND(N773,4))</f>
        <v>#DIV/0!</v>
      </c>
      <c r="S773" s="87" t="e">
        <f>IF(ISBLANK(N773),0,R773*ROUND(O773,2))</f>
        <v>#DIV/0!</v>
      </c>
      <c r="T773" s="21" t="e">
        <f>ROUND(Q773,2)*R773</f>
        <v>#DIV/0!</v>
      </c>
      <c r="U773" s="87" t="e">
        <f>R773*dagenperjaar1</f>
        <v>#DIV/0!</v>
      </c>
      <c r="V773" s="22" t="e">
        <f>U773*ROUND(Q773,2)</f>
        <v>#DIV/0!</v>
      </c>
    </row>
    <row r="774" spans="1:22" x14ac:dyDescent="0.25">
      <c r="A774" s="84" t="s">
        <v>982</v>
      </c>
      <c r="B774" s="85" t="s">
        <v>42</v>
      </c>
      <c r="C774" s="85" t="s">
        <v>464</v>
      </c>
      <c r="D774" s="85" t="s">
        <v>1193</v>
      </c>
      <c r="E774" s="86" t="s">
        <v>373</v>
      </c>
      <c r="F774" s="85" t="s">
        <v>349</v>
      </c>
      <c r="G774" s="85" t="s">
        <v>312</v>
      </c>
      <c r="H774" s="85" t="s">
        <v>9</v>
      </c>
      <c r="I774" s="85" t="s">
        <v>258</v>
      </c>
      <c r="J774" s="86" t="s">
        <v>313</v>
      </c>
      <c r="K774" s="85" t="s">
        <v>346</v>
      </c>
      <c r="L774" s="87">
        <v>174</v>
      </c>
      <c r="M774" s="87">
        <f>L774*VLOOKUP(H774,dagsoorttabel1,2,FALSE)</f>
        <v>178.35</v>
      </c>
      <c r="N774" s="88">
        <f>prodnorm46</f>
        <v>0</v>
      </c>
      <c r="O774" s="33">
        <f>dagwerk46</f>
        <v>0</v>
      </c>
      <c r="P774" s="85" t="s">
        <v>109</v>
      </c>
      <c r="Q774" s="21">
        <f>uurtarief46</f>
        <v>0</v>
      </c>
      <c r="R774" s="87" t="e">
        <f>IF(ISBLANK(N774),0,M774/ROUND(N774,4))</f>
        <v>#DIV/0!</v>
      </c>
      <c r="S774" s="87" t="e">
        <f>IF(ISBLANK(N774),0,R774*ROUND(O774,2))</f>
        <v>#DIV/0!</v>
      </c>
      <c r="T774" s="21" t="e">
        <f>ROUND(Q774,2)*R774</f>
        <v>#DIV/0!</v>
      </c>
      <c r="U774" s="87" t="e">
        <f>R774*dagenperjaar1</f>
        <v>#DIV/0!</v>
      </c>
      <c r="V774" s="22" t="e">
        <f>U774*ROUND(Q774,2)</f>
        <v>#DIV/0!</v>
      </c>
    </row>
    <row r="775" spans="1:22" x14ac:dyDescent="0.25">
      <c r="A775" s="84" t="s">
        <v>982</v>
      </c>
      <c r="B775" s="85" t="s">
        <v>42</v>
      </c>
      <c r="C775" s="85" t="s">
        <v>464</v>
      </c>
      <c r="D775" s="85" t="s">
        <v>1194</v>
      </c>
      <c r="E775" s="86" t="s">
        <v>1195</v>
      </c>
      <c r="F775" s="85" t="s">
        <v>42</v>
      </c>
      <c r="G775" s="85" t="s">
        <v>350</v>
      </c>
      <c r="H775" s="85"/>
      <c r="I775" s="85"/>
      <c r="J775" s="85"/>
      <c r="K775" s="85" t="s">
        <v>42</v>
      </c>
      <c r="L775" s="87">
        <v>0</v>
      </c>
      <c r="M775" s="87"/>
      <c r="N775" s="88"/>
      <c r="O775" s="33"/>
      <c r="P775" s="85"/>
      <c r="Q775" s="21"/>
      <c r="R775" s="87"/>
      <c r="S775" s="87"/>
      <c r="T775" s="21"/>
      <c r="U775" s="89"/>
      <c r="V775" s="22"/>
    </row>
    <row r="776" spans="1:22" x14ac:dyDescent="0.25">
      <c r="A776" s="84" t="s">
        <v>982</v>
      </c>
      <c r="B776" s="85" t="s">
        <v>42</v>
      </c>
      <c r="C776" s="85" t="s">
        <v>464</v>
      </c>
      <c r="D776" s="85" t="s">
        <v>1196</v>
      </c>
      <c r="E776" s="86" t="s">
        <v>864</v>
      </c>
      <c r="F776" s="85" t="s">
        <v>349</v>
      </c>
      <c r="G776" s="85" t="s">
        <v>282</v>
      </c>
      <c r="H776" s="85" t="s">
        <v>9</v>
      </c>
      <c r="I776" s="85" t="s">
        <v>258</v>
      </c>
      <c r="J776" s="86" t="s">
        <v>283</v>
      </c>
      <c r="K776" s="85" t="s">
        <v>386</v>
      </c>
      <c r="L776" s="87">
        <v>37</v>
      </c>
      <c r="M776" s="87">
        <f>L776*VLOOKUP(H776,dagsoorttabel1,2,FALSE)</f>
        <v>37.924999999999997</v>
      </c>
      <c r="N776" s="88">
        <f>prodnorm24</f>
        <v>0</v>
      </c>
      <c r="O776" s="33">
        <f>dagwerk24</f>
        <v>0</v>
      </c>
      <c r="P776" s="85" t="s">
        <v>109</v>
      </c>
      <c r="Q776" s="21">
        <f>uurtarief24</f>
        <v>0</v>
      </c>
      <c r="R776" s="87" t="e">
        <f>IF(ISBLANK(N776),0,M776/ROUND(N776,4))</f>
        <v>#DIV/0!</v>
      </c>
      <c r="S776" s="87" t="e">
        <f>IF(ISBLANK(N776),0,R776*ROUND(O776,2))</f>
        <v>#DIV/0!</v>
      </c>
      <c r="T776" s="21" t="e">
        <f>ROUND(Q776,2)*R776</f>
        <v>#DIV/0!</v>
      </c>
      <c r="U776" s="87" t="e">
        <f>R776*dagenperjaar1</f>
        <v>#DIV/0!</v>
      </c>
      <c r="V776" s="22" t="e">
        <f>U776*ROUND(Q776,2)</f>
        <v>#DIV/0!</v>
      </c>
    </row>
    <row r="777" spans="1:22" x14ac:dyDescent="0.25">
      <c r="A777" s="84" t="s">
        <v>982</v>
      </c>
      <c r="B777" s="85" t="s">
        <v>42</v>
      </c>
      <c r="C777" s="85" t="s">
        <v>464</v>
      </c>
      <c r="D777" s="85" t="s">
        <v>1197</v>
      </c>
      <c r="E777" s="86" t="s">
        <v>864</v>
      </c>
      <c r="F777" s="85" t="s">
        <v>349</v>
      </c>
      <c r="G777" s="85" t="s">
        <v>282</v>
      </c>
      <c r="H777" s="85" t="s">
        <v>9</v>
      </c>
      <c r="I777" s="85" t="s">
        <v>258</v>
      </c>
      <c r="J777" s="86" t="s">
        <v>283</v>
      </c>
      <c r="K777" s="85" t="s">
        <v>386</v>
      </c>
      <c r="L777" s="87">
        <v>62</v>
      </c>
      <c r="M777" s="87">
        <f>L777*VLOOKUP(H777,dagsoorttabel1,2,FALSE)</f>
        <v>63.55</v>
      </c>
      <c r="N777" s="88">
        <f>prodnorm24</f>
        <v>0</v>
      </c>
      <c r="O777" s="33">
        <f>dagwerk24</f>
        <v>0</v>
      </c>
      <c r="P777" s="85" t="s">
        <v>109</v>
      </c>
      <c r="Q777" s="21">
        <f>uurtarief24</f>
        <v>0</v>
      </c>
      <c r="R777" s="87" t="e">
        <f>IF(ISBLANK(N777),0,M777/ROUND(N777,4))</f>
        <v>#DIV/0!</v>
      </c>
      <c r="S777" s="87" t="e">
        <f>IF(ISBLANK(N777),0,R777*ROUND(O777,2))</f>
        <v>#DIV/0!</v>
      </c>
      <c r="T777" s="21" t="e">
        <f>ROUND(Q777,2)*R777</f>
        <v>#DIV/0!</v>
      </c>
      <c r="U777" s="87" t="e">
        <f>R777*dagenperjaar1</f>
        <v>#DIV/0!</v>
      </c>
      <c r="V777" s="22" t="e">
        <f>U777*ROUND(Q777,2)</f>
        <v>#DIV/0!</v>
      </c>
    </row>
    <row r="778" spans="1:22" x14ac:dyDescent="0.25">
      <c r="A778" s="84" t="s">
        <v>982</v>
      </c>
      <c r="B778" s="85" t="s">
        <v>42</v>
      </c>
      <c r="C778" s="85" t="s">
        <v>464</v>
      </c>
      <c r="D778" s="85" t="s">
        <v>1198</v>
      </c>
      <c r="E778" s="86" t="s">
        <v>570</v>
      </c>
      <c r="F778" s="85" t="s">
        <v>42</v>
      </c>
      <c r="G778" s="85" t="s">
        <v>350</v>
      </c>
      <c r="H778" s="85"/>
      <c r="I778" s="85"/>
      <c r="J778" s="85"/>
      <c r="K778" s="85" t="s">
        <v>42</v>
      </c>
      <c r="L778" s="87">
        <v>0</v>
      </c>
      <c r="M778" s="87"/>
      <c r="N778" s="88"/>
      <c r="O778" s="33"/>
      <c r="P778" s="85"/>
      <c r="Q778" s="21"/>
      <c r="R778" s="87"/>
      <c r="S778" s="87"/>
      <c r="T778" s="21"/>
      <c r="U778" s="89"/>
      <c r="V778" s="22"/>
    </row>
    <row r="779" spans="1:22" x14ac:dyDescent="0.25">
      <c r="A779" s="84" t="s">
        <v>982</v>
      </c>
      <c r="B779" s="85" t="s">
        <v>42</v>
      </c>
      <c r="C779" s="85" t="s">
        <v>464</v>
      </c>
      <c r="D779" s="85" t="s">
        <v>1199</v>
      </c>
      <c r="E779" s="86" t="s">
        <v>864</v>
      </c>
      <c r="F779" s="85" t="s">
        <v>349</v>
      </c>
      <c r="G779" s="85" t="s">
        <v>282</v>
      </c>
      <c r="H779" s="85" t="s">
        <v>9</v>
      </c>
      <c r="I779" s="85" t="s">
        <v>258</v>
      </c>
      <c r="J779" s="86" t="s">
        <v>283</v>
      </c>
      <c r="K779" s="85" t="s">
        <v>386</v>
      </c>
      <c r="L779" s="87">
        <v>51</v>
      </c>
      <c r="M779" s="87">
        <f t="shared" ref="M779:M809" si="192">L779*VLOOKUP(H779,dagsoorttabel1,2,FALSE)</f>
        <v>52.274999999999999</v>
      </c>
      <c r="N779" s="88">
        <f t="shared" ref="N779:N788" si="193">prodnorm24</f>
        <v>0</v>
      </c>
      <c r="O779" s="33">
        <f t="shared" ref="O779:O788" si="194">dagwerk24</f>
        <v>0</v>
      </c>
      <c r="P779" s="85" t="s">
        <v>109</v>
      </c>
      <c r="Q779" s="21">
        <f t="shared" ref="Q779:Q788" si="195">uurtarief24</f>
        <v>0</v>
      </c>
      <c r="R779" s="87" t="e">
        <f t="shared" ref="R779:R809" si="196">IF(ISBLANK(N779),0,M779/ROUND(N779,4))</f>
        <v>#DIV/0!</v>
      </c>
      <c r="S779" s="87" t="e">
        <f t="shared" ref="S779:S809" si="197">IF(ISBLANK(N779),0,R779*ROUND(O779,2))</f>
        <v>#DIV/0!</v>
      </c>
      <c r="T779" s="21" t="e">
        <f t="shared" ref="T779:T809" si="198">ROUND(Q779,2)*R779</f>
        <v>#DIV/0!</v>
      </c>
      <c r="U779" s="87" t="e">
        <f t="shared" ref="U779:U809" si="199">R779*dagenperjaar1</f>
        <v>#DIV/0!</v>
      </c>
      <c r="V779" s="22" t="e">
        <f t="shared" ref="V779:V809" si="200">U779*ROUND(Q779,2)</f>
        <v>#DIV/0!</v>
      </c>
    </row>
    <row r="780" spans="1:22" x14ac:dyDescent="0.25">
      <c r="A780" s="84" t="s">
        <v>982</v>
      </c>
      <c r="B780" s="85" t="s">
        <v>42</v>
      </c>
      <c r="C780" s="85" t="s">
        <v>464</v>
      </c>
      <c r="D780" s="85" t="s">
        <v>518</v>
      </c>
      <c r="E780" s="86" t="s">
        <v>864</v>
      </c>
      <c r="F780" s="85" t="s">
        <v>349</v>
      </c>
      <c r="G780" s="85" t="s">
        <v>282</v>
      </c>
      <c r="H780" s="85" t="s">
        <v>9</v>
      </c>
      <c r="I780" s="85" t="s">
        <v>258</v>
      </c>
      <c r="J780" s="86" t="s">
        <v>283</v>
      </c>
      <c r="K780" s="85" t="s">
        <v>386</v>
      </c>
      <c r="L780" s="87">
        <v>54</v>
      </c>
      <c r="M780" s="87">
        <f t="shared" si="192"/>
        <v>55.349999999999994</v>
      </c>
      <c r="N780" s="88">
        <f t="shared" si="193"/>
        <v>0</v>
      </c>
      <c r="O780" s="33">
        <f t="shared" si="194"/>
        <v>0</v>
      </c>
      <c r="P780" s="85" t="s">
        <v>109</v>
      </c>
      <c r="Q780" s="21">
        <f t="shared" si="195"/>
        <v>0</v>
      </c>
      <c r="R780" s="87" t="e">
        <f t="shared" si="196"/>
        <v>#DIV/0!</v>
      </c>
      <c r="S780" s="87" t="e">
        <f t="shared" si="197"/>
        <v>#DIV/0!</v>
      </c>
      <c r="T780" s="21" t="e">
        <f t="shared" si="198"/>
        <v>#DIV/0!</v>
      </c>
      <c r="U780" s="87" t="e">
        <f t="shared" si="199"/>
        <v>#DIV/0!</v>
      </c>
      <c r="V780" s="22" t="e">
        <f t="shared" si="200"/>
        <v>#DIV/0!</v>
      </c>
    </row>
    <row r="781" spans="1:22" x14ac:dyDescent="0.25">
      <c r="A781" s="84" t="s">
        <v>982</v>
      </c>
      <c r="B781" s="85" t="s">
        <v>42</v>
      </c>
      <c r="C781" s="85" t="s">
        <v>464</v>
      </c>
      <c r="D781" s="85" t="s">
        <v>520</v>
      </c>
      <c r="E781" s="86" t="s">
        <v>864</v>
      </c>
      <c r="F781" s="85" t="s">
        <v>349</v>
      </c>
      <c r="G781" s="85" t="s">
        <v>282</v>
      </c>
      <c r="H781" s="85" t="s">
        <v>9</v>
      </c>
      <c r="I781" s="85" t="s">
        <v>258</v>
      </c>
      <c r="J781" s="86" t="s">
        <v>283</v>
      </c>
      <c r="K781" s="85" t="s">
        <v>386</v>
      </c>
      <c r="L781" s="87">
        <v>50</v>
      </c>
      <c r="M781" s="87">
        <f t="shared" si="192"/>
        <v>51.249999999999993</v>
      </c>
      <c r="N781" s="88">
        <f t="shared" si="193"/>
        <v>0</v>
      </c>
      <c r="O781" s="33">
        <f t="shared" si="194"/>
        <v>0</v>
      </c>
      <c r="P781" s="85" t="s">
        <v>109</v>
      </c>
      <c r="Q781" s="21">
        <f t="shared" si="195"/>
        <v>0</v>
      </c>
      <c r="R781" s="87" t="e">
        <f t="shared" si="196"/>
        <v>#DIV/0!</v>
      </c>
      <c r="S781" s="87" t="e">
        <f t="shared" si="197"/>
        <v>#DIV/0!</v>
      </c>
      <c r="T781" s="21" t="e">
        <f t="shared" si="198"/>
        <v>#DIV/0!</v>
      </c>
      <c r="U781" s="87" t="e">
        <f t="shared" si="199"/>
        <v>#DIV/0!</v>
      </c>
      <c r="V781" s="22" t="e">
        <f t="shared" si="200"/>
        <v>#DIV/0!</v>
      </c>
    </row>
    <row r="782" spans="1:22" x14ac:dyDescent="0.25">
      <c r="A782" s="84" t="s">
        <v>982</v>
      </c>
      <c r="B782" s="85" t="s">
        <v>42</v>
      </c>
      <c r="C782" s="85" t="s">
        <v>464</v>
      </c>
      <c r="D782" s="85" t="s">
        <v>521</v>
      </c>
      <c r="E782" s="86" t="s">
        <v>864</v>
      </c>
      <c r="F782" s="85" t="s">
        <v>349</v>
      </c>
      <c r="G782" s="85" t="s">
        <v>282</v>
      </c>
      <c r="H782" s="85" t="s">
        <v>9</v>
      </c>
      <c r="I782" s="85" t="s">
        <v>258</v>
      </c>
      <c r="J782" s="86" t="s">
        <v>283</v>
      </c>
      <c r="K782" s="85" t="s">
        <v>386</v>
      </c>
      <c r="L782" s="87">
        <v>52</v>
      </c>
      <c r="M782" s="87">
        <f t="shared" si="192"/>
        <v>53.3</v>
      </c>
      <c r="N782" s="88">
        <f t="shared" si="193"/>
        <v>0</v>
      </c>
      <c r="O782" s="33">
        <f t="shared" si="194"/>
        <v>0</v>
      </c>
      <c r="P782" s="85" t="s">
        <v>109</v>
      </c>
      <c r="Q782" s="21">
        <f t="shared" si="195"/>
        <v>0</v>
      </c>
      <c r="R782" s="87" t="e">
        <f t="shared" si="196"/>
        <v>#DIV/0!</v>
      </c>
      <c r="S782" s="87" t="e">
        <f t="shared" si="197"/>
        <v>#DIV/0!</v>
      </c>
      <c r="T782" s="21" t="e">
        <f t="shared" si="198"/>
        <v>#DIV/0!</v>
      </c>
      <c r="U782" s="87" t="e">
        <f t="shared" si="199"/>
        <v>#DIV/0!</v>
      </c>
      <c r="V782" s="22" t="e">
        <f t="shared" si="200"/>
        <v>#DIV/0!</v>
      </c>
    </row>
    <row r="783" spans="1:22" x14ac:dyDescent="0.25">
      <c r="A783" s="84" t="s">
        <v>982</v>
      </c>
      <c r="B783" s="85" t="s">
        <v>42</v>
      </c>
      <c r="C783" s="85" t="s">
        <v>464</v>
      </c>
      <c r="D783" s="85" t="s">
        <v>1200</v>
      </c>
      <c r="E783" s="86" t="s">
        <v>864</v>
      </c>
      <c r="F783" s="85" t="s">
        <v>349</v>
      </c>
      <c r="G783" s="85" t="s">
        <v>282</v>
      </c>
      <c r="H783" s="85" t="s">
        <v>9</v>
      </c>
      <c r="I783" s="85" t="s">
        <v>258</v>
      </c>
      <c r="J783" s="86" t="s">
        <v>283</v>
      </c>
      <c r="K783" s="85" t="s">
        <v>386</v>
      </c>
      <c r="L783" s="87">
        <v>64</v>
      </c>
      <c r="M783" s="87">
        <f t="shared" si="192"/>
        <v>65.599999999999994</v>
      </c>
      <c r="N783" s="88">
        <f t="shared" si="193"/>
        <v>0</v>
      </c>
      <c r="O783" s="33">
        <f t="shared" si="194"/>
        <v>0</v>
      </c>
      <c r="P783" s="85" t="s">
        <v>109</v>
      </c>
      <c r="Q783" s="21">
        <f t="shared" si="195"/>
        <v>0</v>
      </c>
      <c r="R783" s="87" t="e">
        <f t="shared" si="196"/>
        <v>#DIV/0!</v>
      </c>
      <c r="S783" s="87" t="e">
        <f t="shared" si="197"/>
        <v>#DIV/0!</v>
      </c>
      <c r="T783" s="21" t="e">
        <f t="shared" si="198"/>
        <v>#DIV/0!</v>
      </c>
      <c r="U783" s="87" t="e">
        <f t="shared" si="199"/>
        <v>#DIV/0!</v>
      </c>
      <c r="V783" s="22" t="e">
        <f t="shared" si="200"/>
        <v>#DIV/0!</v>
      </c>
    </row>
    <row r="784" spans="1:22" x14ac:dyDescent="0.25">
      <c r="A784" s="84" t="s">
        <v>982</v>
      </c>
      <c r="B784" s="85" t="s">
        <v>42</v>
      </c>
      <c r="C784" s="85" t="s">
        <v>464</v>
      </c>
      <c r="D784" s="85" t="s">
        <v>522</v>
      </c>
      <c r="E784" s="86" t="s">
        <v>864</v>
      </c>
      <c r="F784" s="85" t="s">
        <v>349</v>
      </c>
      <c r="G784" s="85" t="s">
        <v>282</v>
      </c>
      <c r="H784" s="85" t="s">
        <v>9</v>
      </c>
      <c r="I784" s="85" t="s">
        <v>258</v>
      </c>
      <c r="J784" s="86" t="s">
        <v>283</v>
      </c>
      <c r="K784" s="85" t="s">
        <v>386</v>
      </c>
      <c r="L784" s="87">
        <v>64</v>
      </c>
      <c r="M784" s="87">
        <f t="shared" si="192"/>
        <v>65.599999999999994</v>
      </c>
      <c r="N784" s="88">
        <f t="shared" si="193"/>
        <v>0</v>
      </c>
      <c r="O784" s="33">
        <f t="shared" si="194"/>
        <v>0</v>
      </c>
      <c r="P784" s="85" t="s">
        <v>109</v>
      </c>
      <c r="Q784" s="21">
        <f t="shared" si="195"/>
        <v>0</v>
      </c>
      <c r="R784" s="87" t="e">
        <f t="shared" si="196"/>
        <v>#DIV/0!</v>
      </c>
      <c r="S784" s="87" t="e">
        <f t="shared" si="197"/>
        <v>#DIV/0!</v>
      </c>
      <c r="T784" s="21" t="e">
        <f t="shared" si="198"/>
        <v>#DIV/0!</v>
      </c>
      <c r="U784" s="87" t="e">
        <f t="shared" si="199"/>
        <v>#DIV/0!</v>
      </c>
      <c r="V784" s="22" t="e">
        <f t="shared" si="200"/>
        <v>#DIV/0!</v>
      </c>
    </row>
    <row r="785" spans="1:22" x14ac:dyDescent="0.25">
      <c r="A785" s="84" t="s">
        <v>982</v>
      </c>
      <c r="B785" s="85" t="s">
        <v>42</v>
      </c>
      <c r="C785" s="85" t="s">
        <v>464</v>
      </c>
      <c r="D785" s="85" t="s">
        <v>523</v>
      </c>
      <c r="E785" s="86" t="s">
        <v>864</v>
      </c>
      <c r="F785" s="85" t="s">
        <v>349</v>
      </c>
      <c r="G785" s="85" t="s">
        <v>282</v>
      </c>
      <c r="H785" s="85" t="s">
        <v>9</v>
      </c>
      <c r="I785" s="85" t="s">
        <v>258</v>
      </c>
      <c r="J785" s="86" t="s">
        <v>283</v>
      </c>
      <c r="K785" s="85" t="s">
        <v>386</v>
      </c>
      <c r="L785" s="87">
        <v>52</v>
      </c>
      <c r="M785" s="87">
        <f t="shared" si="192"/>
        <v>53.3</v>
      </c>
      <c r="N785" s="88">
        <f t="shared" si="193"/>
        <v>0</v>
      </c>
      <c r="O785" s="33">
        <f t="shared" si="194"/>
        <v>0</v>
      </c>
      <c r="P785" s="85" t="s">
        <v>109</v>
      </c>
      <c r="Q785" s="21">
        <f t="shared" si="195"/>
        <v>0</v>
      </c>
      <c r="R785" s="87" t="e">
        <f t="shared" si="196"/>
        <v>#DIV/0!</v>
      </c>
      <c r="S785" s="87" t="e">
        <f t="shared" si="197"/>
        <v>#DIV/0!</v>
      </c>
      <c r="T785" s="21" t="e">
        <f t="shared" si="198"/>
        <v>#DIV/0!</v>
      </c>
      <c r="U785" s="87" t="e">
        <f t="shared" si="199"/>
        <v>#DIV/0!</v>
      </c>
      <c r="V785" s="22" t="e">
        <f t="shared" si="200"/>
        <v>#DIV/0!</v>
      </c>
    </row>
    <row r="786" spans="1:22" x14ac:dyDescent="0.25">
      <c r="A786" s="84" t="s">
        <v>982</v>
      </c>
      <c r="B786" s="85" t="s">
        <v>42</v>
      </c>
      <c r="C786" s="85" t="s">
        <v>464</v>
      </c>
      <c r="D786" s="85" t="s">
        <v>1201</v>
      </c>
      <c r="E786" s="86" t="s">
        <v>864</v>
      </c>
      <c r="F786" s="85" t="s">
        <v>349</v>
      </c>
      <c r="G786" s="85" t="s">
        <v>282</v>
      </c>
      <c r="H786" s="85" t="s">
        <v>9</v>
      </c>
      <c r="I786" s="85" t="s">
        <v>258</v>
      </c>
      <c r="J786" s="86" t="s">
        <v>283</v>
      </c>
      <c r="K786" s="85" t="s">
        <v>386</v>
      </c>
      <c r="L786" s="87">
        <v>54</v>
      </c>
      <c r="M786" s="87">
        <f t="shared" si="192"/>
        <v>55.349999999999994</v>
      </c>
      <c r="N786" s="88">
        <f t="shared" si="193"/>
        <v>0</v>
      </c>
      <c r="O786" s="33">
        <f t="shared" si="194"/>
        <v>0</v>
      </c>
      <c r="P786" s="85" t="s">
        <v>109</v>
      </c>
      <c r="Q786" s="21">
        <f t="shared" si="195"/>
        <v>0</v>
      </c>
      <c r="R786" s="87" t="e">
        <f t="shared" si="196"/>
        <v>#DIV/0!</v>
      </c>
      <c r="S786" s="87" t="e">
        <f t="shared" si="197"/>
        <v>#DIV/0!</v>
      </c>
      <c r="T786" s="21" t="e">
        <f t="shared" si="198"/>
        <v>#DIV/0!</v>
      </c>
      <c r="U786" s="87" t="e">
        <f t="shared" si="199"/>
        <v>#DIV/0!</v>
      </c>
      <c r="V786" s="22" t="e">
        <f t="shared" si="200"/>
        <v>#DIV/0!</v>
      </c>
    </row>
    <row r="787" spans="1:22" x14ac:dyDescent="0.25">
      <c r="A787" s="84" t="s">
        <v>982</v>
      </c>
      <c r="B787" s="85" t="s">
        <v>42</v>
      </c>
      <c r="C787" s="85" t="s">
        <v>464</v>
      </c>
      <c r="D787" s="85" t="s">
        <v>1202</v>
      </c>
      <c r="E787" s="86" t="s">
        <v>864</v>
      </c>
      <c r="F787" s="85" t="s">
        <v>349</v>
      </c>
      <c r="G787" s="85" t="s">
        <v>282</v>
      </c>
      <c r="H787" s="85" t="s">
        <v>9</v>
      </c>
      <c r="I787" s="85" t="s">
        <v>258</v>
      </c>
      <c r="J787" s="86" t="s">
        <v>283</v>
      </c>
      <c r="K787" s="85" t="s">
        <v>386</v>
      </c>
      <c r="L787" s="87">
        <v>52</v>
      </c>
      <c r="M787" s="87">
        <f t="shared" si="192"/>
        <v>53.3</v>
      </c>
      <c r="N787" s="88">
        <f t="shared" si="193"/>
        <v>0</v>
      </c>
      <c r="O787" s="33">
        <f t="shared" si="194"/>
        <v>0</v>
      </c>
      <c r="P787" s="85" t="s">
        <v>109</v>
      </c>
      <c r="Q787" s="21">
        <f t="shared" si="195"/>
        <v>0</v>
      </c>
      <c r="R787" s="87" t="e">
        <f t="shared" si="196"/>
        <v>#DIV/0!</v>
      </c>
      <c r="S787" s="87" t="e">
        <f t="shared" si="197"/>
        <v>#DIV/0!</v>
      </c>
      <c r="T787" s="21" t="e">
        <f t="shared" si="198"/>
        <v>#DIV/0!</v>
      </c>
      <c r="U787" s="87" t="e">
        <f t="shared" si="199"/>
        <v>#DIV/0!</v>
      </c>
      <c r="V787" s="22" t="e">
        <f t="shared" si="200"/>
        <v>#DIV/0!</v>
      </c>
    </row>
    <row r="788" spans="1:22" x14ac:dyDescent="0.25">
      <c r="A788" s="84" t="s">
        <v>982</v>
      </c>
      <c r="B788" s="85" t="s">
        <v>42</v>
      </c>
      <c r="C788" s="85" t="s">
        <v>464</v>
      </c>
      <c r="D788" s="85" t="s">
        <v>524</v>
      </c>
      <c r="E788" s="86" t="s">
        <v>864</v>
      </c>
      <c r="F788" s="85" t="s">
        <v>349</v>
      </c>
      <c r="G788" s="85" t="s">
        <v>282</v>
      </c>
      <c r="H788" s="85" t="s">
        <v>9</v>
      </c>
      <c r="I788" s="85" t="s">
        <v>258</v>
      </c>
      <c r="J788" s="86" t="s">
        <v>283</v>
      </c>
      <c r="K788" s="85" t="s">
        <v>386</v>
      </c>
      <c r="L788" s="87">
        <v>64</v>
      </c>
      <c r="M788" s="87">
        <f t="shared" si="192"/>
        <v>65.599999999999994</v>
      </c>
      <c r="N788" s="88">
        <f t="shared" si="193"/>
        <v>0</v>
      </c>
      <c r="O788" s="33">
        <f t="shared" si="194"/>
        <v>0</v>
      </c>
      <c r="P788" s="85" t="s">
        <v>109</v>
      </c>
      <c r="Q788" s="21">
        <f t="shared" si="195"/>
        <v>0</v>
      </c>
      <c r="R788" s="87" t="e">
        <f t="shared" si="196"/>
        <v>#DIV/0!</v>
      </c>
      <c r="S788" s="87" t="e">
        <f t="shared" si="197"/>
        <v>#DIV/0!</v>
      </c>
      <c r="T788" s="21" t="e">
        <f t="shared" si="198"/>
        <v>#DIV/0!</v>
      </c>
      <c r="U788" s="87" t="e">
        <f t="shared" si="199"/>
        <v>#DIV/0!</v>
      </c>
      <c r="V788" s="22" t="e">
        <f t="shared" si="200"/>
        <v>#DIV/0!</v>
      </c>
    </row>
    <row r="789" spans="1:22" x14ac:dyDescent="0.25">
      <c r="A789" s="84" t="s">
        <v>982</v>
      </c>
      <c r="B789" s="85" t="s">
        <v>42</v>
      </c>
      <c r="C789" s="85" t="s">
        <v>464</v>
      </c>
      <c r="D789" s="85" t="s">
        <v>1203</v>
      </c>
      <c r="E789" s="86" t="s">
        <v>988</v>
      </c>
      <c r="F789" s="85" t="s">
        <v>985</v>
      </c>
      <c r="G789" s="85" t="s">
        <v>322</v>
      </c>
      <c r="H789" s="85" t="s">
        <v>9</v>
      </c>
      <c r="I789" s="85" t="s">
        <v>258</v>
      </c>
      <c r="J789" s="86" t="s">
        <v>323</v>
      </c>
      <c r="K789" s="85" t="s">
        <v>346</v>
      </c>
      <c r="L789" s="87">
        <v>17</v>
      </c>
      <c r="M789" s="87">
        <f t="shared" si="192"/>
        <v>17.424999999999997</v>
      </c>
      <c r="N789" s="88">
        <f>prodnorm54</f>
        <v>0</v>
      </c>
      <c r="O789" s="33">
        <f>dagwerk54</f>
        <v>0</v>
      </c>
      <c r="P789" s="85" t="s">
        <v>109</v>
      </c>
      <c r="Q789" s="21">
        <f>uurtarief54</f>
        <v>0</v>
      </c>
      <c r="R789" s="87" t="e">
        <f t="shared" si="196"/>
        <v>#DIV/0!</v>
      </c>
      <c r="S789" s="87" t="e">
        <f t="shared" si="197"/>
        <v>#DIV/0!</v>
      </c>
      <c r="T789" s="21" t="e">
        <f t="shared" si="198"/>
        <v>#DIV/0!</v>
      </c>
      <c r="U789" s="87" t="e">
        <f t="shared" si="199"/>
        <v>#DIV/0!</v>
      </c>
      <c r="V789" s="22" t="e">
        <f t="shared" si="200"/>
        <v>#DIV/0!</v>
      </c>
    </row>
    <row r="790" spans="1:22" x14ac:dyDescent="0.25">
      <c r="A790" s="84" t="s">
        <v>982</v>
      </c>
      <c r="B790" s="85" t="s">
        <v>42</v>
      </c>
      <c r="C790" s="85" t="s">
        <v>464</v>
      </c>
      <c r="D790" s="85" t="s">
        <v>525</v>
      </c>
      <c r="E790" s="86" t="s">
        <v>864</v>
      </c>
      <c r="F790" s="85" t="s">
        <v>349</v>
      </c>
      <c r="G790" s="85" t="s">
        <v>282</v>
      </c>
      <c r="H790" s="85" t="s">
        <v>9</v>
      </c>
      <c r="I790" s="85" t="s">
        <v>258</v>
      </c>
      <c r="J790" s="86" t="s">
        <v>283</v>
      </c>
      <c r="K790" s="85" t="s">
        <v>386</v>
      </c>
      <c r="L790" s="87">
        <v>65</v>
      </c>
      <c r="M790" s="87">
        <f t="shared" si="192"/>
        <v>66.625</v>
      </c>
      <c r="N790" s="88">
        <f>prodnorm24</f>
        <v>0</v>
      </c>
      <c r="O790" s="33">
        <f>dagwerk24</f>
        <v>0</v>
      </c>
      <c r="P790" s="85" t="s">
        <v>109</v>
      </c>
      <c r="Q790" s="21">
        <f>uurtarief24</f>
        <v>0</v>
      </c>
      <c r="R790" s="87" t="e">
        <f t="shared" si="196"/>
        <v>#DIV/0!</v>
      </c>
      <c r="S790" s="87" t="e">
        <f t="shared" si="197"/>
        <v>#DIV/0!</v>
      </c>
      <c r="T790" s="21" t="e">
        <f t="shared" si="198"/>
        <v>#DIV/0!</v>
      </c>
      <c r="U790" s="87" t="e">
        <f t="shared" si="199"/>
        <v>#DIV/0!</v>
      </c>
      <c r="V790" s="22" t="e">
        <f t="shared" si="200"/>
        <v>#DIV/0!</v>
      </c>
    </row>
    <row r="791" spans="1:22" x14ac:dyDescent="0.25">
      <c r="A791" s="84" t="s">
        <v>982</v>
      </c>
      <c r="B791" s="85" t="s">
        <v>42</v>
      </c>
      <c r="C791" s="85" t="s">
        <v>464</v>
      </c>
      <c r="D791" s="85" t="s">
        <v>527</v>
      </c>
      <c r="E791" s="86" t="s">
        <v>864</v>
      </c>
      <c r="F791" s="85" t="s">
        <v>349</v>
      </c>
      <c r="G791" s="85" t="s">
        <v>282</v>
      </c>
      <c r="H791" s="85" t="s">
        <v>9</v>
      </c>
      <c r="I791" s="85" t="s">
        <v>258</v>
      </c>
      <c r="J791" s="86" t="s">
        <v>283</v>
      </c>
      <c r="K791" s="85" t="s">
        <v>386</v>
      </c>
      <c r="L791" s="87">
        <v>53</v>
      </c>
      <c r="M791" s="87">
        <f t="shared" si="192"/>
        <v>54.324999999999996</v>
      </c>
      <c r="N791" s="88">
        <f>prodnorm24</f>
        <v>0</v>
      </c>
      <c r="O791" s="33">
        <f>dagwerk24</f>
        <v>0</v>
      </c>
      <c r="P791" s="85" t="s">
        <v>109</v>
      </c>
      <c r="Q791" s="21">
        <f>uurtarief24</f>
        <v>0</v>
      </c>
      <c r="R791" s="87" t="e">
        <f t="shared" si="196"/>
        <v>#DIV/0!</v>
      </c>
      <c r="S791" s="87" t="e">
        <f t="shared" si="197"/>
        <v>#DIV/0!</v>
      </c>
      <c r="T791" s="21" t="e">
        <f t="shared" si="198"/>
        <v>#DIV/0!</v>
      </c>
      <c r="U791" s="87" t="e">
        <f t="shared" si="199"/>
        <v>#DIV/0!</v>
      </c>
      <c r="V791" s="22" t="e">
        <f t="shared" si="200"/>
        <v>#DIV/0!</v>
      </c>
    </row>
    <row r="792" spans="1:22" x14ac:dyDescent="0.25">
      <c r="A792" s="84" t="s">
        <v>982</v>
      </c>
      <c r="B792" s="85" t="s">
        <v>42</v>
      </c>
      <c r="C792" s="85" t="s">
        <v>565</v>
      </c>
      <c r="D792" s="85" t="s">
        <v>1204</v>
      </c>
      <c r="E792" s="86" t="s">
        <v>452</v>
      </c>
      <c r="F792" s="85" t="s">
        <v>899</v>
      </c>
      <c r="G792" s="85" t="s">
        <v>322</v>
      </c>
      <c r="H792" s="85" t="s">
        <v>9</v>
      </c>
      <c r="I792" s="85" t="s">
        <v>258</v>
      </c>
      <c r="J792" s="86" t="s">
        <v>323</v>
      </c>
      <c r="K792" s="85" t="s">
        <v>42</v>
      </c>
      <c r="L792" s="87">
        <v>17</v>
      </c>
      <c r="M792" s="87">
        <f t="shared" si="192"/>
        <v>17.424999999999997</v>
      </c>
      <c r="N792" s="88">
        <f>prodnorm54</f>
        <v>0</v>
      </c>
      <c r="O792" s="33">
        <f>dagwerk54</f>
        <v>0</v>
      </c>
      <c r="P792" s="85" t="s">
        <v>109</v>
      </c>
      <c r="Q792" s="21">
        <f>uurtarief54</f>
        <v>0</v>
      </c>
      <c r="R792" s="87" t="e">
        <f t="shared" si="196"/>
        <v>#DIV/0!</v>
      </c>
      <c r="S792" s="87" t="e">
        <f t="shared" si="197"/>
        <v>#DIV/0!</v>
      </c>
      <c r="T792" s="21" t="e">
        <f t="shared" si="198"/>
        <v>#DIV/0!</v>
      </c>
      <c r="U792" s="87" t="e">
        <f t="shared" si="199"/>
        <v>#DIV/0!</v>
      </c>
      <c r="V792" s="22" t="e">
        <f t="shared" si="200"/>
        <v>#DIV/0!</v>
      </c>
    </row>
    <row r="793" spans="1:22" x14ac:dyDescent="0.25">
      <c r="A793" s="84" t="s">
        <v>982</v>
      </c>
      <c r="B793" s="85" t="s">
        <v>42</v>
      </c>
      <c r="C793" s="85" t="s">
        <v>565</v>
      </c>
      <c r="D793" s="85" t="s">
        <v>1205</v>
      </c>
      <c r="E793" s="86" t="s">
        <v>1206</v>
      </c>
      <c r="F793" s="85" t="s">
        <v>349</v>
      </c>
      <c r="G793" s="85" t="s">
        <v>268</v>
      </c>
      <c r="H793" s="85" t="s">
        <v>19</v>
      </c>
      <c r="I793" s="85" t="s">
        <v>258</v>
      </c>
      <c r="J793" s="86" t="s">
        <v>269</v>
      </c>
      <c r="K793" s="85" t="s">
        <v>42</v>
      </c>
      <c r="L793" s="87">
        <v>17</v>
      </c>
      <c r="M793" s="87">
        <f t="shared" si="192"/>
        <v>1.7000000000000002</v>
      </c>
      <c r="N793" s="88">
        <f>prodnorm14</f>
        <v>0</v>
      </c>
      <c r="O793" s="33">
        <f>dagwerk14</f>
        <v>0</v>
      </c>
      <c r="P793" s="85" t="s">
        <v>109</v>
      </c>
      <c r="Q793" s="21">
        <f>uurtarief14</f>
        <v>0</v>
      </c>
      <c r="R793" s="87" t="e">
        <f t="shared" si="196"/>
        <v>#DIV/0!</v>
      </c>
      <c r="S793" s="87" t="e">
        <f t="shared" si="197"/>
        <v>#DIV/0!</v>
      </c>
      <c r="T793" s="21" t="e">
        <f t="shared" si="198"/>
        <v>#DIV/0!</v>
      </c>
      <c r="U793" s="87" t="e">
        <f t="shared" si="199"/>
        <v>#DIV/0!</v>
      </c>
      <c r="V793" s="22" t="e">
        <f t="shared" si="200"/>
        <v>#DIV/0!</v>
      </c>
    </row>
    <row r="794" spans="1:22" x14ac:dyDescent="0.25">
      <c r="A794" s="84" t="s">
        <v>982</v>
      </c>
      <c r="B794" s="85" t="s">
        <v>42</v>
      </c>
      <c r="C794" s="85" t="s">
        <v>565</v>
      </c>
      <c r="D794" s="85" t="s">
        <v>1207</v>
      </c>
      <c r="E794" s="86" t="s">
        <v>1208</v>
      </c>
      <c r="F794" s="85" t="s">
        <v>349</v>
      </c>
      <c r="G794" s="85" t="s">
        <v>268</v>
      </c>
      <c r="H794" s="85" t="s">
        <v>19</v>
      </c>
      <c r="I794" s="85" t="s">
        <v>258</v>
      </c>
      <c r="J794" s="86" t="s">
        <v>269</v>
      </c>
      <c r="K794" s="85" t="s">
        <v>42</v>
      </c>
      <c r="L794" s="87">
        <v>91.5</v>
      </c>
      <c r="M794" s="87">
        <f t="shared" si="192"/>
        <v>9.15</v>
      </c>
      <c r="N794" s="88">
        <f>prodnorm14</f>
        <v>0</v>
      </c>
      <c r="O794" s="33">
        <f>dagwerk14</f>
        <v>0</v>
      </c>
      <c r="P794" s="85" t="s">
        <v>109</v>
      </c>
      <c r="Q794" s="21">
        <f>uurtarief14</f>
        <v>0</v>
      </c>
      <c r="R794" s="87" t="e">
        <f t="shared" si="196"/>
        <v>#DIV/0!</v>
      </c>
      <c r="S794" s="87" t="e">
        <f t="shared" si="197"/>
        <v>#DIV/0!</v>
      </c>
      <c r="T794" s="21" t="e">
        <f t="shared" si="198"/>
        <v>#DIV/0!</v>
      </c>
      <c r="U794" s="87" t="e">
        <f t="shared" si="199"/>
        <v>#DIV/0!</v>
      </c>
      <c r="V794" s="22" t="e">
        <f t="shared" si="200"/>
        <v>#DIV/0!</v>
      </c>
    </row>
    <row r="795" spans="1:22" x14ac:dyDescent="0.25">
      <c r="A795" s="84" t="s">
        <v>982</v>
      </c>
      <c r="B795" s="85" t="s">
        <v>42</v>
      </c>
      <c r="C795" s="85" t="s">
        <v>565</v>
      </c>
      <c r="D795" s="85" t="s">
        <v>1209</v>
      </c>
      <c r="E795" s="86" t="s">
        <v>1210</v>
      </c>
      <c r="F795" s="85" t="s">
        <v>670</v>
      </c>
      <c r="G795" s="85" t="s">
        <v>324</v>
      </c>
      <c r="H795" s="85" t="s">
        <v>24</v>
      </c>
      <c r="I795" s="85" t="s">
        <v>325</v>
      </c>
      <c r="J795" s="86" t="s">
        <v>326</v>
      </c>
      <c r="K795" s="85" t="s">
        <v>42</v>
      </c>
      <c r="L795" s="87">
        <v>226.5</v>
      </c>
      <c r="M795" s="87">
        <f t="shared" si="192"/>
        <v>2.2650000000000001</v>
      </c>
      <c r="N795" s="88">
        <f>prodnorm4</f>
        <v>0</v>
      </c>
      <c r="O795" s="33">
        <f>dagwerk4</f>
        <v>0</v>
      </c>
      <c r="P795" s="85" t="s">
        <v>109</v>
      </c>
      <c r="Q795" s="21">
        <f>uurtarief4</f>
        <v>0</v>
      </c>
      <c r="R795" s="87" t="e">
        <f t="shared" si="196"/>
        <v>#DIV/0!</v>
      </c>
      <c r="S795" s="87" t="e">
        <f t="shared" si="197"/>
        <v>#DIV/0!</v>
      </c>
      <c r="T795" s="21" t="e">
        <f t="shared" si="198"/>
        <v>#DIV/0!</v>
      </c>
      <c r="U795" s="87" t="e">
        <f t="shared" si="199"/>
        <v>#DIV/0!</v>
      </c>
      <c r="V795" s="22" t="e">
        <f t="shared" si="200"/>
        <v>#DIV/0!</v>
      </c>
    </row>
    <row r="796" spans="1:22" ht="23" x14ac:dyDescent="0.25">
      <c r="A796" s="84" t="s">
        <v>982</v>
      </c>
      <c r="B796" s="85" t="s">
        <v>42</v>
      </c>
      <c r="C796" s="85" t="s">
        <v>565</v>
      </c>
      <c r="D796" s="85" t="s">
        <v>1209</v>
      </c>
      <c r="E796" s="86" t="s">
        <v>1210</v>
      </c>
      <c r="F796" s="85" t="s">
        <v>670</v>
      </c>
      <c r="G796" s="85" t="s">
        <v>270</v>
      </c>
      <c r="H796" s="85" t="s">
        <v>14</v>
      </c>
      <c r="I796" s="85" t="s">
        <v>258</v>
      </c>
      <c r="J796" s="86" t="s">
        <v>271</v>
      </c>
      <c r="K796" s="85" t="s">
        <v>42</v>
      </c>
      <c r="L796" s="87">
        <v>226.5</v>
      </c>
      <c r="M796" s="87">
        <f t="shared" si="192"/>
        <v>92.864999999999995</v>
      </c>
      <c r="N796" s="88">
        <f>prodnorm17</f>
        <v>0</v>
      </c>
      <c r="O796" s="33">
        <f>dagwerk17</f>
        <v>0</v>
      </c>
      <c r="P796" s="85" t="s">
        <v>109</v>
      </c>
      <c r="Q796" s="21">
        <f>uurtarief17</f>
        <v>0</v>
      </c>
      <c r="R796" s="87" t="e">
        <f t="shared" si="196"/>
        <v>#DIV/0!</v>
      </c>
      <c r="S796" s="87" t="e">
        <f t="shared" si="197"/>
        <v>#DIV/0!</v>
      </c>
      <c r="T796" s="21" t="e">
        <f t="shared" si="198"/>
        <v>#DIV/0!</v>
      </c>
      <c r="U796" s="87" t="e">
        <f t="shared" si="199"/>
        <v>#DIV/0!</v>
      </c>
      <c r="V796" s="22" t="e">
        <f t="shared" si="200"/>
        <v>#DIV/0!</v>
      </c>
    </row>
    <row r="797" spans="1:22" x14ac:dyDescent="0.25">
      <c r="A797" s="84" t="s">
        <v>982</v>
      </c>
      <c r="B797" s="85" t="s">
        <v>42</v>
      </c>
      <c r="C797" s="85" t="s">
        <v>565</v>
      </c>
      <c r="D797" s="85" t="s">
        <v>1211</v>
      </c>
      <c r="E797" s="86" t="s">
        <v>373</v>
      </c>
      <c r="F797" s="85" t="s">
        <v>699</v>
      </c>
      <c r="G797" s="85" t="s">
        <v>312</v>
      </c>
      <c r="H797" s="85" t="s">
        <v>9</v>
      </c>
      <c r="I797" s="85" t="s">
        <v>258</v>
      </c>
      <c r="J797" s="86" t="s">
        <v>313</v>
      </c>
      <c r="K797" s="85" t="s">
        <v>42</v>
      </c>
      <c r="L797" s="87">
        <v>76.599999999999994</v>
      </c>
      <c r="M797" s="87">
        <f t="shared" si="192"/>
        <v>78.514999999999986</v>
      </c>
      <c r="N797" s="88">
        <f>prodnorm46</f>
        <v>0</v>
      </c>
      <c r="O797" s="33">
        <f>dagwerk46</f>
        <v>0</v>
      </c>
      <c r="P797" s="85" t="s">
        <v>109</v>
      </c>
      <c r="Q797" s="21">
        <f>uurtarief46</f>
        <v>0</v>
      </c>
      <c r="R797" s="87" t="e">
        <f t="shared" si="196"/>
        <v>#DIV/0!</v>
      </c>
      <c r="S797" s="87" t="e">
        <f t="shared" si="197"/>
        <v>#DIV/0!</v>
      </c>
      <c r="T797" s="21" t="e">
        <f t="shared" si="198"/>
        <v>#DIV/0!</v>
      </c>
      <c r="U797" s="87" t="e">
        <f t="shared" si="199"/>
        <v>#DIV/0!</v>
      </c>
      <c r="V797" s="22" t="e">
        <f t="shared" si="200"/>
        <v>#DIV/0!</v>
      </c>
    </row>
    <row r="798" spans="1:22" x14ac:dyDescent="0.25">
      <c r="A798" s="84" t="s">
        <v>982</v>
      </c>
      <c r="B798" s="85" t="s">
        <v>42</v>
      </c>
      <c r="C798" s="85" t="s">
        <v>565</v>
      </c>
      <c r="D798" s="85" t="s">
        <v>1212</v>
      </c>
      <c r="E798" s="86" t="s">
        <v>1040</v>
      </c>
      <c r="F798" s="85" t="s">
        <v>699</v>
      </c>
      <c r="G798" s="85" t="s">
        <v>308</v>
      </c>
      <c r="H798" s="85" t="s">
        <v>9</v>
      </c>
      <c r="I798" s="85" t="s">
        <v>258</v>
      </c>
      <c r="J798" s="86" t="s">
        <v>309</v>
      </c>
      <c r="K798" s="85" t="s">
        <v>42</v>
      </c>
      <c r="L798" s="87">
        <v>16.3</v>
      </c>
      <c r="M798" s="87">
        <f t="shared" si="192"/>
        <v>16.7075</v>
      </c>
      <c r="N798" s="88">
        <f>prodnorm43</f>
        <v>0</v>
      </c>
      <c r="O798" s="33">
        <f>dagwerk43</f>
        <v>0</v>
      </c>
      <c r="P798" s="85" t="s">
        <v>109</v>
      </c>
      <c r="Q798" s="21">
        <f>uurtarief43</f>
        <v>0</v>
      </c>
      <c r="R798" s="87" t="e">
        <f t="shared" si="196"/>
        <v>#DIV/0!</v>
      </c>
      <c r="S798" s="87" t="e">
        <f t="shared" si="197"/>
        <v>#DIV/0!</v>
      </c>
      <c r="T798" s="21" t="e">
        <f t="shared" si="198"/>
        <v>#DIV/0!</v>
      </c>
      <c r="U798" s="87" t="e">
        <f t="shared" si="199"/>
        <v>#DIV/0!</v>
      </c>
      <c r="V798" s="22" t="e">
        <f t="shared" si="200"/>
        <v>#DIV/0!</v>
      </c>
    </row>
    <row r="799" spans="1:22" x14ac:dyDescent="0.25">
      <c r="A799" s="84" t="s">
        <v>982</v>
      </c>
      <c r="B799" s="85" t="s">
        <v>42</v>
      </c>
      <c r="C799" s="85" t="s">
        <v>565</v>
      </c>
      <c r="D799" s="85" t="s">
        <v>1213</v>
      </c>
      <c r="E799" s="86" t="s">
        <v>1040</v>
      </c>
      <c r="F799" s="85" t="s">
        <v>699</v>
      </c>
      <c r="G799" s="85" t="s">
        <v>308</v>
      </c>
      <c r="H799" s="85" t="s">
        <v>9</v>
      </c>
      <c r="I799" s="85" t="s">
        <v>258</v>
      </c>
      <c r="J799" s="86" t="s">
        <v>309</v>
      </c>
      <c r="K799" s="85" t="s">
        <v>42</v>
      </c>
      <c r="L799" s="87">
        <v>16.3</v>
      </c>
      <c r="M799" s="87">
        <f t="shared" si="192"/>
        <v>16.7075</v>
      </c>
      <c r="N799" s="88">
        <f>prodnorm43</f>
        <v>0</v>
      </c>
      <c r="O799" s="33">
        <f>dagwerk43</f>
        <v>0</v>
      </c>
      <c r="P799" s="85" t="s">
        <v>109</v>
      </c>
      <c r="Q799" s="21">
        <f>uurtarief43</f>
        <v>0</v>
      </c>
      <c r="R799" s="87" t="e">
        <f t="shared" si="196"/>
        <v>#DIV/0!</v>
      </c>
      <c r="S799" s="87" t="e">
        <f t="shared" si="197"/>
        <v>#DIV/0!</v>
      </c>
      <c r="T799" s="21" t="e">
        <f t="shared" si="198"/>
        <v>#DIV/0!</v>
      </c>
      <c r="U799" s="87" t="e">
        <f t="shared" si="199"/>
        <v>#DIV/0!</v>
      </c>
      <c r="V799" s="22" t="e">
        <f t="shared" si="200"/>
        <v>#DIV/0!</v>
      </c>
    </row>
    <row r="800" spans="1:22" x14ac:dyDescent="0.25">
      <c r="A800" s="84" t="s">
        <v>982</v>
      </c>
      <c r="B800" s="85" t="s">
        <v>42</v>
      </c>
      <c r="C800" s="85" t="s">
        <v>565</v>
      </c>
      <c r="D800" s="85" t="s">
        <v>585</v>
      </c>
      <c r="E800" s="86" t="s">
        <v>373</v>
      </c>
      <c r="F800" s="85" t="s">
        <v>349</v>
      </c>
      <c r="G800" s="85" t="s">
        <v>312</v>
      </c>
      <c r="H800" s="85" t="s">
        <v>9</v>
      </c>
      <c r="I800" s="85" t="s">
        <v>258</v>
      </c>
      <c r="J800" s="86" t="s">
        <v>313</v>
      </c>
      <c r="K800" s="85" t="s">
        <v>346</v>
      </c>
      <c r="L800" s="87">
        <v>51</v>
      </c>
      <c r="M800" s="87">
        <f t="shared" si="192"/>
        <v>52.274999999999999</v>
      </c>
      <c r="N800" s="88">
        <f>prodnorm46</f>
        <v>0</v>
      </c>
      <c r="O800" s="33">
        <f>dagwerk46</f>
        <v>0</v>
      </c>
      <c r="P800" s="85" t="s">
        <v>109</v>
      </c>
      <c r="Q800" s="21">
        <f>uurtarief46</f>
        <v>0</v>
      </c>
      <c r="R800" s="87" t="e">
        <f t="shared" si="196"/>
        <v>#DIV/0!</v>
      </c>
      <c r="S800" s="87" t="e">
        <f t="shared" si="197"/>
        <v>#DIV/0!</v>
      </c>
      <c r="T800" s="21" t="e">
        <f t="shared" si="198"/>
        <v>#DIV/0!</v>
      </c>
      <c r="U800" s="87" t="e">
        <f t="shared" si="199"/>
        <v>#DIV/0!</v>
      </c>
      <c r="V800" s="22" t="e">
        <f t="shared" si="200"/>
        <v>#DIV/0!</v>
      </c>
    </row>
    <row r="801" spans="1:22" x14ac:dyDescent="0.25">
      <c r="A801" s="84" t="s">
        <v>982</v>
      </c>
      <c r="B801" s="85" t="s">
        <v>42</v>
      </c>
      <c r="C801" s="85" t="s">
        <v>565</v>
      </c>
      <c r="D801" s="85" t="s">
        <v>587</v>
      </c>
      <c r="E801" s="86" t="s">
        <v>373</v>
      </c>
      <c r="F801" s="85" t="s">
        <v>349</v>
      </c>
      <c r="G801" s="85" t="s">
        <v>312</v>
      </c>
      <c r="H801" s="85" t="s">
        <v>9</v>
      </c>
      <c r="I801" s="85" t="s">
        <v>258</v>
      </c>
      <c r="J801" s="86" t="s">
        <v>313</v>
      </c>
      <c r="K801" s="85" t="s">
        <v>346</v>
      </c>
      <c r="L801" s="87">
        <v>80</v>
      </c>
      <c r="M801" s="87">
        <f t="shared" si="192"/>
        <v>82</v>
      </c>
      <c r="N801" s="88">
        <f>prodnorm46</f>
        <v>0</v>
      </c>
      <c r="O801" s="33">
        <f>dagwerk46</f>
        <v>0</v>
      </c>
      <c r="P801" s="85" t="s">
        <v>109</v>
      </c>
      <c r="Q801" s="21">
        <f>uurtarief46</f>
        <v>0</v>
      </c>
      <c r="R801" s="87" t="e">
        <f t="shared" si="196"/>
        <v>#DIV/0!</v>
      </c>
      <c r="S801" s="87" t="e">
        <f t="shared" si="197"/>
        <v>#DIV/0!</v>
      </c>
      <c r="T801" s="21" t="e">
        <f t="shared" si="198"/>
        <v>#DIV/0!</v>
      </c>
      <c r="U801" s="87" t="e">
        <f t="shared" si="199"/>
        <v>#DIV/0!</v>
      </c>
      <c r="V801" s="22" t="e">
        <f t="shared" si="200"/>
        <v>#DIV/0!</v>
      </c>
    </row>
    <row r="802" spans="1:22" x14ac:dyDescent="0.25">
      <c r="A802" s="84" t="s">
        <v>982</v>
      </c>
      <c r="B802" s="85" t="s">
        <v>42</v>
      </c>
      <c r="C802" s="85" t="s">
        <v>565</v>
      </c>
      <c r="D802" s="85" t="s">
        <v>588</v>
      </c>
      <c r="E802" s="86" t="s">
        <v>864</v>
      </c>
      <c r="F802" s="85" t="s">
        <v>349</v>
      </c>
      <c r="G802" s="85" t="s">
        <v>282</v>
      </c>
      <c r="H802" s="85" t="s">
        <v>9</v>
      </c>
      <c r="I802" s="85" t="s">
        <v>258</v>
      </c>
      <c r="J802" s="86" t="s">
        <v>283</v>
      </c>
      <c r="K802" s="85" t="s">
        <v>386</v>
      </c>
      <c r="L802" s="87">
        <v>58</v>
      </c>
      <c r="M802" s="87">
        <f t="shared" si="192"/>
        <v>59.449999999999996</v>
      </c>
      <c r="N802" s="88">
        <f>prodnorm24</f>
        <v>0</v>
      </c>
      <c r="O802" s="33">
        <f>dagwerk24</f>
        <v>0</v>
      </c>
      <c r="P802" s="85" t="s">
        <v>109</v>
      </c>
      <c r="Q802" s="21">
        <f>uurtarief24</f>
        <v>0</v>
      </c>
      <c r="R802" s="87" t="e">
        <f t="shared" si="196"/>
        <v>#DIV/0!</v>
      </c>
      <c r="S802" s="87" t="e">
        <f t="shared" si="197"/>
        <v>#DIV/0!</v>
      </c>
      <c r="T802" s="21" t="e">
        <f t="shared" si="198"/>
        <v>#DIV/0!</v>
      </c>
      <c r="U802" s="87" t="e">
        <f t="shared" si="199"/>
        <v>#DIV/0!</v>
      </c>
      <c r="V802" s="22" t="e">
        <f t="shared" si="200"/>
        <v>#DIV/0!</v>
      </c>
    </row>
    <row r="803" spans="1:22" x14ac:dyDescent="0.25">
      <c r="A803" s="84" t="s">
        <v>982</v>
      </c>
      <c r="B803" s="85" t="s">
        <v>42</v>
      </c>
      <c r="C803" s="85" t="s">
        <v>565</v>
      </c>
      <c r="D803" s="85" t="s">
        <v>589</v>
      </c>
      <c r="E803" s="86" t="s">
        <v>1003</v>
      </c>
      <c r="F803" s="85" t="s">
        <v>699</v>
      </c>
      <c r="G803" s="85" t="s">
        <v>310</v>
      </c>
      <c r="H803" s="85" t="s">
        <v>9</v>
      </c>
      <c r="I803" s="85" t="s">
        <v>258</v>
      </c>
      <c r="J803" s="86" t="s">
        <v>311</v>
      </c>
      <c r="K803" s="85" t="s">
        <v>417</v>
      </c>
      <c r="L803" s="87">
        <v>4.7</v>
      </c>
      <c r="M803" s="87">
        <f t="shared" si="192"/>
        <v>4.8174999999999999</v>
      </c>
      <c r="N803" s="88">
        <f>prodnorm45</f>
        <v>0</v>
      </c>
      <c r="O803" s="33">
        <f>dagwerk45</f>
        <v>0</v>
      </c>
      <c r="P803" s="85" t="s">
        <v>109</v>
      </c>
      <c r="Q803" s="21">
        <f>uurtarief45</f>
        <v>0</v>
      </c>
      <c r="R803" s="87" t="e">
        <f t="shared" si="196"/>
        <v>#DIV/0!</v>
      </c>
      <c r="S803" s="87" t="e">
        <f t="shared" si="197"/>
        <v>#DIV/0!</v>
      </c>
      <c r="T803" s="21" t="e">
        <f t="shared" si="198"/>
        <v>#DIV/0!</v>
      </c>
      <c r="U803" s="87" t="e">
        <f t="shared" si="199"/>
        <v>#DIV/0!</v>
      </c>
      <c r="V803" s="22" t="e">
        <f t="shared" si="200"/>
        <v>#DIV/0!</v>
      </c>
    </row>
    <row r="804" spans="1:22" x14ac:dyDescent="0.25">
      <c r="A804" s="84" t="s">
        <v>982</v>
      </c>
      <c r="B804" s="85" t="s">
        <v>42</v>
      </c>
      <c r="C804" s="85" t="s">
        <v>565</v>
      </c>
      <c r="D804" s="85" t="s">
        <v>591</v>
      </c>
      <c r="E804" s="86" t="s">
        <v>988</v>
      </c>
      <c r="F804" s="85" t="s">
        <v>985</v>
      </c>
      <c r="G804" s="85" t="s">
        <v>322</v>
      </c>
      <c r="H804" s="85" t="s">
        <v>9</v>
      </c>
      <c r="I804" s="85" t="s">
        <v>258</v>
      </c>
      <c r="J804" s="86" t="s">
        <v>323</v>
      </c>
      <c r="K804" s="85" t="s">
        <v>346</v>
      </c>
      <c r="L804" s="87">
        <v>17</v>
      </c>
      <c r="M804" s="87">
        <f t="shared" si="192"/>
        <v>17.424999999999997</v>
      </c>
      <c r="N804" s="88">
        <f>prodnorm54</f>
        <v>0</v>
      </c>
      <c r="O804" s="33">
        <f>dagwerk54</f>
        <v>0</v>
      </c>
      <c r="P804" s="85" t="s">
        <v>109</v>
      </c>
      <c r="Q804" s="21">
        <f>uurtarief54</f>
        <v>0</v>
      </c>
      <c r="R804" s="87" t="e">
        <f t="shared" si="196"/>
        <v>#DIV/0!</v>
      </c>
      <c r="S804" s="87" t="e">
        <f t="shared" si="197"/>
        <v>#DIV/0!</v>
      </c>
      <c r="T804" s="21" t="e">
        <f t="shared" si="198"/>
        <v>#DIV/0!</v>
      </c>
      <c r="U804" s="87" t="e">
        <f t="shared" si="199"/>
        <v>#DIV/0!</v>
      </c>
      <c r="V804" s="22" t="e">
        <f t="shared" si="200"/>
        <v>#DIV/0!</v>
      </c>
    </row>
    <row r="805" spans="1:22" x14ac:dyDescent="0.25">
      <c r="A805" s="84" t="s">
        <v>982</v>
      </c>
      <c r="B805" s="85" t="s">
        <v>42</v>
      </c>
      <c r="C805" s="85" t="s">
        <v>565</v>
      </c>
      <c r="D805" s="85" t="s">
        <v>592</v>
      </c>
      <c r="E805" s="86" t="s">
        <v>864</v>
      </c>
      <c r="F805" s="85" t="s">
        <v>349</v>
      </c>
      <c r="G805" s="85" t="s">
        <v>282</v>
      </c>
      <c r="H805" s="85" t="s">
        <v>9</v>
      </c>
      <c r="I805" s="85" t="s">
        <v>258</v>
      </c>
      <c r="J805" s="86" t="s">
        <v>283</v>
      </c>
      <c r="K805" s="85" t="s">
        <v>386</v>
      </c>
      <c r="L805" s="87">
        <v>65</v>
      </c>
      <c r="M805" s="87">
        <f t="shared" si="192"/>
        <v>66.625</v>
      </c>
      <c r="N805" s="88">
        <f>prodnorm24</f>
        <v>0</v>
      </c>
      <c r="O805" s="33">
        <f>dagwerk24</f>
        <v>0</v>
      </c>
      <c r="P805" s="85" t="s">
        <v>109</v>
      </c>
      <c r="Q805" s="21">
        <f>uurtarief24</f>
        <v>0</v>
      </c>
      <c r="R805" s="87" t="e">
        <f t="shared" si="196"/>
        <v>#DIV/0!</v>
      </c>
      <c r="S805" s="87" t="e">
        <f t="shared" si="197"/>
        <v>#DIV/0!</v>
      </c>
      <c r="T805" s="21" t="e">
        <f t="shared" si="198"/>
        <v>#DIV/0!</v>
      </c>
      <c r="U805" s="87" t="e">
        <f t="shared" si="199"/>
        <v>#DIV/0!</v>
      </c>
      <c r="V805" s="22" t="e">
        <f t="shared" si="200"/>
        <v>#DIV/0!</v>
      </c>
    </row>
    <row r="806" spans="1:22" x14ac:dyDescent="0.25">
      <c r="A806" s="84" t="s">
        <v>982</v>
      </c>
      <c r="B806" s="85" t="s">
        <v>42</v>
      </c>
      <c r="C806" s="85" t="s">
        <v>565</v>
      </c>
      <c r="D806" s="85" t="s">
        <v>593</v>
      </c>
      <c r="E806" s="86" t="s">
        <v>590</v>
      </c>
      <c r="F806" s="85" t="s">
        <v>349</v>
      </c>
      <c r="G806" s="85" t="s">
        <v>260</v>
      </c>
      <c r="H806" s="85" t="s">
        <v>14</v>
      </c>
      <c r="I806" s="85" t="s">
        <v>258</v>
      </c>
      <c r="J806" s="86" t="s">
        <v>261</v>
      </c>
      <c r="K806" s="85" t="s">
        <v>386</v>
      </c>
      <c r="L806" s="87">
        <v>16</v>
      </c>
      <c r="M806" s="87">
        <f t="shared" si="192"/>
        <v>6.56</v>
      </c>
      <c r="N806" s="88">
        <f>prodnorm7</f>
        <v>0</v>
      </c>
      <c r="O806" s="33">
        <f>dagwerk7</f>
        <v>0</v>
      </c>
      <c r="P806" s="85" t="s">
        <v>109</v>
      </c>
      <c r="Q806" s="21">
        <f>uurtarief7</f>
        <v>0</v>
      </c>
      <c r="R806" s="87" t="e">
        <f t="shared" si="196"/>
        <v>#DIV/0!</v>
      </c>
      <c r="S806" s="87" t="e">
        <f t="shared" si="197"/>
        <v>#DIV/0!</v>
      </c>
      <c r="T806" s="21" t="e">
        <f t="shared" si="198"/>
        <v>#DIV/0!</v>
      </c>
      <c r="U806" s="87" t="e">
        <f t="shared" si="199"/>
        <v>#DIV/0!</v>
      </c>
      <c r="V806" s="22" t="e">
        <f t="shared" si="200"/>
        <v>#DIV/0!</v>
      </c>
    </row>
    <row r="807" spans="1:22" x14ac:dyDescent="0.25">
      <c r="A807" s="84" t="s">
        <v>982</v>
      </c>
      <c r="B807" s="85" t="s">
        <v>42</v>
      </c>
      <c r="C807" s="85" t="s">
        <v>565</v>
      </c>
      <c r="D807" s="85" t="s">
        <v>594</v>
      </c>
      <c r="E807" s="86" t="s">
        <v>864</v>
      </c>
      <c r="F807" s="85" t="s">
        <v>349</v>
      </c>
      <c r="G807" s="85" t="s">
        <v>282</v>
      </c>
      <c r="H807" s="85" t="s">
        <v>9</v>
      </c>
      <c r="I807" s="85" t="s">
        <v>258</v>
      </c>
      <c r="J807" s="86" t="s">
        <v>283</v>
      </c>
      <c r="K807" s="85" t="s">
        <v>386</v>
      </c>
      <c r="L807" s="87">
        <v>53</v>
      </c>
      <c r="M807" s="87">
        <f t="shared" si="192"/>
        <v>54.324999999999996</v>
      </c>
      <c r="N807" s="88">
        <f>prodnorm24</f>
        <v>0</v>
      </c>
      <c r="O807" s="33">
        <f>dagwerk24</f>
        <v>0</v>
      </c>
      <c r="P807" s="85" t="s">
        <v>109</v>
      </c>
      <c r="Q807" s="21">
        <f>uurtarief24</f>
        <v>0</v>
      </c>
      <c r="R807" s="87" t="e">
        <f t="shared" si="196"/>
        <v>#DIV/0!</v>
      </c>
      <c r="S807" s="87" t="e">
        <f t="shared" si="197"/>
        <v>#DIV/0!</v>
      </c>
      <c r="T807" s="21" t="e">
        <f t="shared" si="198"/>
        <v>#DIV/0!</v>
      </c>
      <c r="U807" s="87" t="e">
        <f t="shared" si="199"/>
        <v>#DIV/0!</v>
      </c>
      <c r="V807" s="22" t="e">
        <f t="shared" si="200"/>
        <v>#DIV/0!</v>
      </c>
    </row>
    <row r="808" spans="1:22" x14ac:dyDescent="0.25">
      <c r="A808" s="84" t="s">
        <v>982</v>
      </c>
      <c r="B808" s="85" t="s">
        <v>42</v>
      </c>
      <c r="C808" s="85" t="s">
        <v>565</v>
      </c>
      <c r="D808" s="85" t="s">
        <v>595</v>
      </c>
      <c r="E808" s="86" t="s">
        <v>864</v>
      </c>
      <c r="F808" s="85" t="s">
        <v>349</v>
      </c>
      <c r="G808" s="85" t="s">
        <v>282</v>
      </c>
      <c r="H808" s="85" t="s">
        <v>9</v>
      </c>
      <c r="I808" s="85" t="s">
        <v>258</v>
      </c>
      <c r="J808" s="86" t="s">
        <v>283</v>
      </c>
      <c r="K808" s="85" t="s">
        <v>386</v>
      </c>
      <c r="L808" s="87">
        <v>54</v>
      </c>
      <c r="M808" s="87">
        <f t="shared" si="192"/>
        <v>55.349999999999994</v>
      </c>
      <c r="N808" s="88">
        <f>prodnorm24</f>
        <v>0</v>
      </c>
      <c r="O808" s="33">
        <f>dagwerk24</f>
        <v>0</v>
      </c>
      <c r="P808" s="85" t="s">
        <v>109</v>
      </c>
      <c r="Q808" s="21">
        <f>uurtarief24</f>
        <v>0</v>
      </c>
      <c r="R808" s="87" t="e">
        <f t="shared" si="196"/>
        <v>#DIV/0!</v>
      </c>
      <c r="S808" s="87" t="e">
        <f t="shared" si="197"/>
        <v>#DIV/0!</v>
      </c>
      <c r="T808" s="21" t="e">
        <f t="shared" si="198"/>
        <v>#DIV/0!</v>
      </c>
      <c r="U808" s="87" t="e">
        <f t="shared" si="199"/>
        <v>#DIV/0!</v>
      </c>
      <c r="V808" s="22" t="e">
        <f t="shared" si="200"/>
        <v>#DIV/0!</v>
      </c>
    </row>
    <row r="809" spans="1:22" x14ac:dyDescent="0.25">
      <c r="A809" s="84" t="s">
        <v>982</v>
      </c>
      <c r="B809" s="85" t="s">
        <v>42</v>
      </c>
      <c r="C809" s="85" t="s">
        <v>565</v>
      </c>
      <c r="D809" s="85" t="s">
        <v>597</v>
      </c>
      <c r="E809" s="86" t="s">
        <v>1044</v>
      </c>
      <c r="F809" s="85" t="s">
        <v>349</v>
      </c>
      <c r="G809" s="85" t="s">
        <v>290</v>
      </c>
      <c r="H809" s="85" t="s">
        <v>9</v>
      </c>
      <c r="I809" s="85" t="s">
        <v>258</v>
      </c>
      <c r="J809" s="86" t="s">
        <v>291</v>
      </c>
      <c r="K809" s="85" t="s">
        <v>386</v>
      </c>
      <c r="L809" s="87">
        <v>21</v>
      </c>
      <c r="M809" s="87">
        <f t="shared" si="192"/>
        <v>21.524999999999999</v>
      </c>
      <c r="N809" s="88">
        <f>prodnorm28</f>
        <v>0</v>
      </c>
      <c r="O809" s="33">
        <f>dagwerk28</f>
        <v>0</v>
      </c>
      <c r="P809" s="85" t="s">
        <v>109</v>
      </c>
      <c r="Q809" s="21">
        <f>uurtarief28</f>
        <v>0</v>
      </c>
      <c r="R809" s="87" t="e">
        <f t="shared" si="196"/>
        <v>#DIV/0!</v>
      </c>
      <c r="S809" s="87" t="e">
        <f t="shared" si="197"/>
        <v>#DIV/0!</v>
      </c>
      <c r="T809" s="21" t="e">
        <f t="shared" si="198"/>
        <v>#DIV/0!</v>
      </c>
      <c r="U809" s="87" t="e">
        <f t="shared" si="199"/>
        <v>#DIV/0!</v>
      </c>
      <c r="V809" s="22" t="e">
        <f t="shared" si="200"/>
        <v>#DIV/0!</v>
      </c>
    </row>
    <row r="810" spans="1:22" x14ac:dyDescent="0.25">
      <c r="A810" s="84" t="s">
        <v>982</v>
      </c>
      <c r="B810" s="85" t="s">
        <v>42</v>
      </c>
      <c r="C810" s="85" t="s">
        <v>565</v>
      </c>
      <c r="D810" s="85" t="s">
        <v>1214</v>
      </c>
      <c r="E810" s="86" t="s">
        <v>570</v>
      </c>
      <c r="F810" s="85" t="s">
        <v>42</v>
      </c>
      <c r="G810" s="85" t="s">
        <v>350</v>
      </c>
      <c r="H810" s="85"/>
      <c r="I810" s="85"/>
      <c r="J810" s="85"/>
      <c r="K810" s="85" t="s">
        <v>42</v>
      </c>
      <c r="L810" s="87">
        <v>0</v>
      </c>
      <c r="M810" s="87"/>
      <c r="N810" s="88"/>
      <c r="O810" s="33"/>
      <c r="P810" s="85"/>
      <c r="Q810" s="21"/>
      <c r="R810" s="87"/>
      <c r="S810" s="87"/>
      <c r="T810" s="21"/>
      <c r="U810" s="89"/>
      <c r="V810" s="22"/>
    </row>
    <row r="811" spans="1:22" x14ac:dyDescent="0.25">
      <c r="A811" s="84" t="s">
        <v>982</v>
      </c>
      <c r="B811" s="85" t="s">
        <v>42</v>
      </c>
      <c r="C811" s="85" t="s">
        <v>565</v>
      </c>
      <c r="D811" s="85" t="s">
        <v>1215</v>
      </c>
      <c r="E811" s="86" t="s">
        <v>864</v>
      </c>
      <c r="F811" s="85" t="s">
        <v>349</v>
      </c>
      <c r="G811" s="85" t="s">
        <v>282</v>
      </c>
      <c r="H811" s="85" t="s">
        <v>9</v>
      </c>
      <c r="I811" s="85" t="s">
        <v>258</v>
      </c>
      <c r="J811" s="86" t="s">
        <v>283</v>
      </c>
      <c r="K811" s="85" t="s">
        <v>386</v>
      </c>
      <c r="L811" s="87">
        <v>54</v>
      </c>
      <c r="M811" s="87">
        <f>L811*VLOOKUP(H811,dagsoorttabel1,2,FALSE)</f>
        <v>55.349999999999994</v>
      </c>
      <c r="N811" s="88">
        <f>prodnorm24</f>
        <v>0</v>
      </c>
      <c r="O811" s="33">
        <f>dagwerk24</f>
        <v>0</v>
      </c>
      <c r="P811" s="85" t="s">
        <v>109</v>
      </c>
      <c r="Q811" s="21">
        <f>uurtarief24</f>
        <v>0</v>
      </c>
      <c r="R811" s="87" t="e">
        <f>IF(ISBLANK(N811),0,M811/ROUND(N811,4))</f>
        <v>#DIV/0!</v>
      </c>
      <c r="S811" s="87" t="e">
        <f>IF(ISBLANK(N811),0,R811*ROUND(O811,2))</f>
        <v>#DIV/0!</v>
      </c>
      <c r="T811" s="21" t="e">
        <f>ROUND(Q811,2)*R811</f>
        <v>#DIV/0!</v>
      </c>
      <c r="U811" s="87" t="e">
        <f>R811*dagenperjaar1</f>
        <v>#DIV/0!</v>
      </c>
      <c r="V811" s="22" t="e">
        <f>U811*ROUND(Q811,2)</f>
        <v>#DIV/0!</v>
      </c>
    </row>
    <row r="812" spans="1:22" x14ac:dyDescent="0.25">
      <c r="A812" s="84" t="s">
        <v>982</v>
      </c>
      <c r="B812" s="85" t="s">
        <v>42</v>
      </c>
      <c r="C812" s="85" t="s">
        <v>565</v>
      </c>
      <c r="D812" s="85" t="s">
        <v>1216</v>
      </c>
      <c r="E812" s="86" t="s">
        <v>996</v>
      </c>
      <c r="F812" s="85" t="s">
        <v>699</v>
      </c>
      <c r="G812" s="85" t="s">
        <v>310</v>
      </c>
      <c r="H812" s="85" t="s">
        <v>9</v>
      </c>
      <c r="I812" s="85" t="s">
        <v>258</v>
      </c>
      <c r="J812" s="86" t="s">
        <v>311</v>
      </c>
      <c r="K812" s="85" t="s">
        <v>417</v>
      </c>
      <c r="L812" s="87">
        <v>8</v>
      </c>
      <c r="M812" s="87">
        <f>L812*VLOOKUP(H812,dagsoorttabel1,2,FALSE)</f>
        <v>8.1999999999999993</v>
      </c>
      <c r="N812" s="88">
        <f>prodnorm45</f>
        <v>0</v>
      </c>
      <c r="O812" s="33">
        <f>dagwerk45</f>
        <v>0</v>
      </c>
      <c r="P812" s="85" t="s">
        <v>109</v>
      </c>
      <c r="Q812" s="21">
        <f>uurtarief45</f>
        <v>0</v>
      </c>
      <c r="R812" s="87" t="e">
        <f>IF(ISBLANK(N812),0,M812/ROUND(N812,4))</f>
        <v>#DIV/0!</v>
      </c>
      <c r="S812" s="87" t="e">
        <f>IF(ISBLANK(N812),0,R812*ROUND(O812,2))</f>
        <v>#DIV/0!</v>
      </c>
      <c r="T812" s="21" t="e">
        <f>ROUND(Q812,2)*R812</f>
        <v>#DIV/0!</v>
      </c>
      <c r="U812" s="87" t="e">
        <f>R812*dagenperjaar1</f>
        <v>#DIV/0!</v>
      </c>
      <c r="V812" s="22" t="e">
        <f>U812*ROUND(Q812,2)</f>
        <v>#DIV/0!</v>
      </c>
    </row>
    <row r="813" spans="1:22" x14ac:dyDescent="0.25">
      <c r="A813" s="84" t="s">
        <v>982</v>
      </c>
      <c r="B813" s="85" t="s">
        <v>42</v>
      </c>
      <c r="C813" s="85" t="s">
        <v>565</v>
      </c>
      <c r="D813" s="85" t="s">
        <v>1217</v>
      </c>
      <c r="E813" s="86" t="s">
        <v>570</v>
      </c>
      <c r="F813" s="85" t="s">
        <v>42</v>
      </c>
      <c r="G813" s="85" t="s">
        <v>350</v>
      </c>
      <c r="H813" s="85"/>
      <c r="I813" s="85"/>
      <c r="J813" s="85"/>
      <c r="K813" s="85" t="s">
        <v>42</v>
      </c>
      <c r="L813" s="87">
        <v>0</v>
      </c>
      <c r="M813" s="87"/>
      <c r="N813" s="88"/>
      <c r="O813" s="33"/>
      <c r="P813" s="85"/>
      <c r="Q813" s="21"/>
      <c r="R813" s="87"/>
      <c r="S813" s="87"/>
      <c r="T813" s="21"/>
      <c r="U813" s="89"/>
      <c r="V813" s="22"/>
    </row>
    <row r="814" spans="1:22" x14ac:dyDescent="0.25">
      <c r="A814" s="84" t="s">
        <v>982</v>
      </c>
      <c r="B814" s="85" t="s">
        <v>42</v>
      </c>
      <c r="C814" s="85" t="s">
        <v>565</v>
      </c>
      <c r="D814" s="85" t="s">
        <v>1218</v>
      </c>
      <c r="E814" s="86" t="s">
        <v>42</v>
      </c>
      <c r="F814" s="85" t="s">
        <v>42</v>
      </c>
      <c r="G814" s="85" t="s">
        <v>350</v>
      </c>
      <c r="H814" s="85"/>
      <c r="I814" s="85"/>
      <c r="J814" s="85"/>
      <c r="K814" s="85" t="s">
        <v>42</v>
      </c>
      <c r="L814" s="87">
        <v>2</v>
      </c>
      <c r="M814" s="87"/>
      <c r="N814" s="88"/>
      <c r="O814" s="33"/>
      <c r="P814" s="85"/>
      <c r="Q814" s="21"/>
      <c r="R814" s="87"/>
      <c r="S814" s="87"/>
      <c r="T814" s="21"/>
      <c r="U814" s="89"/>
      <c r="V814" s="22"/>
    </row>
    <row r="815" spans="1:22" x14ac:dyDescent="0.25">
      <c r="A815" s="84" t="s">
        <v>982</v>
      </c>
      <c r="B815" s="85" t="s">
        <v>42</v>
      </c>
      <c r="C815" s="85" t="s">
        <v>565</v>
      </c>
      <c r="D815" s="85" t="s">
        <v>1219</v>
      </c>
      <c r="E815" s="86" t="s">
        <v>991</v>
      </c>
      <c r="F815" s="85" t="s">
        <v>42</v>
      </c>
      <c r="G815" s="85" t="s">
        <v>350</v>
      </c>
      <c r="H815" s="85"/>
      <c r="I815" s="85"/>
      <c r="J815" s="85"/>
      <c r="K815" s="85" t="s">
        <v>42</v>
      </c>
      <c r="L815" s="87">
        <v>0</v>
      </c>
      <c r="M815" s="87"/>
      <c r="N815" s="88"/>
      <c r="O815" s="33"/>
      <c r="P815" s="85"/>
      <c r="Q815" s="21"/>
      <c r="R815" s="87"/>
      <c r="S815" s="87"/>
      <c r="T815" s="21"/>
      <c r="U815" s="89"/>
      <c r="V815" s="22"/>
    </row>
    <row r="816" spans="1:22" x14ac:dyDescent="0.25">
      <c r="A816" s="84" t="s">
        <v>982</v>
      </c>
      <c r="B816" s="85" t="s">
        <v>42</v>
      </c>
      <c r="C816" s="85" t="s">
        <v>565</v>
      </c>
      <c r="D816" s="85" t="s">
        <v>1220</v>
      </c>
      <c r="E816" s="86" t="s">
        <v>996</v>
      </c>
      <c r="F816" s="85" t="s">
        <v>699</v>
      </c>
      <c r="G816" s="85" t="s">
        <v>310</v>
      </c>
      <c r="H816" s="85" t="s">
        <v>9</v>
      </c>
      <c r="I816" s="85" t="s">
        <v>258</v>
      </c>
      <c r="J816" s="86" t="s">
        <v>311</v>
      </c>
      <c r="K816" s="85" t="s">
        <v>417</v>
      </c>
      <c r="L816" s="87">
        <v>16</v>
      </c>
      <c r="M816" s="87">
        <f>L816*VLOOKUP(H816,dagsoorttabel1,2,FALSE)</f>
        <v>16.399999999999999</v>
      </c>
      <c r="N816" s="88">
        <f>prodnorm45</f>
        <v>0</v>
      </c>
      <c r="O816" s="33">
        <f>dagwerk45</f>
        <v>0</v>
      </c>
      <c r="P816" s="85" t="s">
        <v>109</v>
      </c>
      <c r="Q816" s="21">
        <f>uurtarief45</f>
        <v>0</v>
      </c>
      <c r="R816" s="87" t="e">
        <f>IF(ISBLANK(N816),0,M816/ROUND(N816,4))</f>
        <v>#DIV/0!</v>
      </c>
      <c r="S816" s="87" t="e">
        <f>IF(ISBLANK(N816),0,R816*ROUND(O816,2))</f>
        <v>#DIV/0!</v>
      </c>
      <c r="T816" s="21" t="e">
        <f>ROUND(Q816,2)*R816</f>
        <v>#DIV/0!</v>
      </c>
      <c r="U816" s="87" t="e">
        <f>R816*dagenperjaar1</f>
        <v>#DIV/0!</v>
      </c>
      <c r="V816" s="22" t="e">
        <f>U816*ROUND(Q816,2)</f>
        <v>#DIV/0!</v>
      </c>
    </row>
    <row r="817" spans="1:22" x14ac:dyDescent="0.25">
      <c r="A817" s="84" t="s">
        <v>982</v>
      </c>
      <c r="B817" s="85" t="s">
        <v>42</v>
      </c>
      <c r="C817" s="85" t="s">
        <v>565</v>
      </c>
      <c r="D817" s="85" t="s">
        <v>1221</v>
      </c>
      <c r="E817" s="86" t="s">
        <v>373</v>
      </c>
      <c r="F817" s="85" t="s">
        <v>349</v>
      </c>
      <c r="G817" s="85" t="s">
        <v>312</v>
      </c>
      <c r="H817" s="85" t="s">
        <v>9</v>
      </c>
      <c r="I817" s="85" t="s">
        <v>258</v>
      </c>
      <c r="J817" s="86" t="s">
        <v>313</v>
      </c>
      <c r="K817" s="85" t="s">
        <v>346</v>
      </c>
      <c r="L817" s="87">
        <v>96</v>
      </c>
      <c r="M817" s="87">
        <f>L817*VLOOKUP(H817,dagsoorttabel1,2,FALSE)</f>
        <v>98.399999999999991</v>
      </c>
      <c r="N817" s="88">
        <f>prodnorm46</f>
        <v>0</v>
      </c>
      <c r="O817" s="33">
        <f>dagwerk46</f>
        <v>0</v>
      </c>
      <c r="P817" s="85" t="s">
        <v>109</v>
      </c>
      <c r="Q817" s="21">
        <f>uurtarief46</f>
        <v>0</v>
      </c>
      <c r="R817" s="87" t="e">
        <f>IF(ISBLANK(N817),0,M817/ROUND(N817,4))</f>
        <v>#DIV/0!</v>
      </c>
      <c r="S817" s="87" t="e">
        <f>IF(ISBLANK(N817),0,R817*ROUND(O817,2))</f>
        <v>#DIV/0!</v>
      </c>
      <c r="T817" s="21" t="e">
        <f>ROUND(Q817,2)*R817</f>
        <v>#DIV/0!</v>
      </c>
      <c r="U817" s="87" t="e">
        <f>R817*dagenperjaar1</f>
        <v>#DIV/0!</v>
      </c>
      <c r="V817" s="22" t="e">
        <f>U817*ROUND(Q817,2)</f>
        <v>#DIV/0!</v>
      </c>
    </row>
    <row r="818" spans="1:22" x14ac:dyDescent="0.25">
      <c r="A818" s="84" t="s">
        <v>982</v>
      </c>
      <c r="B818" s="85" t="s">
        <v>42</v>
      </c>
      <c r="C818" s="85" t="s">
        <v>565</v>
      </c>
      <c r="D818" s="85" t="s">
        <v>1222</v>
      </c>
      <c r="E818" s="86" t="s">
        <v>864</v>
      </c>
      <c r="F818" s="85" t="s">
        <v>349</v>
      </c>
      <c r="G818" s="85" t="s">
        <v>282</v>
      </c>
      <c r="H818" s="85" t="s">
        <v>9</v>
      </c>
      <c r="I818" s="85" t="s">
        <v>258</v>
      </c>
      <c r="J818" s="86" t="s">
        <v>283</v>
      </c>
      <c r="K818" s="85" t="s">
        <v>386</v>
      </c>
      <c r="L818" s="87">
        <v>54</v>
      </c>
      <c r="M818" s="87">
        <f>L818*VLOOKUP(H818,dagsoorttabel1,2,FALSE)</f>
        <v>55.349999999999994</v>
      </c>
      <c r="N818" s="88">
        <f>prodnorm24</f>
        <v>0</v>
      </c>
      <c r="O818" s="33">
        <f>dagwerk24</f>
        <v>0</v>
      </c>
      <c r="P818" s="85" t="s">
        <v>109</v>
      </c>
      <c r="Q818" s="21">
        <f>uurtarief24</f>
        <v>0</v>
      </c>
      <c r="R818" s="87" t="e">
        <f>IF(ISBLANK(N818),0,M818/ROUND(N818,4))</f>
        <v>#DIV/0!</v>
      </c>
      <c r="S818" s="87" t="e">
        <f>IF(ISBLANK(N818),0,R818*ROUND(O818,2))</f>
        <v>#DIV/0!</v>
      </c>
      <c r="T818" s="21" t="e">
        <f>ROUND(Q818,2)*R818</f>
        <v>#DIV/0!</v>
      </c>
      <c r="U818" s="87" t="e">
        <f>R818*dagenperjaar1</f>
        <v>#DIV/0!</v>
      </c>
      <c r="V818" s="22" t="e">
        <f>U818*ROUND(Q818,2)</f>
        <v>#DIV/0!</v>
      </c>
    </row>
    <row r="819" spans="1:22" x14ac:dyDescent="0.25">
      <c r="A819" s="84" t="s">
        <v>982</v>
      </c>
      <c r="B819" s="85" t="s">
        <v>42</v>
      </c>
      <c r="C819" s="85" t="s">
        <v>565</v>
      </c>
      <c r="D819" s="85" t="s">
        <v>1223</v>
      </c>
      <c r="E819" s="86" t="s">
        <v>1044</v>
      </c>
      <c r="F819" s="85" t="s">
        <v>349</v>
      </c>
      <c r="G819" s="85" t="s">
        <v>290</v>
      </c>
      <c r="H819" s="85" t="s">
        <v>14</v>
      </c>
      <c r="I819" s="85" t="s">
        <v>258</v>
      </c>
      <c r="J819" s="86" t="s">
        <v>291</v>
      </c>
      <c r="K819" s="85" t="s">
        <v>386</v>
      </c>
      <c r="L819" s="87">
        <v>21</v>
      </c>
      <c r="M819" s="87">
        <f>L819*VLOOKUP(H819,dagsoorttabel1,2,FALSE)</f>
        <v>8.61</v>
      </c>
      <c r="N819" s="88">
        <f>prodnorm29</f>
        <v>0</v>
      </c>
      <c r="O819" s="33">
        <f>dagwerk29</f>
        <v>0</v>
      </c>
      <c r="P819" s="85" t="s">
        <v>109</v>
      </c>
      <c r="Q819" s="21">
        <f>uurtarief29</f>
        <v>0</v>
      </c>
      <c r="R819" s="87" t="e">
        <f>IF(ISBLANK(N819),0,M819/ROUND(N819,4))</f>
        <v>#DIV/0!</v>
      </c>
      <c r="S819" s="87" t="e">
        <f>IF(ISBLANK(N819),0,R819*ROUND(O819,2))</f>
        <v>#DIV/0!</v>
      </c>
      <c r="T819" s="21" t="e">
        <f>ROUND(Q819,2)*R819</f>
        <v>#DIV/0!</v>
      </c>
      <c r="U819" s="87" t="e">
        <f>R819*dagenperjaar1</f>
        <v>#DIV/0!</v>
      </c>
      <c r="V819" s="22" t="e">
        <f>U819*ROUND(Q819,2)</f>
        <v>#DIV/0!</v>
      </c>
    </row>
    <row r="820" spans="1:22" x14ac:dyDescent="0.25">
      <c r="A820" s="84" t="s">
        <v>982</v>
      </c>
      <c r="B820" s="85" t="s">
        <v>42</v>
      </c>
      <c r="C820" s="85" t="s">
        <v>565</v>
      </c>
      <c r="D820" s="85" t="s">
        <v>1224</v>
      </c>
      <c r="E820" s="86" t="s">
        <v>570</v>
      </c>
      <c r="F820" s="85" t="s">
        <v>42</v>
      </c>
      <c r="G820" s="85" t="s">
        <v>350</v>
      </c>
      <c r="H820" s="85"/>
      <c r="I820" s="85"/>
      <c r="J820" s="85"/>
      <c r="K820" s="85" t="s">
        <v>42</v>
      </c>
      <c r="L820" s="87">
        <v>0</v>
      </c>
      <c r="M820" s="87"/>
      <c r="N820" s="88"/>
      <c r="O820" s="33"/>
      <c r="P820" s="85"/>
      <c r="Q820" s="21"/>
      <c r="R820" s="87"/>
      <c r="S820" s="87"/>
      <c r="T820" s="21"/>
      <c r="U820" s="89"/>
      <c r="V820" s="22"/>
    </row>
    <row r="821" spans="1:22" x14ac:dyDescent="0.25">
      <c r="A821" s="84" t="s">
        <v>982</v>
      </c>
      <c r="B821" s="85" t="s">
        <v>42</v>
      </c>
      <c r="C821" s="85" t="s">
        <v>565</v>
      </c>
      <c r="D821" s="85" t="s">
        <v>1225</v>
      </c>
      <c r="E821" s="86" t="s">
        <v>864</v>
      </c>
      <c r="F821" s="85" t="s">
        <v>349</v>
      </c>
      <c r="G821" s="85" t="s">
        <v>282</v>
      </c>
      <c r="H821" s="85" t="s">
        <v>9</v>
      </c>
      <c r="I821" s="85" t="s">
        <v>258</v>
      </c>
      <c r="J821" s="86" t="s">
        <v>283</v>
      </c>
      <c r="K821" s="85" t="s">
        <v>386</v>
      </c>
      <c r="L821" s="87">
        <v>54</v>
      </c>
      <c r="M821" s="87">
        <f t="shared" ref="M821:M827" si="201">L821*VLOOKUP(H821,dagsoorttabel1,2,FALSE)</f>
        <v>55.349999999999994</v>
      </c>
      <c r="N821" s="88">
        <f>prodnorm24</f>
        <v>0</v>
      </c>
      <c r="O821" s="33">
        <f>dagwerk24</f>
        <v>0</v>
      </c>
      <c r="P821" s="85" t="s">
        <v>109</v>
      </c>
      <c r="Q821" s="21">
        <f>uurtarief24</f>
        <v>0</v>
      </c>
      <c r="R821" s="87" t="e">
        <f t="shared" ref="R821:R827" si="202">IF(ISBLANK(N821),0,M821/ROUND(N821,4))</f>
        <v>#DIV/0!</v>
      </c>
      <c r="S821" s="87" t="e">
        <f t="shared" ref="S821:S827" si="203">IF(ISBLANK(N821),0,R821*ROUND(O821,2))</f>
        <v>#DIV/0!</v>
      </c>
      <c r="T821" s="21" t="e">
        <f t="shared" ref="T821:T827" si="204">ROUND(Q821,2)*R821</f>
        <v>#DIV/0!</v>
      </c>
      <c r="U821" s="87" t="e">
        <f t="shared" ref="U821:U827" si="205">R821*dagenperjaar1</f>
        <v>#DIV/0!</v>
      </c>
      <c r="V821" s="22" t="e">
        <f t="shared" ref="V821:V827" si="206">U821*ROUND(Q821,2)</f>
        <v>#DIV/0!</v>
      </c>
    </row>
    <row r="822" spans="1:22" x14ac:dyDescent="0.25">
      <c r="A822" s="84" t="s">
        <v>982</v>
      </c>
      <c r="B822" s="85" t="s">
        <v>42</v>
      </c>
      <c r="C822" s="85" t="s">
        <v>565</v>
      </c>
      <c r="D822" s="85" t="s">
        <v>1226</v>
      </c>
      <c r="E822" s="86" t="s">
        <v>864</v>
      </c>
      <c r="F822" s="85" t="s">
        <v>349</v>
      </c>
      <c r="G822" s="85" t="s">
        <v>282</v>
      </c>
      <c r="H822" s="85" t="s">
        <v>9</v>
      </c>
      <c r="I822" s="85" t="s">
        <v>258</v>
      </c>
      <c r="J822" s="86" t="s">
        <v>283</v>
      </c>
      <c r="K822" s="85" t="s">
        <v>386</v>
      </c>
      <c r="L822" s="87">
        <v>53</v>
      </c>
      <c r="M822" s="87">
        <f t="shared" si="201"/>
        <v>54.324999999999996</v>
      </c>
      <c r="N822" s="88">
        <f>prodnorm24</f>
        <v>0</v>
      </c>
      <c r="O822" s="33">
        <f>dagwerk24</f>
        <v>0</v>
      </c>
      <c r="P822" s="85" t="s">
        <v>109</v>
      </c>
      <c r="Q822" s="21">
        <f>uurtarief24</f>
        <v>0</v>
      </c>
      <c r="R822" s="87" t="e">
        <f t="shared" si="202"/>
        <v>#DIV/0!</v>
      </c>
      <c r="S822" s="87" t="e">
        <f t="shared" si="203"/>
        <v>#DIV/0!</v>
      </c>
      <c r="T822" s="21" t="e">
        <f t="shared" si="204"/>
        <v>#DIV/0!</v>
      </c>
      <c r="U822" s="87" t="e">
        <f t="shared" si="205"/>
        <v>#DIV/0!</v>
      </c>
      <c r="V822" s="22" t="e">
        <f t="shared" si="206"/>
        <v>#DIV/0!</v>
      </c>
    </row>
    <row r="823" spans="1:22" x14ac:dyDescent="0.25">
      <c r="A823" s="84" t="s">
        <v>982</v>
      </c>
      <c r="B823" s="85" t="s">
        <v>42</v>
      </c>
      <c r="C823" s="85" t="s">
        <v>565</v>
      </c>
      <c r="D823" s="85" t="s">
        <v>1227</v>
      </c>
      <c r="E823" s="86" t="s">
        <v>590</v>
      </c>
      <c r="F823" s="85" t="s">
        <v>349</v>
      </c>
      <c r="G823" s="85" t="s">
        <v>260</v>
      </c>
      <c r="H823" s="85" t="s">
        <v>14</v>
      </c>
      <c r="I823" s="85" t="s">
        <v>258</v>
      </c>
      <c r="J823" s="86" t="s">
        <v>261</v>
      </c>
      <c r="K823" s="85" t="s">
        <v>365</v>
      </c>
      <c r="L823" s="87">
        <v>24</v>
      </c>
      <c r="M823" s="87">
        <f t="shared" si="201"/>
        <v>9.84</v>
      </c>
      <c r="N823" s="88">
        <f>prodnorm7</f>
        <v>0</v>
      </c>
      <c r="O823" s="33">
        <f>dagwerk7</f>
        <v>0</v>
      </c>
      <c r="P823" s="85" t="s">
        <v>109</v>
      </c>
      <c r="Q823" s="21">
        <f>uurtarief7</f>
        <v>0</v>
      </c>
      <c r="R823" s="87" t="e">
        <f t="shared" si="202"/>
        <v>#DIV/0!</v>
      </c>
      <c r="S823" s="87" t="e">
        <f t="shared" si="203"/>
        <v>#DIV/0!</v>
      </c>
      <c r="T823" s="21" t="e">
        <f t="shared" si="204"/>
        <v>#DIV/0!</v>
      </c>
      <c r="U823" s="87" t="e">
        <f t="shared" si="205"/>
        <v>#DIV/0!</v>
      </c>
      <c r="V823" s="22" t="e">
        <f t="shared" si="206"/>
        <v>#DIV/0!</v>
      </c>
    </row>
    <row r="824" spans="1:22" x14ac:dyDescent="0.25">
      <c r="A824" s="84" t="s">
        <v>982</v>
      </c>
      <c r="B824" s="85" t="s">
        <v>42</v>
      </c>
      <c r="C824" s="85" t="s">
        <v>565</v>
      </c>
      <c r="D824" s="85" t="s">
        <v>1228</v>
      </c>
      <c r="E824" s="86" t="s">
        <v>864</v>
      </c>
      <c r="F824" s="85" t="s">
        <v>349</v>
      </c>
      <c r="G824" s="85" t="s">
        <v>282</v>
      </c>
      <c r="H824" s="85" t="s">
        <v>9</v>
      </c>
      <c r="I824" s="85" t="s">
        <v>258</v>
      </c>
      <c r="J824" s="86" t="s">
        <v>283</v>
      </c>
      <c r="K824" s="85" t="s">
        <v>386</v>
      </c>
      <c r="L824" s="87">
        <v>66</v>
      </c>
      <c r="M824" s="87">
        <f t="shared" si="201"/>
        <v>67.649999999999991</v>
      </c>
      <c r="N824" s="88">
        <f>prodnorm24</f>
        <v>0</v>
      </c>
      <c r="O824" s="33">
        <f>dagwerk24</f>
        <v>0</v>
      </c>
      <c r="P824" s="85" t="s">
        <v>109</v>
      </c>
      <c r="Q824" s="21">
        <f>uurtarief24</f>
        <v>0</v>
      </c>
      <c r="R824" s="87" t="e">
        <f t="shared" si="202"/>
        <v>#DIV/0!</v>
      </c>
      <c r="S824" s="87" t="e">
        <f t="shared" si="203"/>
        <v>#DIV/0!</v>
      </c>
      <c r="T824" s="21" t="e">
        <f t="shared" si="204"/>
        <v>#DIV/0!</v>
      </c>
      <c r="U824" s="87" t="e">
        <f t="shared" si="205"/>
        <v>#DIV/0!</v>
      </c>
      <c r="V824" s="22" t="e">
        <f t="shared" si="206"/>
        <v>#DIV/0!</v>
      </c>
    </row>
    <row r="825" spans="1:22" x14ac:dyDescent="0.25">
      <c r="A825" s="84" t="s">
        <v>982</v>
      </c>
      <c r="B825" s="85" t="s">
        <v>42</v>
      </c>
      <c r="C825" s="85" t="s">
        <v>565</v>
      </c>
      <c r="D825" s="85" t="s">
        <v>1229</v>
      </c>
      <c r="E825" s="86" t="s">
        <v>988</v>
      </c>
      <c r="F825" s="85" t="s">
        <v>985</v>
      </c>
      <c r="G825" s="85" t="s">
        <v>322</v>
      </c>
      <c r="H825" s="85" t="s">
        <v>9</v>
      </c>
      <c r="I825" s="85" t="s">
        <v>258</v>
      </c>
      <c r="J825" s="86" t="s">
        <v>323</v>
      </c>
      <c r="K825" s="85" t="s">
        <v>346</v>
      </c>
      <c r="L825" s="87">
        <v>17</v>
      </c>
      <c r="M825" s="87">
        <f t="shared" si="201"/>
        <v>17.424999999999997</v>
      </c>
      <c r="N825" s="88">
        <f>prodnorm54</f>
        <v>0</v>
      </c>
      <c r="O825" s="33">
        <f>dagwerk54</f>
        <v>0</v>
      </c>
      <c r="P825" s="85" t="s">
        <v>109</v>
      </c>
      <c r="Q825" s="21">
        <f>uurtarief54</f>
        <v>0</v>
      </c>
      <c r="R825" s="87" t="e">
        <f t="shared" si="202"/>
        <v>#DIV/0!</v>
      </c>
      <c r="S825" s="87" t="e">
        <f t="shared" si="203"/>
        <v>#DIV/0!</v>
      </c>
      <c r="T825" s="21" t="e">
        <f t="shared" si="204"/>
        <v>#DIV/0!</v>
      </c>
      <c r="U825" s="87" t="e">
        <f t="shared" si="205"/>
        <v>#DIV/0!</v>
      </c>
      <c r="V825" s="22" t="e">
        <f t="shared" si="206"/>
        <v>#DIV/0!</v>
      </c>
    </row>
    <row r="826" spans="1:22" x14ac:dyDescent="0.25">
      <c r="A826" s="84" t="s">
        <v>982</v>
      </c>
      <c r="B826" s="85" t="s">
        <v>42</v>
      </c>
      <c r="C826" s="85" t="s">
        <v>565</v>
      </c>
      <c r="D826" s="85" t="s">
        <v>1230</v>
      </c>
      <c r="E826" s="86" t="s">
        <v>864</v>
      </c>
      <c r="F826" s="85" t="s">
        <v>349</v>
      </c>
      <c r="G826" s="85" t="s">
        <v>282</v>
      </c>
      <c r="H826" s="85" t="s">
        <v>9</v>
      </c>
      <c r="I826" s="85" t="s">
        <v>258</v>
      </c>
      <c r="J826" s="86" t="s">
        <v>283</v>
      </c>
      <c r="K826" s="85" t="s">
        <v>386</v>
      </c>
      <c r="L826" s="87">
        <v>64</v>
      </c>
      <c r="M826" s="87">
        <f t="shared" si="201"/>
        <v>65.599999999999994</v>
      </c>
      <c r="N826" s="88">
        <f>prodnorm24</f>
        <v>0</v>
      </c>
      <c r="O826" s="33">
        <f>dagwerk24</f>
        <v>0</v>
      </c>
      <c r="P826" s="85" t="s">
        <v>109</v>
      </c>
      <c r="Q826" s="21">
        <f>uurtarief24</f>
        <v>0</v>
      </c>
      <c r="R826" s="87" t="e">
        <f t="shared" si="202"/>
        <v>#DIV/0!</v>
      </c>
      <c r="S826" s="87" t="e">
        <f t="shared" si="203"/>
        <v>#DIV/0!</v>
      </c>
      <c r="T826" s="21" t="e">
        <f t="shared" si="204"/>
        <v>#DIV/0!</v>
      </c>
      <c r="U826" s="87" t="e">
        <f t="shared" si="205"/>
        <v>#DIV/0!</v>
      </c>
      <c r="V826" s="22" t="e">
        <f t="shared" si="206"/>
        <v>#DIV/0!</v>
      </c>
    </row>
    <row r="827" spans="1:22" x14ac:dyDescent="0.25">
      <c r="A827" s="90" t="s">
        <v>982</v>
      </c>
      <c r="B827" s="91" t="s">
        <v>42</v>
      </c>
      <c r="C827" s="91" t="s">
        <v>565</v>
      </c>
      <c r="D827" s="91" t="s">
        <v>1231</v>
      </c>
      <c r="E827" s="92" t="s">
        <v>864</v>
      </c>
      <c r="F827" s="91" t="s">
        <v>349</v>
      </c>
      <c r="G827" s="91" t="s">
        <v>282</v>
      </c>
      <c r="H827" s="91" t="s">
        <v>9</v>
      </c>
      <c r="I827" s="91" t="s">
        <v>258</v>
      </c>
      <c r="J827" s="92" t="s">
        <v>283</v>
      </c>
      <c r="K827" s="91" t="s">
        <v>386</v>
      </c>
      <c r="L827" s="93">
        <v>53</v>
      </c>
      <c r="M827" s="93">
        <f t="shared" si="201"/>
        <v>54.324999999999996</v>
      </c>
      <c r="N827" s="94">
        <f>prodnorm24</f>
        <v>0</v>
      </c>
      <c r="O827" s="95">
        <f>dagwerk24</f>
        <v>0</v>
      </c>
      <c r="P827" s="91" t="s">
        <v>109</v>
      </c>
      <c r="Q827" s="30">
        <f>uurtarief24</f>
        <v>0</v>
      </c>
      <c r="R827" s="93" t="e">
        <f t="shared" si="202"/>
        <v>#DIV/0!</v>
      </c>
      <c r="S827" s="93" t="e">
        <f t="shared" si="203"/>
        <v>#DIV/0!</v>
      </c>
      <c r="T827" s="30" t="e">
        <f t="shared" si="204"/>
        <v>#DIV/0!</v>
      </c>
      <c r="U827" s="93" t="e">
        <f t="shared" si="205"/>
        <v>#DIV/0!</v>
      </c>
      <c r="V827" s="31" t="e">
        <f t="shared" si="206"/>
        <v>#DIV/0!</v>
      </c>
    </row>
    <row r="828" spans="1:22" x14ac:dyDescent="0.25">
      <c r="A828" s="65" t="s">
        <v>631</v>
      </c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8" t="e">
        <f>IF(_xlfn.SINGLE(object4_urenjaar1)&gt;0,_xlfn.SINGLE(object4_prijsjaar1)/_xlfn.SINGLE(object4_urenjaar1),0)</f>
        <v>#DIV/0!</v>
      </c>
      <c r="R828" s="67" t="e">
        <f>SUM(R540:R827)</f>
        <v>#DIV/0!</v>
      </c>
      <c r="S828" s="67" t="e">
        <f>SUM(S540:S827)</f>
        <v>#DIV/0!</v>
      </c>
      <c r="T828" s="68" t="e">
        <f>SUM(T540:T827)</f>
        <v>#DIV/0!</v>
      </c>
      <c r="U828" s="67" t="e">
        <f>SUM(U540:U827)</f>
        <v>#DIV/0!</v>
      </c>
      <c r="V828" s="68" t="e">
        <f>SUM(V540:V827)</f>
        <v>#DIV/0!</v>
      </c>
    </row>
  </sheetData>
  <sheetProtection algorithmName="SHA-512" hashValue="uY6/BfyucU1FXE70m2KLVLaQca2PK8w7KAoO93aPVc3g5KLy7yRdCR1rMgiH3ylfLya6pCx3LurxEVFzlyhMGA==" saltValue="Ur9Ivr3EFsgTPWs4jupLdQ==" spinCount="100000" sheet="1" objects="1" scenarios="1" autoFilter="0"/>
  <autoFilter ref="A3:V828" xr:uid="{D5D5651C-3829-4CDD-A781-94661ECDC3EE}"/>
  <pageMargins left="0.7" right="0.7" top="0.75" bottom="0.75" header="0.3" footer="0.3"/>
  <pageSetup paperSize="9" scale="61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8303-9281-4615-B535-5DB179D8EC5A}">
  <dimension ref="A1:M54"/>
  <sheetViews>
    <sheetView workbookViewId="0">
      <selection activeCell="N9" sqref="N9"/>
    </sheetView>
  </sheetViews>
  <sheetFormatPr defaultColWidth="8.90625" defaultRowHeight="11.5" x14ac:dyDescent="0.25"/>
  <cols>
    <col min="1" max="1" width="5.6328125" style="2" customWidth="1"/>
    <col min="2" max="2" width="6.1796875" style="2" customWidth="1"/>
    <col min="3" max="3" width="11.6328125" style="2" customWidth="1"/>
    <col min="4" max="9" width="12.6328125" style="2" customWidth="1"/>
    <col min="10" max="13" width="14.36328125" style="2" bestFit="1" customWidth="1"/>
    <col min="14" max="16384" width="8.90625" style="2"/>
  </cols>
  <sheetData>
    <row r="1" spans="1:13" x14ac:dyDescent="0.25">
      <c r="A1" s="1" t="s">
        <v>1232</v>
      </c>
    </row>
    <row r="3" spans="1:13" ht="23" x14ac:dyDescent="0.25">
      <c r="A3" s="99" t="s">
        <v>249</v>
      </c>
      <c r="B3" s="99" t="s">
        <v>7</v>
      </c>
      <c r="C3" s="100" t="s">
        <v>1233</v>
      </c>
      <c r="D3" s="100" t="s">
        <v>1234</v>
      </c>
      <c r="E3" s="100" t="s">
        <v>1235</v>
      </c>
      <c r="F3" s="100" t="s">
        <v>1236</v>
      </c>
      <c r="G3" s="100" t="s">
        <v>1237</v>
      </c>
      <c r="H3" s="100" t="s">
        <v>1238</v>
      </c>
      <c r="I3" s="99" t="s">
        <v>1239</v>
      </c>
      <c r="J3" s="99" t="s">
        <v>1240</v>
      </c>
      <c r="K3" s="99" t="s">
        <v>1241</v>
      </c>
      <c r="L3" s="99" t="s">
        <v>1242</v>
      </c>
      <c r="M3" s="99" t="s">
        <v>1243</v>
      </c>
    </row>
    <row r="4" spans="1:13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2" t="s">
        <v>251</v>
      </c>
      <c r="K4" s="102" t="s">
        <v>251</v>
      </c>
      <c r="L4" s="102" t="s">
        <v>251</v>
      </c>
      <c r="M4" s="102" t="s">
        <v>251</v>
      </c>
    </row>
    <row r="5" spans="1:13" x14ac:dyDescent="0.25">
      <c r="A5" s="41" t="s">
        <v>257</v>
      </c>
      <c r="B5" s="41" t="s">
        <v>12</v>
      </c>
      <c r="C5" s="41" t="s">
        <v>1244</v>
      </c>
      <c r="D5" s="41" t="s">
        <v>258</v>
      </c>
      <c r="E5" s="56">
        <f t="shared" ref="E5:E36" si="0">IF(B5="","",VLOOKUP(B5,dagsoorttabel1,2,FALSE))</f>
        <v>0.61499999999999999</v>
      </c>
      <c r="F5" s="56">
        <v>1</v>
      </c>
      <c r="G5" s="56">
        <f>IF(prodnorm5&gt;0,1/ROUND(prodnorm5,4),0)</f>
        <v>0</v>
      </c>
      <c r="H5" s="58">
        <f>ROUND(dagwerk5,4+2)</f>
        <v>0</v>
      </c>
      <c r="I5" s="45">
        <f>ROUND(uurtarief5,2)</f>
        <v>0</v>
      </c>
      <c r="J5" s="56">
        <v>542.62</v>
      </c>
      <c r="K5" s="56">
        <v>471.70000000000005</v>
      </c>
      <c r="L5" s="56">
        <v>267.89</v>
      </c>
      <c r="M5" s="56">
        <v>0</v>
      </c>
    </row>
    <row r="6" spans="1:13" x14ac:dyDescent="0.25">
      <c r="A6" s="46" t="s">
        <v>260</v>
      </c>
      <c r="B6" s="46" t="s">
        <v>9</v>
      </c>
      <c r="C6" s="46" t="s">
        <v>1244</v>
      </c>
      <c r="D6" s="46" t="s">
        <v>258</v>
      </c>
      <c r="E6" s="59">
        <f t="shared" si="0"/>
        <v>1.0249999999999999</v>
      </c>
      <c r="F6" s="59">
        <v>1</v>
      </c>
      <c r="G6" s="59">
        <f>IF(prodnorm6&gt;0,1/ROUND(prodnorm6,4),0)</f>
        <v>0</v>
      </c>
      <c r="H6" s="61">
        <f>ROUND(dagwerk6,4+2)</f>
        <v>0</v>
      </c>
      <c r="I6" s="50">
        <f>ROUND(uurtarief6,2)</f>
        <v>0</v>
      </c>
      <c r="J6" s="59">
        <v>0</v>
      </c>
      <c r="K6" s="59">
        <v>67.8</v>
      </c>
      <c r="L6" s="59">
        <v>0</v>
      </c>
      <c r="M6" s="59">
        <v>37.900000000000006</v>
      </c>
    </row>
    <row r="7" spans="1:13" x14ac:dyDescent="0.25">
      <c r="A7" s="46" t="s">
        <v>260</v>
      </c>
      <c r="B7" s="46" t="s">
        <v>14</v>
      </c>
      <c r="C7" s="46" t="s">
        <v>1244</v>
      </c>
      <c r="D7" s="46" t="s">
        <v>258</v>
      </c>
      <c r="E7" s="59">
        <f t="shared" si="0"/>
        <v>0.41</v>
      </c>
      <c r="F7" s="59">
        <v>1</v>
      </c>
      <c r="G7" s="59">
        <f>IF(prodnorm7&gt;0,1/ROUND(prodnorm7,4),0)</f>
        <v>0</v>
      </c>
      <c r="H7" s="61">
        <f>ROUND(dagwerk7,4+2)</f>
        <v>0</v>
      </c>
      <c r="I7" s="50">
        <f>ROUND(uurtarief7,2)</f>
        <v>0</v>
      </c>
      <c r="J7" s="59">
        <v>12.7</v>
      </c>
      <c r="K7" s="59">
        <v>80.7</v>
      </c>
      <c r="L7" s="59">
        <v>146.32</v>
      </c>
      <c r="M7" s="59">
        <v>809.5999999999998</v>
      </c>
    </row>
    <row r="8" spans="1:13" x14ac:dyDescent="0.25">
      <c r="A8" s="46" t="s">
        <v>262</v>
      </c>
      <c r="B8" s="46" t="s">
        <v>9</v>
      </c>
      <c r="C8" s="46" t="s">
        <v>1244</v>
      </c>
      <c r="D8" s="46" t="s">
        <v>258</v>
      </c>
      <c r="E8" s="59">
        <f t="shared" si="0"/>
        <v>1.0249999999999999</v>
      </c>
      <c r="F8" s="59">
        <v>1</v>
      </c>
      <c r="G8" s="59">
        <f>IF(prodnorm8&gt;0,1/ROUND(prodnorm8,4),0)</f>
        <v>0</v>
      </c>
      <c r="H8" s="61">
        <f>ROUND(dagwerk8,4+2)</f>
        <v>0</v>
      </c>
      <c r="I8" s="50">
        <f>ROUND(uurtarief8,2)</f>
        <v>0</v>
      </c>
      <c r="J8" s="59">
        <v>0</v>
      </c>
      <c r="K8" s="59">
        <v>23.7</v>
      </c>
      <c r="L8" s="59">
        <v>0</v>
      </c>
      <c r="M8" s="59">
        <v>0</v>
      </c>
    </row>
    <row r="9" spans="1:13" x14ac:dyDescent="0.25">
      <c r="A9" s="46" t="s">
        <v>262</v>
      </c>
      <c r="B9" s="46" t="s">
        <v>16</v>
      </c>
      <c r="C9" s="46" t="s">
        <v>1244</v>
      </c>
      <c r="D9" s="46" t="s">
        <v>258</v>
      </c>
      <c r="E9" s="59">
        <f t="shared" si="0"/>
        <v>0.20499999999999999</v>
      </c>
      <c r="F9" s="59">
        <v>1</v>
      </c>
      <c r="G9" s="59">
        <f>IF(prodnorm9&gt;0,1/ROUND(prodnorm9,4),0)</f>
        <v>0</v>
      </c>
      <c r="H9" s="61">
        <f>ROUND(dagwerk9,4+2)</f>
        <v>0</v>
      </c>
      <c r="I9" s="50">
        <f>ROUND(uurtarief9,2)</f>
        <v>0</v>
      </c>
      <c r="J9" s="59">
        <v>11.2</v>
      </c>
      <c r="K9" s="59">
        <v>0</v>
      </c>
      <c r="L9" s="59">
        <v>0</v>
      </c>
      <c r="M9" s="59">
        <v>0</v>
      </c>
    </row>
    <row r="10" spans="1:13" x14ac:dyDescent="0.25">
      <c r="A10" s="46" t="s">
        <v>262</v>
      </c>
      <c r="B10" s="46" t="s">
        <v>14</v>
      </c>
      <c r="C10" s="46" t="s">
        <v>1244</v>
      </c>
      <c r="D10" s="46" t="s">
        <v>258</v>
      </c>
      <c r="E10" s="59">
        <f t="shared" si="0"/>
        <v>0.41</v>
      </c>
      <c r="F10" s="59">
        <v>1</v>
      </c>
      <c r="G10" s="59">
        <f>IF(prodnorm10&gt;0,1/ROUND(prodnorm10,4),0)</f>
        <v>0</v>
      </c>
      <c r="H10" s="61">
        <f>ROUND(dagwerk10,4+2)</f>
        <v>0</v>
      </c>
      <c r="I10" s="50">
        <f>ROUND(uurtarief10,2)</f>
        <v>0</v>
      </c>
      <c r="J10" s="59">
        <v>448.70000000000005</v>
      </c>
      <c r="K10" s="59">
        <v>329.09999999999997</v>
      </c>
      <c r="L10" s="59">
        <v>94.66</v>
      </c>
      <c r="M10" s="59">
        <v>16</v>
      </c>
    </row>
    <row r="11" spans="1:13" x14ac:dyDescent="0.25">
      <c r="A11" s="46" t="s">
        <v>266</v>
      </c>
      <c r="B11" s="46" t="s">
        <v>14</v>
      </c>
      <c r="C11" s="46" t="s">
        <v>1244</v>
      </c>
      <c r="D11" s="46" t="s">
        <v>258</v>
      </c>
      <c r="E11" s="59">
        <f t="shared" si="0"/>
        <v>0.41</v>
      </c>
      <c r="F11" s="59">
        <v>1</v>
      </c>
      <c r="G11" s="59">
        <f>IF(prodnorm13&gt;0,1/ROUND(prodnorm13,4),0)</f>
        <v>0</v>
      </c>
      <c r="H11" s="61">
        <f>ROUND(dagwerk13,4+2)</f>
        <v>0</v>
      </c>
      <c r="I11" s="50">
        <f>ROUND(uurtarief13,2)</f>
        <v>0</v>
      </c>
      <c r="J11" s="59">
        <v>81.22</v>
      </c>
      <c r="K11" s="59">
        <v>73.900000000000006</v>
      </c>
      <c r="L11" s="59">
        <v>31.11</v>
      </c>
      <c r="M11" s="59">
        <v>0</v>
      </c>
    </row>
    <row r="12" spans="1:13" x14ac:dyDescent="0.25">
      <c r="A12" s="46" t="s">
        <v>268</v>
      </c>
      <c r="B12" s="46" t="s">
        <v>19</v>
      </c>
      <c r="C12" s="46" t="s">
        <v>1244</v>
      </c>
      <c r="D12" s="46" t="s">
        <v>258</v>
      </c>
      <c r="E12" s="59">
        <f t="shared" si="0"/>
        <v>0.1</v>
      </c>
      <c r="F12" s="59">
        <v>1</v>
      </c>
      <c r="G12" s="59">
        <f>IF(prodnorm14&gt;0,1/ROUND(prodnorm14,4),0)</f>
        <v>0</v>
      </c>
      <c r="H12" s="61">
        <f>ROUND(dagwerk14,4+2)</f>
        <v>0</v>
      </c>
      <c r="I12" s="50">
        <f>ROUND(uurtarief14,2)</f>
        <v>0</v>
      </c>
      <c r="J12" s="59">
        <v>0</v>
      </c>
      <c r="K12" s="59">
        <v>0</v>
      </c>
      <c r="L12" s="59">
        <v>0</v>
      </c>
      <c r="M12" s="59">
        <v>108.5</v>
      </c>
    </row>
    <row r="13" spans="1:13" x14ac:dyDescent="0.25">
      <c r="A13" s="46" t="s">
        <v>268</v>
      </c>
      <c r="B13" s="46" t="s">
        <v>14</v>
      </c>
      <c r="C13" s="46" t="s">
        <v>1244</v>
      </c>
      <c r="D13" s="46" t="s">
        <v>258</v>
      </c>
      <c r="E13" s="59">
        <f t="shared" si="0"/>
        <v>0.41</v>
      </c>
      <c r="F13" s="59">
        <v>1</v>
      </c>
      <c r="G13" s="59">
        <f>IF(prodnorm15&gt;0,1/ROUND(prodnorm15,4),0)</f>
        <v>0</v>
      </c>
      <c r="H13" s="61">
        <f>ROUND(dagwerk15,4+2)</f>
        <v>0</v>
      </c>
      <c r="I13" s="50">
        <f>ROUND(uurtarief15,2)</f>
        <v>0</v>
      </c>
      <c r="J13" s="59">
        <v>0</v>
      </c>
      <c r="K13" s="59">
        <v>0</v>
      </c>
      <c r="L13" s="59">
        <v>0</v>
      </c>
      <c r="M13" s="59">
        <v>70</v>
      </c>
    </row>
    <row r="14" spans="1:13" x14ac:dyDescent="0.25">
      <c r="A14" s="46" t="s">
        <v>270</v>
      </c>
      <c r="B14" s="46" t="s">
        <v>16</v>
      </c>
      <c r="C14" s="46" t="s">
        <v>1244</v>
      </c>
      <c r="D14" s="46" t="s">
        <v>258</v>
      </c>
      <c r="E14" s="59">
        <f t="shared" si="0"/>
        <v>0.20499999999999999</v>
      </c>
      <c r="F14" s="59">
        <v>1</v>
      </c>
      <c r="G14" s="59">
        <f>IF(prodnorm16&gt;0,1/ROUND(prodnorm16,4),0)</f>
        <v>0</v>
      </c>
      <c r="H14" s="61">
        <f>ROUND(dagwerk16,4+2)</f>
        <v>0</v>
      </c>
      <c r="I14" s="50">
        <f>ROUND(uurtarief16,2)</f>
        <v>0</v>
      </c>
      <c r="J14" s="59">
        <v>0</v>
      </c>
      <c r="K14" s="59">
        <v>0</v>
      </c>
      <c r="L14" s="59">
        <v>39.4</v>
      </c>
      <c r="M14" s="59">
        <v>55.999999999999993</v>
      </c>
    </row>
    <row r="15" spans="1:13" x14ac:dyDescent="0.25">
      <c r="A15" s="46" t="s">
        <v>270</v>
      </c>
      <c r="B15" s="46" t="s">
        <v>14</v>
      </c>
      <c r="C15" s="46" t="s">
        <v>1244</v>
      </c>
      <c r="D15" s="46" t="s">
        <v>258</v>
      </c>
      <c r="E15" s="59">
        <f t="shared" si="0"/>
        <v>0.41</v>
      </c>
      <c r="F15" s="59">
        <v>1</v>
      </c>
      <c r="G15" s="59">
        <f>IF(prodnorm17&gt;0,1/ROUND(prodnorm17,4),0)</f>
        <v>0</v>
      </c>
      <c r="H15" s="61">
        <f>ROUND(dagwerk17,4+2)</f>
        <v>0</v>
      </c>
      <c r="I15" s="50">
        <f>ROUND(uurtarief17,2)</f>
        <v>0</v>
      </c>
      <c r="J15" s="59">
        <v>0</v>
      </c>
      <c r="K15" s="59">
        <v>512.70000000000005</v>
      </c>
      <c r="L15" s="59">
        <v>254.2</v>
      </c>
      <c r="M15" s="59">
        <v>1126.5</v>
      </c>
    </row>
    <row r="16" spans="1:13" x14ac:dyDescent="0.25">
      <c r="A16" s="46" t="s">
        <v>272</v>
      </c>
      <c r="B16" s="46" t="s">
        <v>12</v>
      </c>
      <c r="C16" s="46" t="s">
        <v>1244</v>
      </c>
      <c r="D16" s="46" t="s">
        <v>258</v>
      </c>
      <c r="E16" s="59">
        <f t="shared" si="0"/>
        <v>0.61499999999999999</v>
      </c>
      <c r="F16" s="59">
        <v>1</v>
      </c>
      <c r="G16" s="59">
        <f>IF(prodnorm18&gt;0,1/ROUND(prodnorm18,4),0)</f>
        <v>0</v>
      </c>
      <c r="H16" s="61">
        <f>ROUND(dagwerk18,4+2)</f>
        <v>0</v>
      </c>
      <c r="I16" s="50">
        <f>ROUND(uurtarief18,2)</f>
        <v>0</v>
      </c>
      <c r="J16" s="59">
        <v>0</v>
      </c>
      <c r="K16" s="59">
        <v>0</v>
      </c>
      <c r="L16" s="59">
        <v>0</v>
      </c>
      <c r="M16" s="59">
        <v>97</v>
      </c>
    </row>
    <row r="17" spans="1:13" x14ac:dyDescent="0.25">
      <c r="A17" s="46" t="s">
        <v>272</v>
      </c>
      <c r="B17" s="46" t="s">
        <v>9</v>
      </c>
      <c r="C17" s="46" t="s">
        <v>1244</v>
      </c>
      <c r="D17" s="46" t="s">
        <v>258</v>
      </c>
      <c r="E17" s="59">
        <f t="shared" si="0"/>
        <v>1.0249999999999999</v>
      </c>
      <c r="F17" s="59">
        <v>1</v>
      </c>
      <c r="G17" s="59">
        <f>IF(prodnorm19&gt;0,1/ROUND(prodnorm19,4),0)</f>
        <v>0</v>
      </c>
      <c r="H17" s="61">
        <f>ROUND(dagwerk19,4+2)</f>
        <v>0</v>
      </c>
      <c r="I17" s="50">
        <f>ROUND(uurtarief19,2)</f>
        <v>0</v>
      </c>
      <c r="J17" s="59">
        <v>812.8</v>
      </c>
      <c r="K17" s="59">
        <v>1231.9000000000001</v>
      </c>
      <c r="L17" s="59">
        <v>0</v>
      </c>
      <c r="M17" s="59">
        <v>925</v>
      </c>
    </row>
    <row r="18" spans="1:13" x14ac:dyDescent="0.25">
      <c r="A18" s="46" t="s">
        <v>274</v>
      </c>
      <c r="B18" s="46" t="s">
        <v>9</v>
      </c>
      <c r="C18" s="46" t="s">
        <v>1244</v>
      </c>
      <c r="D18" s="46" t="s">
        <v>258</v>
      </c>
      <c r="E18" s="59">
        <f t="shared" si="0"/>
        <v>1.0249999999999999</v>
      </c>
      <c r="F18" s="59">
        <v>1</v>
      </c>
      <c r="G18" s="59">
        <f>IF(prodnorm20&gt;0,1/ROUND(prodnorm20,4),0)</f>
        <v>0</v>
      </c>
      <c r="H18" s="61">
        <f>ROUND(dagwerk20,4+2)</f>
        <v>0</v>
      </c>
      <c r="I18" s="50">
        <f>ROUND(uurtarief20,2)</f>
        <v>0</v>
      </c>
      <c r="J18" s="59">
        <v>27.4</v>
      </c>
      <c r="K18" s="59">
        <v>150.60000000000002</v>
      </c>
      <c r="L18" s="59">
        <v>63.449999999999996</v>
      </c>
      <c r="M18" s="59">
        <v>169</v>
      </c>
    </row>
    <row r="19" spans="1:13" x14ac:dyDescent="0.25">
      <c r="A19" s="46" t="s">
        <v>276</v>
      </c>
      <c r="B19" s="46" t="s">
        <v>9</v>
      </c>
      <c r="C19" s="46" t="s">
        <v>1244</v>
      </c>
      <c r="D19" s="46" t="s">
        <v>258</v>
      </c>
      <c r="E19" s="59">
        <f t="shared" si="0"/>
        <v>1.0249999999999999</v>
      </c>
      <c r="F19" s="59">
        <v>1</v>
      </c>
      <c r="G19" s="59">
        <f>IF(prodnorm21&gt;0,1/ROUND(prodnorm21,4),0)</f>
        <v>0</v>
      </c>
      <c r="H19" s="61">
        <f>ROUND(dagwerk21,4+2)</f>
        <v>0</v>
      </c>
      <c r="I19" s="50">
        <f>ROUND(uurtarief21,2)</f>
        <v>0</v>
      </c>
      <c r="J19" s="59">
        <v>104.1</v>
      </c>
      <c r="K19" s="59">
        <v>0</v>
      </c>
      <c r="L19" s="59">
        <v>0</v>
      </c>
      <c r="M19" s="59">
        <v>0</v>
      </c>
    </row>
    <row r="20" spans="1:13" x14ac:dyDescent="0.25">
      <c r="A20" s="46" t="s">
        <v>278</v>
      </c>
      <c r="B20" s="46" t="s">
        <v>9</v>
      </c>
      <c r="C20" s="46" t="s">
        <v>1244</v>
      </c>
      <c r="D20" s="46" t="s">
        <v>258</v>
      </c>
      <c r="E20" s="59">
        <f t="shared" si="0"/>
        <v>1.0249999999999999</v>
      </c>
      <c r="F20" s="59">
        <v>1</v>
      </c>
      <c r="G20" s="59">
        <f>IF(prodnorm22&gt;0,1/ROUND(prodnorm22,4),0)</f>
        <v>0</v>
      </c>
      <c r="H20" s="61">
        <f>ROUND(dagwerk22,4+2)</f>
        <v>0</v>
      </c>
      <c r="I20" s="50">
        <f>ROUND(uurtarief22,2)</f>
        <v>0</v>
      </c>
      <c r="J20" s="59">
        <v>0</v>
      </c>
      <c r="K20" s="59">
        <v>4.49</v>
      </c>
      <c r="L20" s="59">
        <v>0</v>
      </c>
      <c r="M20" s="59">
        <v>0</v>
      </c>
    </row>
    <row r="21" spans="1:13" x14ac:dyDescent="0.25">
      <c r="A21" s="46" t="s">
        <v>280</v>
      </c>
      <c r="B21" s="46" t="s">
        <v>9</v>
      </c>
      <c r="C21" s="46" t="s">
        <v>1244</v>
      </c>
      <c r="D21" s="46" t="s">
        <v>258</v>
      </c>
      <c r="E21" s="59">
        <f t="shared" si="0"/>
        <v>1.0249999999999999</v>
      </c>
      <c r="F21" s="59">
        <v>1</v>
      </c>
      <c r="G21" s="59">
        <f>IF(prodnorm23&gt;0,1/ROUND(prodnorm23,4),0)</f>
        <v>0</v>
      </c>
      <c r="H21" s="61">
        <f>ROUND(dagwerk23,4+2)</f>
        <v>0</v>
      </c>
      <c r="I21" s="50">
        <f>ROUND(uurtarief23,2)</f>
        <v>0</v>
      </c>
      <c r="J21" s="59">
        <v>132.66</v>
      </c>
      <c r="K21" s="59">
        <v>0</v>
      </c>
      <c r="L21" s="59">
        <v>0</v>
      </c>
      <c r="M21" s="59">
        <v>0</v>
      </c>
    </row>
    <row r="22" spans="1:13" x14ac:dyDescent="0.25">
      <c r="A22" s="46" t="s">
        <v>282</v>
      </c>
      <c r="B22" s="46" t="s">
        <v>9</v>
      </c>
      <c r="C22" s="46" t="s">
        <v>1244</v>
      </c>
      <c r="D22" s="46" t="s">
        <v>258</v>
      </c>
      <c r="E22" s="59">
        <f t="shared" si="0"/>
        <v>1.0249999999999999</v>
      </c>
      <c r="F22" s="59">
        <v>1</v>
      </c>
      <c r="G22" s="59">
        <f>IF(prodnorm24&gt;0,1/ROUND(prodnorm24,4),0)</f>
        <v>0</v>
      </c>
      <c r="H22" s="61">
        <f>ROUND(dagwerk24,4+2)</f>
        <v>0</v>
      </c>
      <c r="I22" s="50">
        <f>ROUND(uurtarief24,2)</f>
        <v>0</v>
      </c>
      <c r="J22" s="59">
        <v>96.1</v>
      </c>
      <c r="K22" s="59">
        <v>3189.6999999999994</v>
      </c>
      <c r="L22" s="59">
        <v>962.88</v>
      </c>
      <c r="M22" s="59">
        <v>2466</v>
      </c>
    </row>
    <row r="23" spans="1:13" x14ac:dyDescent="0.25">
      <c r="A23" s="46" t="s">
        <v>284</v>
      </c>
      <c r="B23" s="46" t="s">
        <v>9</v>
      </c>
      <c r="C23" s="46" t="s">
        <v>1244</v>
      </c>
      <c r="D23" s="46" t="s">
        <v>258</v>
      </c>
      <c r="E23" s="59">
        <f t="shared" si="0"/>
        <v>1.0249999999999999</v>
      </c>
      <c r="F23" s="59">
        <v>1</v>
      </c>
      <c r="G23" s="59">
        <f>IF(prodnorm25&gt;0,1/ROUND(prodnorm25,4),0)</f>
        <v>0</v>
      </c>
      <c r="H23" s="61">
        <f>ROUND(dagwerk25,4+2)</f>
        <v>0</v>
      </c>
      <c r="I23" s="50">
        <f>ROUND(uurtarief25,2)</f>
        <v>0</v>
      </c>
      <c r="J23" s="59">
        <v>2683.37</v>
      </c>
      <c r="K23" s="59">
        <v>72.099999999999994</v>
      </c>
      <c r="L23" s="59">
        <v>18.25</v>
      </c>
      <c r="M23" s="59">
        <v>0</v>
      </c>
    </row>
    <row r="24" spans="1:13" x14ac:dyDescent="0.25">
      <c r="A24" s="46" t="s">
        <v>286</v>
      </c>
      <c r="B24" s="46" t="s">
        <v>9</v>
      </c>
      <c r="C24" s="46" t="s">
        <v>1244</v>
      </c>
      <c r="D24" s="46" t="s">
        <v>258</v>
      </c>
      <c r="E24" s="59">
        <f t="shared" si="0"/>
        <v>1.0249999999999999</v>
      </c>
      <c r="F24" s="59">
        <v>1</v>
      </c>
      <c r="G24" s="59">
        <f>IF(prodnorm26&gt;0,1/ROUND(prodnorm26,4),0)</f>
        <v>0</v>
      </c>
      <c r="H24" s="61">
        <f>ROUND(dagwerk26,4+2)</f>
        <v>0</v>
      </c>
      <c r="I24" s="50">
        <f>ROUND(uurtarief26,2)</f>
        <v>0</v>
      </c>
      <c r="J24" s="59">
        <v>0</v>
      </c>
      <c r="K24" s="59">
        <v>1037.5</v>
      </c>
      <c r="L24" s="59">
        <v>433.27</v>
      </c>
      <c r="M24" s="59">
        <v>166.70999999999998</v>
      </c>
    </row>
    <row r="25" spans="1:13" x14ac:dyDescent="0.25">
      <c r="A25" s="46" t="s">
        <v>288</v>
      </c>
      <c r="B25" s="46" t="s">
        <v>9</v>
      </c>
      <c r="C25" s="46" t="s">
        <v>1244</v>
      </c>
      <c r="D25" s="46" t="s">
        <v>258</v>
      </c>
      <c r="E25" s="59">
        <f t="shared" si="0"/>
        <v>1.0249999999999999</v>
      </c>
      <c r="F25" s="59">
        <v>1</v>
      </c>
      <c r="G25" s="59">
        <f>IF(prodnorm27&gt;0,1/ROUND(prodnorm27,4),0)</f>
        <v>0</v>
      </c>
      <c r="H25" s="61">
        <f>ROUND(dagwerk27,4+2)</f>
        <v>0</v>
      </c>
      <c r="I25" s="50">
        <f>ROUND(uurtarief27,2)</f>
        <v>0</v>
      </c>
      <c r="J25" s="59">
        <v>534.40000000000009</v>
      </c>
      <c r="K25" s="59">
        <v>0</v>
      </c>
      <c r="L25" s="59">
        <v>0</v>
      </c>
      <c r="M25" s="59">
        <v>0</v>
      </c>
    </row>
    <row r="26" spans="1:13" x14ac:dyDescent="0.25">
      <c r="A26" s="46" t="s">
        <v>290</v>
      </c>
      <c r="B26" s="46" t="s">
        <v>9</v>
      </c>
      <c r="C26" s="46" t="s">
        <v>1244</v>
      </c>
      <c r="D26" s="46" t="s">
        <v>258</v>
      </c>
      <c r="E26" s="59">
        <f t="shared" si="0"/>
        <v>1.0249999999999999</v>
      </c>
      <c r="F26" s="59">
        <v>1</v>
      </c>
      <c r="G26" s="59">
        <f>IF(prodnorm28&gt;0,1/ROUND(prodnorm28,4),0)</f>
        <v>0</v>
      </c>
      <c r="H26" s="61">
        <f>ROUND(dagwerk28,4+2)</f>
        <v>0</v>
      </c>
      <c r="I26" s="50">
        <f>ROUND(uurtarief28,2)</f>
        <v>0</v>
      </c>
      <c r="J26" s="59">
        <v>0</v>
      </c>
      <c r="K26" s="59">
        <v>0</v>
      </c>
      <c r="L26" s="59">
        <v>0</v>
      </c>
      <c r="M26" s="59">
        <v>21</v>
      </c>
    </row>
    <row r="27" spans="1:13" x14ac:dyDescent="0.25">
      <c r="A27" s="46" t="s">
        <v>290</v>
      </c>
      <c r="B27" s="46" t="s">
        <v>14</v>
      </c>
      <c r="C27" s="46" t="s">
        <v>1244</v>
      </c>
      <c r="D27" s="46" t="s">
        <v>258</v>
      </c>
      <c r="E27" s="59">
        <f t="shared" si="0"/>
        <v>0.41</v>
      </c>
      <c r="F27" s="59">
        <v>1</v>
      </c>
      <c r="G27" s="59">
        <f>IF(prodnorm29&gt;0,1/ROUND(prodnorm29,4),0)</f>
        <v>0</v>
      </c>
      <c r="H27" s="61">
        <f>ROUND(dagwerk29,4+2)</f>
        <v>0</v>
      </c>
      <c r="I27" s="50">
        <f>ROUND(uurtarief29,2)</f>
        <v>0</v>
      </c>
      <c r="J27" s="59">
        <v>0</v>
      </c>
      <c r="K27" s="59">
        <v>0</v>
      </c>
      <c r="L27" s="59">
        <v>0</v>
      </c>
      <c r="M27" s="59">
        <v>34</v>
      </c>
    </row>
    <row r="28" spans="1:13" x14ac:dyDescent="0.25">
      <c r="A28" s="46" t="s">
        <v>292</v>
      </c>
      <c r="B28" s="46" t="s">
        <v>20</v>
      </c>
      <c r="C28" s="46" t="s">
        <v>1244</v>
      </c>
      <c r="D28" s="46" t="s">
        <v>258</v>
      </c>
      <c r="E28" s="59">
        <f t="shared" si="0"/>
        <v>0.06</v>
      </c>
      <c r="F28" s="59">
        <v>1</v>
      </c>
      <c r="G28" s="59">
        <f>IF(prodnorm30&gt;0,1/ROUND(prodnorm30,4),0)</f>
        <v>0</v>
      </c>
      <c r="H28" s="61">
        <f>ROUND(dagwerk30,4+2)</f>
        <v>0</v>
      </c>
      <c r="I28" s="50">
        <f>ROUND(uurtarief30,2)</f>
        <v>0</v>
      </c>
      <c r="J28" s="59">
        <v>28.5</v>
      </c>
      <c r="K28" s="59">
        <v>72.199999999999989</v>
      </c>
      <c r="L28" s="59">
        <v>0</v>
      </c>
      <c r="M28" s="59">
        <v>66.099999999999994</v>
      </c>
    </row>
    <row r="29" spans="1:13" x14ac:dyDescent="0.25">
      <c r="A29" s="46" t="s">
        <v>292</v>
      </c>
      <c r="B29" s="46" t="s">
        <v>9</v>
      </c>
      <c r="C29" s="46" t="s">
        <v>1244</v>
      </c>
      <c r="D29" s="46" t="s">
        <v>258</v>
      </c>
      <c r="E29" s="59">
        <f t="shared" si="0"/>
        <v>1.0249999999999999</v>
      </c>
      <c r="F29" s="59">
        <v>1</v>
      </c>
      <c r="G29" s="59">
        <f>IF(prodnorm31&gt;0,1/ROUND(prodnorm31,4),0)</f>
        <v>0</v>
      </c>
      <c r="H29" s="61">
        <f>ROUND(dagwerk31,4+2)</f>
        <v>0</v>
      </c>
      <c r="I29" s="50">
        <f>ROUND(uurtarief31,2)</f>
        <v>0</v>
      </c>
      <c r="J29" s="59">
        <v>0</v>
      </c>
      <c r="K29" s="59">
        <v>54.5</v>
      </c>
      <c r="L29" s="59">
        <v>0</v>
      </c>
      <c r="M29" s="59">
        <v>0</v>
      </c>
    </row>
    <row r="30" spans="1:13" x14ac:dyDescent="0.25">
      <c r="A30" s="46" t="s">
        <v>294</v>
      </c>
      <c r="B30" s="46" t="s">
        <v>9</v>
      </c>
      <c r="C30" s="46" t="s">
        <v>1244</v>
      </c>
      <c r="D30" s="46" t="s">
        <v>258</v>
      </c>
      <c r="E30" s="59">
        <f t="shared" si="0"/>
        <v>1.0249999999999999</v>
      </c>
      <c r="F30" s="59">
        <v>1</v>
      </c>
      <c r="G30" s="59">
        <f>IF(prodnorm32&gt;0,1/ROUND(prodnorm32,4),0)</f>
        <v>0</v>
      </c>
      <c r="H30" s="61">
        <f>ROUND(dagwerk32,4+2)</f>
        <v>0</v>
      </c>
      <c r="I30" s="50">
        <f>ROUND(uurtarief32,2)</f>
        <v>0</v>
      </c>
      <c r="J30" s="59">
        <v>0</v>
      </c>
      <c r="K30" s="59">
        <v>249.89999999999998</v>
      </c>
      <c r="L30" s="59">
        <v>0</v>
      </c>
      <c r="M30" s="59">
        <v>0</v>
      </c>
    </row>
    <row r="31" spans="1:13" x14ac:dyDescent="0.25">
      <c r="A31" s="46" t="s">
        <v>294</v>
      </c>
      <c r="B31" s="46" t="s">
        <v>14</v>
      </c>
      <c r="C31" s="46" t="s">
        <v>1244</v>
      </c>
      <c r="D31" s="46" t="s">
        <v>258</v>
      </c>
      <c r="E31" s="59">
        <f t="shared" si="0"/>
        <v>0.41</v>
      </c>
      <c r="F31" s="59">
        <v>1</v>
      </c>
      <c r="G31" s="59">
        <f>IF(prodnorm33&gt;0,1/ROUND(prodnorm33,4),0)</f>
        <v>0</v>
      </c>
      <c r="H31" s="61">
        <f>ROUND(dagwerk33,4+2)</f>
        <v>0</v>
      </c>
      <c r="I31" s="50">
        <f>ROUND(uurtarief33,2)</f>
        <v>0</v>
      </c>
      <c r="J31" s="59">
        <v>0</v>
      </c>
      <c r="K31" s="59">
        <v>0</v>
      </c>
      <c r="L31" s="59">
        <v>0</v>
      </c>
      <c r="M31" s="59">
        <v>24.1</v>
      </c>
    </row>
    <row r="32" spans="1:13" x14ac:dyDescent="0.25">
      <c r="A32" s="46" t="s">
        <v>296</v>
      </c>
      <c r="B32" s="46" t="s">
        <v>14</v>
      </c>
      <c r="C32" s="46" t="s">
        <v>1244</v>
      </c>
      <c r="D32" s="46" t="s">
        <v>258</v>
      </c>
      <c r="E32" s="59">
        <f t="shared" si="0"/>
        <v>0.41</v>
      </c>
      <c r="F32" s="59">
        <v>1</v>
      </c>
      <c r="G32" s="59">
        <f>IF(prodnorm34&gt;0,1/ROUND(prodnorm34,4),0)</f>
        <v>0</v>
      </c>
      <c r="H32" s="61">
        <f>ROUND(dagwerk34,4+2)</f>
        <v>0</v>
      </c>
      <c r="I32" s="50">
        <f>ROUND(uurtarief34,2)</f>
        <v>0</v>
      </c>
      <c r="J32" s="59">
        <v>0</v>
      </c>
      <c r="K32" s="59">
        <v>0</v>
      </c>
      <c r="L32" s="59">
        <v>0</v>
      </c>
      <c r="M32" s="59">
        <v>428.8</v>
      </c>
    </row>
    <row r="33" spans="1:13" x14ac:dyDescent="0.25">
      <c r="A33" s="46" t="s">
        <v>298</v>
      </c>
      <c r="B33" s="46" t="s">
        <v>9</v>
      </c>
      <c r="C33" s="46" t="s">
        <v>1244</v>
      </c>
      <c r="D33" s="46" t="s">
        <v>258</v>
      </c>
      <c r="E33" s="59">
        <f t="shared" si="0"/>
        <v>1.0249999999999999</v>
      </c>
      <c r="F33" s="59">
        <v>1</v>
      </c>
      <c r="G33" s="59">
        <f>IF(prodnorm35&gt;0,1/ROUND(prodnorm35,4),0)</f>
        <v>0</v>
      </c>
      <c r="H33" s="61">
        <f>ROUND(dagwerk35,4+2)</f>
        <v>0</v>
      </c>
      <c r="I33" s="50">
        <f>ROUND(uurtarief35,2)</f>
        <v>0</v>
      </c>
      <c r="J33" s="59">
        <v>893.40000000000009</v>
      </c>
      <c r="K33" s="59">
        <v>123.30000000000001</v>
      </c>
      <c r="L33" s="59">
        <v>265.05</v>
      </c>
      <c r="M33" s="59">
        <v>291</v>
      </c>
    </row>
    <row r="34" spans="1:13" x14ac:dyDescent="0.25">
      <c r="A34" s="46" t="s">
        <v>300</v>
      </c>
      <c r="B34" s="46" t="s">
        <v>9</v>
      </c>
      <c r="C34" s="46" t="s">
        <v>1244</v>
      </c>
      <c r="D34" s="46" t="s">
        <v>258</v>
      </c>
      <c r="E34" s="59">
        <f t="shared" si="0"/>
        <v>1.0249999999999999</v>
      </c>
      <c r="F34" s="59">
        <v>1</v>
      </c>
      <c r="G34" s="59">
        <f>IF(prodnorm36&gt;0,1/ROUND(prodnorm36,4),0)</f>
        <v>0</v>
      </c>
      <c r="H34" s="61">
        <f>ROUND(dagwerk36,4+2)</f>
        <v>0</v>
      </c>
      <c r="I34" s="50">
        <f>ROUND(uurtarief36,2)</f>
        <v>0</v>
      </c>
      <c r="J34" s="59">
        <v>107.9</v>
      </c>
      <c r="K34" s="59">
        <v>0</v>
      </c>
      <c r="L34" s="59">
        <v>0</v>
      </c>
      <c r="M34" s="59">
        <v>0</v>
      </c>
    </row>
    <row r="35" spans="1:13" x14ac:dyDescent="0.25">
      <c r="A35" s="46" t="s">
        <v>300</v>
      </c>
      <c r="B35" s="46" t="s">
        <v>14</v>
      </c>
      <c r="C35" s="46" t="s">
        <v>1244</v>
      </c>
      <c r="D35" s="46" t="s">
        <v>258</v>
      </c>
      <c r="E35" s="59">
        <f t="shared" si="0"/>
        <v>0.41</v>
      </c>
      <c r="F35" s="59">
        <v>1</v>
      </c>
      <c r="G35" s="59">
        <f>IF(prodnorm37&gt;0,1/ROUND(prodnorm37,4),0)</f>
        <v>0</v>
      </c>
      <c r="H35" s="61">
        <f>ROUND(dagwerk37,4+2)</f>
        <v>0</v>
      </c>
      <c r="I35" s="50">
        <f>ROUND(uurtarief37,2)</f>
        <v>0</v>
      </c>
      <c r="J35" s="59">
        <v>0</v>
      </c>
      <c r="K35" s="59">
        <v>0</v>
      </c>
      <c r="L35" s="59">
        <v>0</v>
      </c>
      <c r="M35" s="59">
        <v>798.26</v>
      </c>
    </row>
    <row r="36" spans="1:13" x14ac:dyDescent="0.25">
      <c r="A36" s="46" t="s">
        <v>302</v>
      </c>
      <c r="B36" s="46" t="s">
        <v>9</v>
      </c>
      <c r="C36" s="46" t="s">
        <v>1244</v>
      </c>
      <c r="D36" s="46" t="s">
        <v>258</v>
      </c>
      <c r="E36" s="59">
        <f t="shared" si="0"/>
        <v>1.0249999999999999</v>
      </c>
      <c r="F36" s="59">
        <v>1</v>
      </c>
      <c r="G36" s="59">
        <f>IF(prodnorm38&gt;0,1/ROUND(prodnorm38,4),0)</f>
        <v>0</v>
      </c>
      <c r="H36" s="61">
        <f>ROUND(dagwerk38,4+2)</f>
        <v>0</v>
      </c>
      <c r="I36" s="50">
        <f>ROUND(uurtarief38,2)</f>
        <v>0</v>
      </c>
      <c r="J36" s="59">
        <v>67.7</v>
      </c>
      <c r="K36" s="59">
        <v>0</v>
      </c>
      <c r="L36" s="59">
        <v>0</v>
      </c>
      <c r="M36" s="59">
        <v>0</v>
      </c>
    </row>
    <row r="37" spans="1:13" x14ac:dyDescent="0.25">
      <c r="A37" s="46" t="s">
        <v>304</v>
      </c>
      <c r="B37" s="46" t="s">
        <v>9</v>
      </c>
      <c r="C37" s="46" t="s">
        <v>1244</v>
      </c>
      <c r="D37" s="46" t="s">
        <v>258</v>
      </c>
      <c r="E37" s="59">
        <f t="shared" ref="E37:E53" si="1">IF(B37="","",VLOOKUP(B37,dagsoorttabel1,2,FALSE))</f>
        <v>1.0249999999999999</v>
      </c>
      <c r="F37" s="59">
        <v>1</v>
      </c>
      <c r="G37" s="59">
        <f>IF(prodnorm39&gt;0,1/ROUND(prodnorm39,4),0)</f>
        <v>0</v>
      </c>
      <c r="H37" s="61">
        <f>ROUND(dagwerk39,4+2)</f>
        <v>0</v>
      </c>
      <c r="I37" s="50">
        <f>ROUND(uurtarief39,2)</f>
        <v>0</v>
      </c>
      <c r="J37" s="59">
        <v>100.4</v>
      </c>
      <c r="K37" s="59">
        <v>480.4</v>
      </c>
      <c r="L37" s="59">
        <v>0</v>
      </c>
      <c r="M37" s="59">
        <v>0</v>
      </c>
    </row>
    <row r="38" spans="1:13" x14ac:dyDescent="0.25">
      <c r="A38" s="46" t="s">
        <v>304</v>
      </c>
      <c r="B38" s="46" t="s">
        <v>16</v>
      </c>
      <c r="C38" s="46" t="s">
        <v>1244</v>
      </c>
      <c r="D38" s="46" t="s">
        <v>258</v>
      </c>
      <c r="E38" s="59">
        <f t="shared" si="1"/>
        <v>0.20499999999999999</v>
      </c>
      <c r="F38" s="59">
        <v>1</v>
      </c>
      <c r="G38" s="59">
        <f>IF(prodnorm40&gt;0,1/ROUND(prodnorm40,4),0)</f>
        <v>0</v>
      </c>
      <c r="H38" s="61">
        <f>ROUND(dagwerk40,4+2)</f>
        <v>0</v>
      </c>
      <c r="I38" s="50">
        <f>ROUND(uurtarief40,2)</f>
        <v>0</v>
      </c>
      <c r="J38" s="59">
        <v>9.4</v>
      </c>
      <c r="K38" s="59">
        <v>0</v>
      </c>
      <c r="L38" s="59">
        <v>0</v>
      </c>
      <c r="M38" s="59">
        <v>0</v>
      </c>
    </row>
    <row r="39" spans="1:13" x14ac:dyDescent="0.25">
      <c r="A39" s="46" t="s">
        <v>304</v>
      </c>
      <c r="B39" s="46" t="s">
        <v>14</v>
      </c>
      <c r="C39" s="46" t="s">
        <v>1244</v>
      </c>
      <c r="D39" s="46" t="s">
        <v>258</v>
      </c>
      <c r="E39" s="59">
        <f t="shared" si="1"/>
        <v>0.41</v>
      </c>
      <c r="F39" s="59">
        <v>1</v>
      </c>
      <c r="G39" s="59">
        <f>IF(prodnorm41&gt;0,1/ROUND(prodnorm41,4),0)</f>
        <v>0</v>
      </c>
      <c r="H39" s="61">
        <f>ROUND(dagwerk41,4+2)</f>
        <v>0</v>
      </c>
      <c r="I39" s="50">
        <f>ROUND(uurtarief41,2)</f>
        <v>0</v>
      </c>
      <c r="J39" s="59">
        <v>0</v>
      </c>
      <c r="K39" s="59">
        <v>0</v>
      </c>
      <c r="L39" s="59">
        <v>0</v>
      </c>
      <c r="M39" s="59">
        <v>912.9</v>
      </c>
    </row>
    <row r="40" spans="1:13" x14ac:dyDescent="0.25">
      <c r="A40" s="46" t="s">
        <v>306</v>
      </c>
      <c r="B40" s="46" t="s">
        <v>9</v>
      </c>
      <c r="C40" s="46" t="s">
        <v>1244</v>
      </c>
      <c r="D40" s="46" t="s">
        <v>258</v>
      </c>
      <c r="E40" s="59">
        <f t="shared" si="1"/>
        <v>1.0249999999999999</v>
      </c>
      <c r="F40" s="59">
        <v>1</v>
      </c>
      <c r="G40" s="59">
        <f>IF(prodnorm42&gt;0,1/ROUND(prodnorm42,4),0)</f>
        <v>0</v>
      </c>
      <c r="H40" s="61">
        <f>ROUND(dagwerk42,4+2)</f>
        <v>0</v>
      </c>
      <c r="I40" s="50">
        <f>ROUND(uurtarief42,2)</f>
        <v>0</v>
      </c>
      <c r="J40" s="59">
        <v>3.3</v>
      </c>
      <c r="K40" s="59">
        <v>0</v>
      </c>
      <c r="L40" s="59">
        <v>0</v>
      </c>
      <c r="M40" s="59">
        <v>18.2</v>
      </c>
    </row>
    <row r="41" spans="1:13" x14ac:dyDescent="0.25">
      <c r="A41" s="46" t="s">
        <v>308</v>
      </c>
      <c r="B41" s="46" t="s">
        <v>9</v>
      </c>
      <c r="C41" s="46" t="s">
        <v>1244</v>
      </c>
      <c r="D41" s="46" t="s">
        <v>258</v>
      </c>
      <c r="E41" s="59">
        <f t="shared" si="1"/>
        <v>1.0249999999999999</v>
      </c>
      <c r="F41" s="59">
        <v>1</v>
      </c>
      <c r="G41" s="59">
        <f>IF(prodnorm43&gt;0,1/ROUND(prodnorm43,4),0)</f>
        <v>0</v>
      </c>
      <c r="H41" s="61">
        <f>ROUND(dagwerk43,4+2)</f>
        <v>0</v>
      </c>
      <c r="I41" s="50">
        <f>ROUND(uurtarief43,2)</f>
        <v>0</v>
      </c>
      <c r="J41" s="59">
        <v>0</v>
      </c>
      <c r="K41" s="59">
        <v>56.6</v>
      </c>
      <c r="L41" s="59">
        <v>64.58</v>
      </c>
      <c r="M41" s="59">
        <v>280.70000000000005</v>
      </c>
    </row>
    <row r="42" spans="1:13" x14ac:dyDescent="0.25">
      <c r="A42" s="46" t="s">
        <v>308</v>
      </c>
      <c r="B42" s="46" t="s">
        <v>14</v>
      </c>
      <c r="C42" s="46" t="s">
        <v>1244</v>
      </c>
      <c r="D42" s="46" t="s">
        <v>258</v>
      </c>
      <c r="E42" s="59">
        <f t="shared" si="1"/>
        <v>0.41</v>
      </c>
      <c r="F42" s="59">
        <v>1</v>
      </c>
      <c r="G42" s="59">
        <f>IF(prodnorm44&gt;0,1/ROUND(prodnorm44,4),0)</f>
        <v>0</v>
      </c>
      <c r="H42" s="61">
        <f>ROUND(dagwerk44,4+2)</f>
        <v>0</v>
      </c>
      <c r="I42" s="50">
        <f>ROUND(uurtarief44,2)</f>
        <v>0</v>
      </c>
      <c r="J42" s="59">
        <v>0</v>
      </c>
      <c r="K42" s="59">
        <v>0</v>
      </c>
      <c r="L42" s="59">
        <v>0</v>
      </c>
      <c r="M42" s="59">
        <v>21</v>
      </c>
    </row>
    <row r="43" spans="1:13" x14ac:dyDescent="0.25">
      <c r="A43" s="46" t="s">
        <v>310</v>
      </c>
      <c r="B43" s="46" t="s">
        <v>9</v>
      </c>
      <c r="C43" s="46" t="s">
        <v>1244</v>
      </c>
      <c r="D43" s="46" t="s">
        <v>258</v>
      </c>
      <c r="E43" s="59">
        <f t="shared" si="1"/>
        <v>1.0249999999999999</v>
      </c>
      <c r="F43" s="59">
        <v>1</v>
      </c>
      <c r="G43" s="59">
        <f>IF(prodnorm45&gt;0,1/ROUND(prodnorm45,4),0)</f>
        <v>0</v>
      </c>
      <c r="H43" s="61">
        <f>ROUND(dagwerk45,4+2)</f>
        <v>0</v>
      </c>
      <c r="I43" s="50">
        <f>ROUND(uurtarief45,2)</f>
        <v>0</v>
      </c>
      <c r="J43" s="59">
        <v>239</v>
      </c>
      <c r="K43" s="59">
        <v>227.57</v>
      </c>
      <c r="L43" s="59">
        <v>110.72000000000003</v>
      </c>
      <c r="M43" s="59">
        <v>180.83999999999997</v>
      </c>
    </row>
    <row r="44" spans="1:13" x14ac:dyDescent="0.25">
      <c r="A44" s="46" t="s">
        <v>312</v>
      </c>
      <c r="B44" s="46" t="s">
        <v>9</v>
      </c>
      <c r="C44" s="46" t="s">
        <v>1244</v>
      </c>
      <c r="D44" s="46" t="s">
        <v>258</v>
      </c>
      <c r="E44" s="59">
        <f t="shared" si="1"/>
        <v>1.0249999999999999</v>
      </c>
      <c r="F44" s="59">
        <v>1</v>
      </c>
      <c r="G44" s="59">
        <f>IF(prodnorm46&gt;0,1/ROUND(prodnorm46,4),0)</f>
        <v>0</v>
      </c>
      <c r="H44" s="61">
        <f>ROUND(dagwerk46,4+2)</f>
        <v>0</v>
      </c>
      <c r="I44" s="50">
        <f>ROUND(uurtarief46,2)</f>
        <v>0</v>
      </c>
      <c r="J44" s="59">
        <v>1195.5999999999999</v>
      </c>
      <c r="K44" s="59">
        <v>1243.4000000000001</v>
      </c>
      <c r="L44" s="59">
        <v>615.66000000000008</v>
      </c>
      <c r="M44" s="59">
        <v>1768.4</v>
      </c>
    </row>
    <row r="45" spans="1:13" x14ac:dyDescent="0.25">
      <c r="A45" s="46" t="s">
        <v>314</v>
      </c>
      <c r="B45" s="46" t="s">
        <v>9</v>
      </c>
      <c r="C45" s="46" t="s">
        <v>1244</v>
      </c>
      <c r="D45" s="46" t="s">
        <v>258</v>
      </c>
      <c r="E45" s="59">
        <f t="shared" si="1"/>
        <v>1.0249999999999999</v>
      </c>
      <c r="F45" s="59">
        <v>1</v>
      </c>
      <c r="G45" s="59">
        <f>IF(prodnorm47&gt;0,1/ROUND(prodnorm47,4),0)</f>
        <v>0</v>
      </c>
      <c r="H45" s="61">
        <f>ROUND(dagwerk47,4+2)</f>
        <v>0</v>
      </c>
      <c r="I45" s="50">
        <f>ROUND(uurtarief47,2)</f>
        <v>0</v>
      </c>
      <c r="J45" s="59">
        <v>0</v>
      </c>
      <c r="K45" s="59">
        <v>0</v>
      </c>
      <c r="L45" s="59">
        <v>10.5</v>
      </c>
      <c r="M45" s="59">
        <v>0</v>
      </c>
    </row>
    <row r="46" spans="1:13" x14ac:dyDescent="0.25">
      <c r="A46" s="46" t="s">
        <v>316</v>
      </c>
      <c r="B46" s="46" t="s">
        <v>9</v>
      </c>
      <c r="C46" s="46" t="s">
        <v>1244</v>
      </c>
      <c r="D46" s="46" t="s">
        <v>258</v>
      </c>
      <c r="E46" s="59">
        <f t="shared" si="1"/>
        <v>1.0249999999999999</v>
      </c>
      <c r="F46" s="59">
        <v>1</v>
      </c>
      <c r="G46" s="59">
        <f>IF(prodnorm48&gt;0,1/ROUND(prodnorm48,4),0)</f>
        <v>0</v>
      </c>
      <c r="H46" s="61">
        <f>ROUND(dagwerk48,4+2)</f>
        <v>0</v>
      </c>
      <c r="I46" s="50">
        <f>ROUND(uurtarief48,2)</f>
        <v>0</v>
      </c>
      <c r="J46" s="59">
        <v>0</v>
      </c>
      <c r="K46" s="59">
        <v>95.2</v>
      </c>
      <c r="L46" s="59">
        <v>28.7</v>
      </c>
      <c r="M46" s="59">
        <v>28.1</v>
      </c>
    </row>
    <row r="47" spans="1:13" x14ac:dyDescent="0.25">
      <c r="A47" s="46" t="s">
        <v>318</v>
      </c>
      <c r="B47" s="46" t="s">
        <v>9</v>
      </c>
      <c r="C47" s="46" t="s">
        <v>1244</v>
      </c>
      <c r="D47" s="46" t="s">
        <v>258</v>
      </c>
      <c r="E47" s="59">
        <f t="shared" si="1"/>
        <v>1.0249999999999999</v>
      </c>
      <c r="F47" s="59">
        <v>1</v>
      </c>
      <c r="G47" s="59">
        <f>IF(prodnorm49&gt;0,1/ROUND(prodnorm49,4),0)</f>
        <v>0</v>
      </c>
      <c r="H47" s="61">
        <f>ROUND(dagwerk49,4+2)</f>
        <v>0</v>
      </c>
      <c r="I47" s="50">
        <f>ROUND(uurtarief49,2)</f>
        <v>0</v>
      </c>
      <c r="J47" s="59">
        <v>0</v>
      </c>
      <c r="K47" s="59">
        <v>0</v>
      </c>
      <c r="L47" s="59">
        <v>2.5</v>
      </c>
      <c r="M47" s="59">
        <v>5</v>
      </c>
    </row>
    <row r="48" spans="1:13" x14ac:dyDescent="0.25">
      <c r="A48" s="46" t="s">
        <v>318</v>
      </c>
      <c r="B48" s="46" t="s">
        <v>14</v>
      </c>
      <c r="C48" s="46" t="s">
        <v>1244</v>
      </c>
      <c r="D48" s="46" t="s">
        <v>258</v>
      </c>
      <c r="E48" s="59">
        <f t="shared" si="1"/>
        <v>0.41</v>
      </c>
      <c r="F48" s="59">
        <v>1</v>
      </c>
      <c r="G48" s="59">
        <f>IF(prodnorm50&gt;0,1/ROUND(prodnorm50,4),0)</f>
        <v>0</v>
      </c>
      <c r="H48" s="61">
        <f>ROUND(dagwerk50,4+2)</f>
        <v>0</v>
      </c>
      <c r="I48" s="50">
        <f>ROUND(uurtarief50,2)</f>
        <v>0</v>
      </c>
      <c r="J48" s="59">
        <v>0</v>
      </c>
      <c r="K48" s="59">
        <v>0</v>
      </c>
      <c r="L48" s="59">
        <v>0</v>
      </c>
      <c r="M48" s="59">
        <v>3</v>
      </c>
    </row>
    <row r="49" spans="1:13" x14ac:dyDescent="0.25">
      <c r="A49" s="46" t="s">
        <v>320</v>
      </c>
      <c r="B49" s="46" t="s">
        <v>9</v>
      </c>
      <c r="C49" s="46" t="s">
        <v>1244</v>
      </c>
      <c r="D49" s="46" t="s">
        <v>258</v>
      </c>
      <c r="E49" s="59">
        <f t="shared" si="1"/>
        <v>1.0249999999999999</v>
      </c>
      <c r="F49" s="59">
        <v>1</v>
      </c>
      <c r="G49" s="59">
        <f>IF(prodnorm51&gt;0,1/ROUND(prodnorm51,4),0)</f>
        <v>0</v>
      </c>
      <c r="H49" s="61">
        <f>ROUND(dagwerk51,4+2)</f>
        <v>0</v>
      </c>
      <c r="I49" s="50">
        <f>ROUND(uurtarief51,2)</f>
        <v>0</v>
      </c>
      <c r="J49" s="59">
        <v>34.599999999999994</v>
      </c>
      <c r="K49" s="59">
        <v>232.6</v>
      </c>
      <c r="L49" s="59">
        <v>0</v>
      </c>
      <c r="M49" s="59">
        <v>24</v>
      </c>
    </row>
    <row r="50" spans="1:13" x14ac:dyDescent="0.25">
      <c r="A50" s="46" t="s">
        <v>320</v>
      </c>
      <c r="B50" s="46" t="s">
        <v>14</v>
      </c>
      <c r="C50" s="46" t="s">
        <v>1244</v>
      </c>
      <c r="D50" s="46" t="s">
        <v>258</v>
      </c>
      <c r="E50" s="59">
        <f t="shared" si="1"/>
        <v>0.41</v>
      </c>
      <c r="F50" s="59">
        <v>1</v>
      </c>
      <c r="G50" s="59">
        <f>IF(prodnorm52&gt;0,1/ROUND(prodnorm52,4),0)</f>
        <v>0</v>
      </c>
      <c r="H50" s="61">
        <f>ROUND(dagwerk52,4+2)</f>
        <v>0</v>
      </c>
      <c r="I50" s="50">
        <f>ROUND(uurtarief52,2)</f>
        <v>0</v>
      </c>
      <c r="J50" s="59">
        <v>0</v>
      </c>
      <c r="K50" s="59">
        <v>0</v>
      </c>
      <c r="L50" s="59">
        <v>0</v>
      </c>
      <c r="M50" s="59">
        <v>72</v>
      </c>
    </row>
    <row r="51" spans="1:13" x14ac:dyDescent="0.25">
      <c r="A51" s="46" t="s">
        <v>322</v>
      </c>
      <c r="B51" s="46" t="s">
        <v>20</v>
      </c>
      <c r="C51" s="46" t="s">
        <v>1244</v>
      </c>
      <c r="D51" s="46" t="s">
        <v>258</v>
      </c>
      <c r="E51" s="59">
        <f t="shared" si="1"/>
        <v>0.06</v>
      </c>
      <c r="F51" s="59">
        <v>1</v>
      </c>
      <c r="G51" s="59">
        <f>IF(prodnorm53&gt;0,1/ROUND(prodnorm53,4),0)</f>
        <v>0</v>
      </c>
      <c r="H51" s="61">
        <f>ROUND(dagwerk53,4+2)</f>
        <v>0</v>
      </c>
      <c r="I51" s="50">
        <f>ROUND(uurtarief53,2)</f>
        <v>0</v>
      </c>
      <c r="J51" s="59">
        <v>0</v>
      </c>
      <c r="K51" s="59">
        <v>0</v>
      </c>
      <c r="L51" s="59">
        <v>9</v>
      </c>
      <c r="M51" s="59">
        <v>0</v>
      </c>
    </row>
    <row r="52" spans="1:13" x14ac:dyDescent="0.25">
      <c r="A52" s="46" t="s">
        <v>322</v>
      </c>
      <c r="B52" s="46" t="s">
        <v>9</v>
      </c>
      <c r="C52" s="46" t="s">
        <v>1244</v>
      </c>
      <c r="D52" s="46" t="s">
        <v>258</v>
      </c>
      <c r="E52" s="59">
        <f t="shared" si="1"/>
        <v>1.0249999999999999</v>
      </c>
      <c r="F52" s="59">
        <v>1</v>
      </c>
      <c r="G52" s="59">
        <f>IF(prodnorm54&gt;0,1/ROUND(prodnorm54,4),0)</f>
        <v>0</v>
      </c>
      <c r="H52" s="61">
        <f>ROUND(dagwerk54,4+2)</f>
        <v>0</v>
      </c>
      <c r="I52" s="50">
        <f>ROUND(uurtarief54,2)</f>
        <v>0</v>
      </c>
      <c r="J52" s="59">
        <v>159</v>
      </c>
      <c r="K52" s="59">
        <v>27.9</v>
      </c>
      <c r="L52" s="59">
        <v>0</v>
      </c>
      <c r="M52" s="59">
        <v>194</v>
      </c>
    </row>
    <row r="53" spans="1:13" x14ac:dyDescent="0.25">
      <c r="A53" s="51" t="s">
        <v>324</v>
      </c>
      <c r="B53" s="51" t="s">
        <v>24</v>
      </c>
      <c r="C53" s="51" t="s">
        <v>1244</v>
      </c>
      <c r="D53" s="51" t="s">
        <v>325</v>
      </c>
      <c r="E53" s="62">
        <f t="shared" si="1"/>
        <v>0.01</v>
      </c>
      <c r="F53" s="62">
        <v>1</v>
      </c>
      <c r="G53" s="62">
        <f>IF(prodnorm4&gt;0,1/ROUND(prodnorm4,4),0)</f>
        <v>0</v>
      </c>
      <c r="H53" s="64">
        <f>ROUND(dagwerk4,4+2)</f>
        <v>0</v>
      </c>
      <c r="I53" s="55">
        <f>ROUND(uurtarief4,2)</f>
        <v>0</v>
      </c>
      <c r="J53" s="62">
        <v>0</v>
      </c>
      <c r="K53" s="62">
        <v>512.70000000000005</v>
      </c>
      <c r="L53" s="62">
        <v>254.2</v>
      </c>
      <c r="M53" s="62">
        <v>1126.5</v>
      </c>
    </row>
    <row r="54" spans="1:13" x14ac:dyDescent="0.25">
      <c r="A54" s="65" t="s">
        <v>327</v>
      </c>
      <c r="B54" s="66"/>
      <c r="C54" s="66"/>
      <c r="D54" s="66"/>
      <c r="E54" s="66"/>
      <c r="F54" s="66"/>
      <c r="G54" s="66"/>
      <c r="H54" s="66"/>
      <c r="I54" s="66"/>
      <c r="J54" s="103"/>
      <c r="K54" s="103"/>
      <c r="L54" s="103"/>
      <c r="M54" s="103"/>
    </row>
  </sheetData>
  <sheetProtection algorithmName="SHA-512" hashValue="UB6oV2sRtEX7MBKSWdHBdBiM7I6Fr3KHzeIPusiSbeiZ3369jcDE6bx69GIVoTYppCmX7+/pcQPnEst4Jj+2OQ==" saltValue="ayaTRb92w4CgBCy4QaoHTg==" spinCount="100000" sheet="1" objects="1" scenarios="1" autoFilter="0"/>
  <pageMargins left="0.7" right="0.7" top="0.75" bottom="0.75" header="0.3" footer="0.3"/>
  <pageSetup paperSize="9" scale="70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9090-5528-4541-B8B4-1F0CF0AB4F08}">
  <dimension ref="A1:M15"/>
  <sheetViews>
    <sheetView workbookViewId="0">
      <selection activeCell="M22" sqref="M22"/>
    </sheetView>
  </sheetViews>
  <sheetFormatPr defaultColWidth="8.90625" defaultRowHeight="11.5" x14ac:dyDescent="0.25"/>
  <cols>
    <col min="1" max="1" width="8.6328125" style="2" customWidth="1"/>
    <col min="2" max="2" width="28.6328125" style="2" customWidth="1"/>
    <col min="3" max="4" width="15.6328125" style="2" customWidth="1"/>
    <col min="5" max="5" width="6.1796875" style="2" customWidth="1"/>
    <col min="6" max="6" width="10.6328125" style="2" customWidth="1"/>
    <col min="7" max="9" width="12.1796875" style="2" customWidth="1"/>
    <col min="10" max="11" width="12.6328125" style="2" customWidth="1"/>
    <col min="12" max="12" width="14.6328125" style="2" customWidth="1"/>
    <col min="13" max="13" width="13.6328125" style="2" customWidth="1"/>
    <col min="14" max="16384" width="8.90625" style="2"/>
  </cols>
  <sheetData>
    <row r="1" spans="1:13" x14ac:dyDescent="0.25">
      <c r="A1" s="1" t="str">
        <f>CONCATENATE("Bijlage 7.1.4: ",tabeltype," objecten")</f>
        <v>Bijlage 7.1.4: Invultabel objecten</v>
      </c>
    </row>
    <row r="3" spans="1:13" ht="34.5" x14ac:dyDescent="0.25">
      <c r="A3" s="34" t="s">
        <v>330</v>
      </c>
      <c r="B3" s="34" t="s">
        <v>1245</v>
      </c>
      <c r="C3" s="34" t="s">
        <v>1246</v>
      </c>
      <c r="D3" s="34" t="s">
        <v>1247</v>
      </c>
      <c r="E3" s="34" t="s">
        <v>7</v>
      </c>
      <c r="F3" s="34" t="s">
        <v>1248</v>
      </c>
      <c r="G3" s="34" t="s">
        <v>1249</v>
      </c>
      <c r="H3" s="34" t="s">
        <v>1250</v>
      </c>
      <c r="I3" s="34" t="s">
        <v>1251</v>
      </c>
      <c r="J3" s="34" t="s">
        <v>1252</v>
      </c>
      <c r="K3" s="34" t="s">
        <v>255</v>
      </c>
      <c r="L3" s="34" t="s">
        <v>256</v>
      </c>
      <c r="M3" s="34" t="s">
        <v>1253</v>
      </c>
    </row>
    <row r="4" spans="1:13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</row>
    <row r="5" spans="1:13" x14ac:dyDescent="0.25">
      <c r="A5" s="38" t="s">
        <v>105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1:13" x14ac:dyDescent="0.25">
      <c r="A6" s="41" t="s">
        <v>341</v>
      </c>
      <c r="B6" s="41" t="s">
        <v>1254</v>
      </c>
      <c r="C6" s="41" t="s">
        <v>1255</v>
      </c>
      <c r="D6" s="41" t="s">
        <v>1256</v>
      </c>
      <c r="E6" s="104" t="s">
        <v>9</v>
      </c>
      <c r="F6" s="105">
        <f>gemuurtarief1</f>
        <v>0</v>
      </c>
      <c r="G6" s="56">
        <f>SUMPRODUCT(taakfreqtabel1,uurfactortabel1,kengetaltabel1,object1_opptabel1)*(1/VLOOKUP(E6,dagsoorttabel1,2,FALSE))</f>
        <v>0</v>
      </c>
      <c r="H6" s="56">
        <f>SUMPRODUCT(dagwerktabel1,taakfreqtabel1,uurfactortabel1,kengetaltabel1,object1_opptabel1)*(1/VLOOKUP(E6,dagsoorttabel1,2,FALSE))</f>
        <v>0</v>
      </c>
      <c r="I6" s="45">
        <f>SUMPRODUCT(taakfreqtabel1,kengetaltabel1,tarieftabel1,object1_opptabel1)*(1/VLOOKUP(E6,dagsoorttabel1,2,FALSE))</f>
        <v>0</v>
      </c>
      <c r="J6" s="56">
        <f>H6*dagenperjaar1*VLOOKUP(E6,dagsoorttabel1,2,FALSE)</f>
        <v>0</v>
      </c>
      <c r="K6" s="56">
        <f>G6*dagenperjaar1*VLOOKUP(E6,dagsoorttabel1,2,FALSE)</f>
        <v>0</v>
      </c>
      <c r="L6" s="45">
        <f>I6*dagenperjaar1*VLOOKUP(E6,dagsoorttabel1,2,FALSE)</f>
        <v>0</v>
      </c>
      <c r="M6" s="45">
        <f>L6/12</f>
        <v>0</v>
      </c>
    </row>
    <row r="7" spans="1:13" x14ac:dyDescent="0.25">
      <c r="A7" s="46" t="s">
        <v>633</v>
      </c>
      <c r="B7" s="46" t="s">
        <v>1257</v>
      </c>
      <c r="C7" s="46" t="s">
        <v>1258</v>
      </c>
      <c r="D7" s="46" t="s">
        <v>1259</v>
      </c>
      <c r="E7" s="106" t="s">
        <v>9</v>
      </c>
      <c r="F7" s="107">
        <f>gemuurtarief1</f>
        <v>0</v>
      </c>
      <c r="G7" s="59">
        <f>SUMPRODUCT(taakfreqtabel1,uurfactortabel1,kengetaltabel1,object2_opptabel1)*(1/VLOOKUP(E7,dagsoorttabel1,2,FALSE))</f>
        <v>0</v>
      </c>
      <c r="H7" s="59">
        <f>SUMPRODUCT(dagwerktabel1,taakfreqtabel1,uurfactortabel1,kengetaltabel1,object2_opptabel1)*(1/VLOOKUP(E7,dagsoorttabel1,2,FALSE))</f>
        <v>0</v>
      </c>
      <c r="I7" s="50">
        <f>SUMPRODUCT(taakfreqtabel1,kengetaltabel1,tarieftabel1,object2_opptabel1)*(1/VLOOKUP(E7,dagsoorttabel1,2,FALSE))</f>
        <v>0</v>
      </c>
      <c r="J7" s="59">
        <f>H7*dagenperjaar1*VLOOKUP(E7,dagsoorttabel1,2,FALSE)</f>
        <v>0</v>
      </c>
      <c r="K7" s="59">
        <f>G7*dagenperjaar1*VLOOKUP(E7,dagsoorttabel1,2,FALSE)</f>
        <v>0</v>
      </c>
      <c r="L7" s="50">
        <f>I7*dagenperjaar1*VLOOKUP(E7,dagsoorttabel1,2,FALSE)</f>
        <v>0</v>
      </c>
      <c r="M7" s="50">
        <f>L7/12</f>
        <v>0</v>
      </c>
    </row>
    <row r="8" spans="1:13" x14ac:dyDescent="0.25">
      <c r="A8" s="46" t="s">
        <v>857</v>
      </c>
      <c r="B8" s="46" t="s">
        <v>1260</v>
      </c>
      <c r="C8" s="46" t="s">
        <v>1261</v>
      </c>
      <c r="D8" s="46" t="s">
        <v>1262</v>
      </c>
      <c r="E8" s="106" t="s">
        <v>9</v>
      </c>
      <c r="F8" s="107">
        <f>gemuurtarief1</f>
        <v>0</v>
      </c>
      <c r="G8" s="59">
        <f>SUMPRODUCT(taakfreqtabel1,uurfactortabel1,kengetaltabel1,object3_opptabel1)*(1/VLOOKUP(E8,dagsoorttabel1,2,FALSE))</f>
        <v>0</v>
      </c>
      <c r="H8" s="59">
        <f>SUMPRODUCT(dagwerktabel1,taakfreqtabel1,uurfactortabel1,kengetaltabel1,object3_opptabel1)*(1/VLOOKUP(E8,dagsoorttabel1,2,FALSE))</f>
        <v>0</v>
      </c>
      <c r="I8" s="50">
        <f>SUMPRODUCT(taakfreqtabel1,kengetaltabel1,tarieftabel1,object3_opptabel1)*(1/VLOOKUP(E8,dagsoorttabel1,2,FALSE))</f>
        <v>0</v>
      </c>
      <c r="J8" s="59">
        <f>H8*dagenperjaar1*VLOOKUP(E8,dagsoorttabel1,2,FALSE)</f>
        <v>0</v>
      </c>
      <c r="K8" s="59">
        <f>G8*dagenperjaar1*VLOOKUP(E8,dagsoorttabel1,2,FALSE)</f>
        <v>0</v>
      </c>
      <c r="L8" s="50">
        <f>I8*dagenperjaar1*VLOOKUP(E8,dagsoorttabel1,2,FALSE)</f>
        <v>0</v>
      </c>
      <c r="M8" s="50">
        <f>L8/12</f>
        <v>0</v>
      </c>
    </row>
    <row r="9" spans="1:13" x14ac:dyDescent="0.25">
      <c r="A9" s="51" t="s">
        <v>982</v>
      </c>
      <c r="B9" s="51" t="s">
        <v>1263</v>
      </c>
      <c r="C9" s="51" t="s">
        <v>1264</v>
      </c>
      <c r="D9" s="51" t="s">
        <v>1256</v>
      </c>
      <c r="E9" s="108" t="s">
        <v>9</v>
      </c>
      <c r="F9" s="109">
        <f>gemuurtarief1</f>
        <v>0</v>
      </c>
      <c r="G9" s="62">
        <f>SUMPRODUCT(taakfreqtabel1,uurfactortabel1,kengetaltabel1,object4_opptabel1)*(1/VLOOKUP(E9,dagsoorttabel1,2,FALSE))</f>
        <v>0</v>
      </c>
      <c r="H9" s="62">
        <f>SUMPRODUCT(dagwerktabel1,taakfreqtabel1,uurfactortabel1,kengetaltabel1,object4_opptabel1)*(1/VLOOKUP(E9,dagsoorttabel1,2,FALSE))</f>
        <v>0</v>
      </c>
      <c r="I9" s="55">
        <f>SUMPRODUCT(taakfreqtabel1,kengetaltabel1,tarieftabel1,object4_opptabel1)*(1/VLOOKUP(E9,dagsoorttabel1,2,FALSE))</f>
        <v>0</v>
      </c>
      <c r="J9" s="62">
        <f>H9*dagenperjaar1*VLOOKUP(E9,dagsoorttabel1,2,FALSE)</f>
        <v>0</v>
      </c>
      <c r="K9" s="62">
        <f>G9*dagenperjaar1*VLOOKUP(E9,dagsoorttabel1,2,FALSE)</f>
        <v>0</v>
      </c>
      <c r="L9" s="55">
        <f>I9*dagenperjaar1*VLOOKUP(E9,dagsoorttabel1,2,FALSE)</f>
        <v>0</v>
      </c>
      <c r="M9" s="55">
        <f>L9/12</f>
        <v>0</v>
      </c>
    </row>
    <row r="10" spans="1:13" x14ac:dyDescent="0.25">
      <c r="A10" s="65" t="s">
        <v>327</v>
      </c>
      <c r="B10" s="66"/>
      <c r="C10" s="66"/>
      <c r="D10" s="66"/>
      <c r="E10" s="66"/>
      <c r="F10" s="66"/>
      <c r="G10" s="66"/>
      <c r="H10" s="66"/>
      <c r="I10" s="66"/>
      <c r="J10" s="67">
        <f>SUM(J6:J9)</f>
        <v>0</v>
      </c>
      <c r="K10" s="67">
        <f>SUM(K6:K9)</f>
        <v>0</v>
      </c>
      <c r="L10" s="68">
        <f>SUM(L6:L9)</f>
        <v>0</v>
      </c>
      <c r="M10" s="69">
        <f>SUM(M6:M9)</f>
        <v>0</v>
      </c>
    </row>
    <row r="11" spans="1:13" x14ac:dyDescent="0.25">
      <c r="A11" s="70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71"/>
    </row>
    <row r="13" spans="1:13" x14ac:dyDescent="0.25">
      <c r="A13" s="65" t="s">
        <v>1265</v>
      </c>
      <c r="B13" s="66"/>
      <c r="C13" s="66"/>
      <c r="D13" s="66"/>
      <c r="E13" s="66"/>
      <c r="F13" s="66"/>
      <c r="G13" s="66"/>
      <c r="H13" s="66"/>
      <c r="I13" s="66"/>
      <c r="J13" s="67">
        <f>urenjaartotaalhf1</f>
        <v>0</v>
      </c>
      <c r="K13" s="67">
        <f>urenjaartotaal1</f>
        <v>0</v>
      </c>
      <c r="L13" s="68">
        <f>prijsjaartotaal1</f>
        <v>0</v>
      </c>
      <c r="M13" s="68">
        <f>prijsmaandtotaal1</f>
        <v>0</v>
      </c>
    </row>
    <row r="15" spans="1:13" x14ac:dyDescent="0.25">
      <c r="A15" s="65" t="s">
        <v>1266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8">
        <f>L13*1.21</f>
        <v>0</v>
      </c>
      <c r="M15" s="68">
        <f>M13*1.21</f>
        <v>0</v>
      </c>
    </row>
  </sheetData>
  <sheetProtection algorithmName="SHA-512" hashValue="qN2vDvryLDGmdGGOZ0+gVl5pdCJvV9WGSJw7yIQOVB19Fjo5RkhR9itq3nmcONms05sapDfum5W1C1EVjJdGkA==" saltValue="I2AQQ51ZrXOSL3MlH/2tcg==" spinCount="100000" sheet="1" objects="1" scenarios="1" autoFilter="0"/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EA36-9CC5-46C1-8F53-0BD44D8FE13E}">
  <dimension ref="A1:F18"/>
  <sheetViews>
    <sheetView workbookViewId="0">
      <selection activeCell="B22" sqref="B22"/>
    </sheetView>
  </sheetViews>
  <sheetFormatPr defaultColWidth="8.90625" defaultRowHeight="11.5" x14ac:dyDescent="0.25"/>
  <cols>
    <col min="1" max="1" width="25.6328125" style="2" customWidth="1"/>
    <col min="2" max="6" width="20.6328125" style="2" customWidth="1"/>
    <col min="7" max="16384" width="8.90625" style="2"/>
  </cols>
  <sheetData>
    <row r="1" spans="1:6" x14ac:dyDescent="0.25">
      <c r="A1" s="1" t="str">
        <f>CONCATENATE("Bijlage 7.1.5: ",tabeltype," totaalblad objecten")</f>
        <v>Bijlage 7.1.5: Invultabel totaalblad objecten</v>
      </c>
    </row>
    <row r="3" spans="1:6" x14ac:dyDescent="0.25">
      <c r="A3" s="110" t="s">
        <v>1267</v>
      </c>
      <c r="B3" s="111" t="s">
        <v>1280</v>
      </c>
      <c r="C3" s="111" t="s">
        <v>341</v>
      </c>
      <c r="D3" s="111" t="s">
        <v>633</v>
      </c>
      <c r="E3" s="111" t="s">
        <v>857</v>
      </c>
      <c r="F3" s="111" t="s">
        <v>982</v>
      </c>
    </row>
    <row r="4" spans="1:6" x14ac:dyDescent="0.25">
      <c r="A4" s="112" t="s">
        <v>1268</v>
      </c>
      <c r="B4" s="113"/>
      <c r="C4" s="114" t="s">
        <v>42</v>
      </c>
      <c r="D4" s="114" t="s">
        <v>42</v>
      </c>
      <c r="E4" s="114" t="s">
        <v>42</v>
      </c>
      <c r="F4" s="114" t="s">
        <v>42</v>
      </c>
    </row>
    <row r="5" spans="1:6" ht="23" x14ac:dyDescent="0.25">
      <c r="A5" s="112" t="s">
        <v>1269</v>
      </c>
      <c r="B5" s="113"/>
      <c r="C5" s="112" t="s">
        <v>1254</v>
      </c>
      <c r="D5" s="112" t="s">
        <v>1257</v>
      </c>
      <c r="E5" s="112" t="s">
        <v>1260</v>
      </c>
      <c r="F5" s="112" t="s">
        <v>1263</v>
      </c>
    </row>
    <row r="6" spans="1:6" x14ac:dyDescent="0.25">
      <c r="A6" s="112" t="s">
        <v>1270</v>
      </c>
      <c r="B6" s="113"/>
      <c r="C6" s="114" t="s">
        <v>1255</v>
      </c>
      <c r="D6" s="114" t="s">
        <v>1258</v>
      </c>
      <c r="E6" s="114" t="s">
        <v>1261</v>
      </c>
      <c r="F6" s="114" t="s">
        <v>1264</v>
      </c>
    </row>
    <row r="7" spans="1:6" x14ac:dyDescent="0.25">
      <c r="A7" s="112" t="s">
        <v>1271</v>
      </c>
      <c r="B7" s="113"/>
      <c r="C7" s="114" t="s">
        <v>1256</v>
      </c>
      <c r="D7" s="114" t="s">
        <v>1259</v>
      </c>
      <c r="E7" s="114" t="s">
        <v>1262</v>
      </c>
      <c r="F7" s="114" t="s">
        <v>1256</v>
      </c>
    </row>
    <row r="8" spans="1:6" x14ac:dyDescent="0.25">
      <c r="A8" s="112" t="s">
        <v>1272</v>
      </c>
      <c r="B8" s="115">
        <f>SUM(C8:F8)</f>
        <v>32138.070000000007</v>
      </c>
      <c r="C8" s="115">
        <v>7783.45</v>
      </c>
      <c r="D8" s="115">
        <v>9664.760000000002</v>
      </c>
      <c r="E8" s="115">
        <v>3150.25</v>
      </c>
      <c r="F8" s="115">
        <v>11539.610000000002</v>
      </c>
    </row>
    <row r="9" spans="1:6" x14ac:dyDescent="0.25">
      <c r="A9" s="112" t="s">
        <v>42</v>
      </c>
      <c r="B9" s="113"/>
      <c r="C9" s="113"/>
      <c r="D9" s="113"/>
      <c r="E9" s="113"/>
      <c r="F9" s="113"/>
    </row>
    <row r="10" spans="1:6" x14ac:dyDescent="0.25">
      <c r="A10" s="112" t="s">
        <v>1273</v>
      </c>
      <c r="B10" s="59">
        <f>SUM(C10:F10)</f>
        <v>0</v>
      </c>
      <c r="C10" s="115">
        <f>objecturenhf1_1</f>
        <v>0</v>
      </c>
      <c r="D10" s="115">
        <f>objecturenhf2_1</f>
        <v>0</v>
      </c>
      <c r="E10" s="115">
        <f>objecturenhf3_1</f>
        <v>0</v>
      </c>
      <c r="F10" s="115">
        <f>objecturenhf4_1</f>
        <v>0</v>
      </c>
    </row>
    <row r="11" spans="1:6" x14ac:dyDescent="0.25">
      <c r="A11" s="112" t="s">
        <v>1274</v>
      </c>
      <c r="B11" s="59">
        <f>SUM(C11:F11)</f>
        <v>0</v>
      </c>
      <c r="C11" s="59">
        <f>objecturen1_1</f>
        <v>0</v>
      </c>
      <c r="D11" s="59">
        <f>objecturen2_1</f>
        <v>0</v>
      </c>
      <c r="E11" s="59">
        <f>objecturen3_1</f>
        <v>0</v>
      </c>
      <c r="F11" s="59">
        <f>objecturen4_1</f>
        <v>0</v>
      </c>
    </row>
    <row r="12" spans="1:6" ht="23" x14ac:dyDescent="0.25">
      <c r="A12" s="112" t="s">
        <v>1275</v>
      </c>
      <c r="B12" s="59">
        <f>IF(AND(urenjaartotaal1&gt;0,dagenperjaar1&gt;0),B8/(urenjaartotaal1/dagenperjaar1),0)</f>
        <v>0</v>
      </c>
      <c r="C12" s="59">
        <f>IF(AND(objecturen1_1&gt;0,dagenperjaar1&gt;0),C8/(objecturen1_1/dagenperjaar1),0)</f>
        <v>0</v>
      </c>
      <c r="D12" s="59">
        <f>IF(AND(objecturen2_1&gt;0,dagenperjaar1&gt;0),D8/(objecturen2_1/dagenperjaar1),0)</f>
        <v>0</v>
      </c>
      <c r="E12" s="59">
        <f>IF(AND(objecturen3_1&gt;0,dagenperjaar1&gt;0),E8/(objecturen3_1/dagenperjaar1),0)</f>
        <v>0</v>
      </c>
      <c r="F12" s="59">
        <f>IF(AND(objecturen4_1&gt;0,dagenperjaar1&gt;0),F8/(objecturen4_1/dagenperjaar1),0)</f>
        <v>0</v>
      </c>
    </row>
    <row r="13" spans="1:6" x14ac:dyDescent="0.25">
      <c r="A13" s="112" t="s">
        <v>1276</v>
      </c>
      <c r="B13" s="50">
        <f>SUM(C13:F13)</f>
        <v>0</v>
      </c>
      <c r="C13" s="50">
        <f>objectprijs1_1</f>
        <v>0</v>
      </c>
      <c r="D13" s="50">
        <f>objectprijs2_1</f>
        <v>0</v>
      </c>
      <c r="E13" s="50">
        <f>objectprijs3_1</f>
        <v>0</v>
      </c>
      <c r="F13" s="50">
        <f>objectprijs4_1</f>
        <v>0</v>
      </c>
    </row>
    <row r="14" spans="1:6" x14ac:dyDescent="0.25">
      <c r="A14" s="112" t="s">
        <v>1277</v>
      </c>
      <c r="B14" s="50">
        <f>SUM(C14:F14)</f>
        <v>0</v>
      </c>
      <c r="C14" s="50">
        <f>C13/12</f>
        <v>0</v>
      </c>
      <c r="D14" s="50">
        <f>D13/12</f>
        <v>0</v>
      </c>
      <c r="E14" s="50">
        <f>E13/12</f>
        <v>0</v>
      </c>
      <c r="F14" s="50">
        <f>F13/12</f>
        <v>0</v>
      </c>
    </row>
    <row r="15" spans="1:6" x14ac:dyDescent="0.25">
      <c r="A15" s="112" t="s">
        <v>1278</v>
      </c>
      <c r="B15" s="50">
        <f>SUM(C15:F15)</f>
        <v>0</v>
      </c>
      <c r="C15" s="50">
        <f>C14*1.21</f>
        <v>0</v>
      </c>
      <c r="D15" s="50">
        <f>D14*1.21</f>
        <v>0</v>
      </c>
      <c r="E15" s="50">
        <f>E14*1.21</f>
        <v>0</v>
      </c>
      <c r="F15" s="50">
        <f>F14*1.21</f>
        <v>0</v>
      </c>
    </row>
    <row r="16" spans="1:6" x14ac:dyDescent="0.25">
      <c r="A16" s="112" t="s">
        <v>42</v>
      </c>
      <c r="B16" s="113"/>
      <c r="C16" s="113"/>
      <c r="D16" s="113"/>
      <c r="E16" s="113"/>
      <c r="F16" s="113"/>
    </row>
    <row r="17" spans="1:6" x14ac:dyDescent="0.25">
      <c r="A17" s="112" t="s">
        <v>42</v>
      </c>
      <c r="B17" s="113"/>
      <c r="C17" s="113"/>
      <c r="D17" s="113"/>
      <c r="E17" s="113"/>
      <c r="F17" s="113"/>
    </row>
    <row r="18" spans="1:6" x14ac:dyDescent="0.25">
      <c r="A18" s="116" t="s">
        <v>1279</v>
      </c>
      <c r="B18" s="55">
        <f>IF(B8&gt;0,B13/B8,0)</f>
        <v>0</v>
      </c>
      <c r="C18" s="55">
        <f>IF(C8&gt;0,C13/C8,0)</f>
        <v>0</v>
      </c>
      <c r="D18" s="55">
        <f>IF(D8&gt;0,D13/D8,0)</f>
        <v>0</v>
      </c>
      <c r="E18" s="55">
        <f>IF(E8&gt;0,E13/E8,0)</f>
        <v>0</v>
      </c>
      <c r="F18" s="55">
        <f>IF(F8&gt;0,F13/F8,0)</f>
        <v>0</v>
      </c>
    </row>
  </sheetData>
  <sheetProtection algorithmName="SHA-512" hashValue="tDeL0XYYUxNPBc86jmFzkUAgsnmELRl7BSsNv3uyuKLYk/j0c5xnYjbxMZf7ErwIJN2qUYCX8w7/UJ1sZqOccw==" saltValue="8JnLsnmO2TIJJtwJLgJZDA==" spinCount="100000" sheet="1" objects="1" scenarios="1" autoFilter="0"/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6ABD-F0BB-487E-93C4-BB14710B99A8}">
  <dimension ref="A1:E94"/>
  <sheetViews>
    <sheetView workbookViewId="0">
      <selection activeCell="C25" sqref="C25"/>
    </sheetView>
  </sheetViews>
  <sheetFormatPr defaultColWidth="8.90625" defaultRowHeight="11.5" x14ac:dyDescent="0.25"/>
  <cols>
    <col min="1" max="1" width="7.6328125" style="2" customWidth="1"/>
    <col min="2" max="2" width="40.6328125" style="2" customWidth="1"/>
    <col min="3" max="3" width="18.6328125" style="2" customWidth="1"/>
    <col min="4" max="4" width="20.6328125" style="2" customWidth="1"/>
    <col min="5" max="5" width="15.6328125" style="2" customWidth="1"/>
    <col min="6" max="16384" width="8.90625" style="2"/>
  </cols>
  <sheetData>
    <row r="1" spans="1:5" x14ac:dyDescent="0.25">
      <c r="A1" s="1" t="str">
        <f>CONCATENATE("Bijlage 7.1.6: ",tabeltype," afroep incidenteel")</f>
        <v>Bijlage 7.1.6: Invultabel afroep incidenteel</v>
      </c>
    </row>
    <row r="3" spans="1:5" ht="23" x14ac:dyDescent="0.25">
      <c r="A3" s="34" t="s">
        <v>1281</v>
      </c>
      <c r="B3" s="34" t="s">
        <v>100</v>
      </c>
      <c r="C3" s="34" t="s">
        <v>103</v>
      </c>
      <c r="D3" s="34" t="s">
        <v>1282</v>
      </c>
      <c r="E3" s="34" t="s">
        <v>1283</v>
      </c>
    </row>
    <row r="4" spans="1:5" x14ac:dyDescent="0.25">
      <c r="A4" s="35"/>
      <c r="B4" s="36"/>
      <c r="C4" s="36"/>
      <c r="D4" s="36"/>
      <c r="E4" s="37"/>
    </row>
    <row r="5" spans="1:5" x14ac:dyDescent="0.25">
      <c r="A5" s="38" t="s">
        <v>105</v>
      </c>
      <c r="B5" s="39"/>
      <c r="C5" s="39"/>
      <c r="D5" s="39"/>
      <c r="E5" s="40"/>
    </row>
    <row r="6" spans="1:5" x14ac:dyDescent="0.25">
      <c r="A6" s="41" t="s">
        <v>1284</v>
      </c>
      <c r="B6" s="41" t="s">
        <v>1285</v>
      </c>
      <c r="C6" s="41" t="s">
        <v>1286</v>
      </c>
      <c r="D6" s="41" t="s">
        <v>1287</v>
      </c>
      <c r="E6" s="117"/>
    </row>
    <row r="7" spans="1:5" x14ac:dyDescent="0.25">
      <c r="A7" s="46" t="s">
        <v>1288</v>
      </c>
      <c r="B7" s="46" t="s">
        <v>1285</v>
      </c>
      <c r="C7" s="46" t="s">
        <v>1286</v>
      </c>
      <c r="D7" s="46" t="s">
        <v>1289</v>
      </c>
      <c r="E7" s="118"/>
    </row>
    <row r="8" spans="1:5" x14ac:dyDescent="0.25">
      <c r="A8" s="46" t="s">
        <v>1290</v>
      </c>
      <c r="B8" s="46" t="s">
        <v>1285</v>
      </c>
      <c r="C8" s="46" t="s">
        <v>1286</v>
      </c>
      <c r="D8" s="46" t="s">
        <v>1291</v>
      </c>
      <c r="E8" s="118"/>
    </row>
    <row r="9" spans="1:5" x14ac:dyDescent="0.25">
      <c r="A9" s="46" t="s">
        <v>1292</v>
      </c>
      <c r="B9" s="46" t="s">
        <v>1285</v>
      </c>
      <c r="C9" s="46" t="s">
        <v>1286</v>
      </c>
      <c r="D9" s="46" t="s">
        <v>1293</v>
      </c>
      <c r="E9" s="118"/>
    </row>
    <row r="10" spans="1:5" x14ac:dyDescent="0.25">
      <c r="A10" s="46" t="s">
        <v>1294</v>
      </c>
      <c r="B10" s="46" t="s">
        <v>1295</v>
      </c>
      <c r="C10" s="46" t="s">
        <v>1286</v>
      </c>
      <c r="D10" s="46" t="s">
        <v>1287</v>
      </c>
      <c r="E10" s="118"/>
    </row>
    <row r="11" spans="1:5" x14ac:dyDescent="0.25">
      <c r="A11" s="46" t="s">
        <v>1296</v>
      </c>
      <c r="B11" s="46" t="s">
        <v>1295</v>
      </c>
      <c r="C11" s="46" t="s">
        <v>1286</v>
      </c>
      <c r="D11" s="46" t="s">
        <v>1289</v>
      </c>
      <c r="E11" s="118"/>
    </row>
    <row r="12" spans="1:5" x14ac:dyDescent="0.25">
      <c r="A12" s="46" t="s">
        <v>1297</v>
      </c>
      <c r="B12" s="46" t="s">
        <v>1295</v>
      </c>
      <c r="C12" s="46" t="s">
        <v>1286</v>
      </c>
      <c r="D12" s="46" t="s">
        <v>1291</v>
      </c>
      <c r="E12" s="118"/>
    </row>
    <row r="13" spans="1:5" x14ac:dyDescent="0.25">
      <c r="A13" s="46" t="s">
        <v>1298</v>
      </c>
      <c r="B13" s="46" t="s">
        <v>1295</v>
      </c>
      <c r="C13" s="46" t="s">
        <v>1286</v>
      </c>
      <c r="D13" s="46" t="s">
        <v>1293</v>
      </c>
      <c r="E13" s="118"/>
    </row>
    <row r="14" spans="1:5" x14ac:dyDescent="0.25">
      <c r="A14" s="46" t="s">
        <v>1299</v>
      </c>
      <c r="B14" s="46" t="s">
        <v>1300</v>
      </c>
      <c r="C14" s="46" t="s">
        <v>1286</v>
      </c>
      <c r="D14" s="46" t="s">
        <v>1287</v>
      </c>
      <c r="E14" s="118"/>
    </row>
    <row r="15" spans="1:5" x14ac:dyDescent="0.25">
      <c r="A15" s="46" t="s">
        <v>1301</v>
      </c>
      <c r="B15" s="46" t="s">
        <v>1300</v>
      </c>
      <c r="C15" s="46" t="s">
        <v>1286</v>
      </c>
      <c r="D15" s="46" t="s">
        <v>1289</v>
      </c>
      <c r="E15" s="118"/>
    </row>
    <row r="16" spans="1:5" x14ac:dyDescent="0.25">
      <c r="A16" s="46" t="s">
        <v>1302</v>
      </c>
      <c r="B16" s="46" t="s">
        <v>1300</v>
      </c>
      <c r="C16" s="46" t="s">
        <v>1286</v>
      </c>
      <c r="D16" s="46" t="s">
        <v>1291</v>
      </c>
      <c r="E16" s="118"/>
    </row>
    <row r="17" spans="1:5" x14ac:dyDescent="0.25">
      <c r="A17" s="46" t="s">
        <v>1303</v>
      </c>
      <c r="B17" s="46" t="s">
        <v>1300</v>
      </c>
      <c r="C17" s="46" t="s">
        <v>1286</v>
      </c>
      <c r="D17" s="46" t="s">
        <v>1293</v>
      </c>
      <c r="E17" s="118"/>
    </row>
    <row r="18" spans="1:5" x14ac:dyDescent="0.25">
      <c r="A18" s="46" t="s">
        <v>1304</v>
      </c>
      <c r="B18" s="46" t="s">
        <v>1305</v>
      </c>
      <c r="C18" s="46" t="s">
        <v>1306</v>
      </c>
      <c r="D18" s="46" t="s">
        <v>1307</v>
      </c>
      <c r="E18" s="118"/>
    </row>
    <row r="19" spans="1:5" x14ac:dyDescent="0.25">
      <c r="A19" s="46" t="s">
        <v>1308</v>
      </c>
      <c r="B19" s="46" t="s">
        <v>1305</v>
      </c>
      <c r="C19" s="46" t="s">
        <v>1306</v>
      </c>
      <c r="D19" s="46" t="s">
        <v>1309</v>
      </c>
      <c r="E19" s="118"/>
    </row>
    <row r="20" spans="1:5" x14ac:dyDescent="0.25">
      <c r="A20" s="46" t="s">
        <v>1310</v>
      </c>
      <c r="B20" s="46" t="s">
        <v>1305</v>
      </c>
      <c r="C20" s="46" t="s">
        <v>1306</v>
      </c>
      <c r="D20" s="46" t="s">
        <v>1311</v>
      </c>
      <c r="E20" s="118"/>
    </row>
    <row r="21" spans="1:5" x14ac:dyDescent="0.25">
      <c r="A21" s="46" t="s">
        <v>1312</v>
      </c>
      <c r="B21" s="46" t="s">
        <v>1305</v>
      </c>
      <c r="C21" s="46" t="s">
        <v>1306</v>
      </c>
      <c r="D21" s="46" t="s">
        <v>1313</v>
      </c>
      <c r="E21" s="118"/>
    </row>
    <row r="22" spans="1:5" x14ac:dyDescent="0.25">
      <c r="A22" s="46" t="s">
        <v>1314</v>
      </c>
      <c r="B22" s="46" t="s">
        <v>1315</v>
      </c>
      <c r="C22" s="46" t="s">
        <v>1306</v>
      </c>
      <c r="D22" s="46" t="s">
        <v>1307</v>
      </c>
      <c r="E22" s="118"/>
    </row>
    <row r="23" spans="1:5" x14ac:dyDescent="0.25">
      <c r="A23" s="46" t="s">
        <v>1316</v>
      </c>
      <c r="B23" s="46" t="s">
        <v>1315</v>
      </c>
      <c r="C23" s="46" t="s">
        <v>1306</v>
      </c>
      <c r="D23" s="46" t="s">
        <v>1309</v>
      </c>
      <c r="E23" s="118"/>
    </row>
    <row r="24" spans="1:5" x14ac:dyDescent="0.25">
      <c r="A24" s="46" t="s">
        <v>1317</v>
      </c>
      <c r="B24" s="46" t="s">
        <v>1315</v>
      </c>
      <c r="C24" s="46" t="s">
        <v>1306</v>
      </c>
      <c r="D24" s="46" t="s">
        <v>1311</v>
      </c>
      <c r="E24" s="118"/>
    </row>
    <row r="25" spans="1:5" x14ac:dyDescent="0.25">
      <c r="A25" s="46" t="s">
        <v>1318</v>
      </c>
      <c r="B25" s="46" t="s">
        <v>1315</v>
      </c>
      <c r="C25" s="46" t="s">
        <v>1306</v>
      </c>
      <c r="D25" s="46" t="s">
        <v>1313</v>
      </c>
      <c r="E25" s="118"/>
    </row>
    <row r="26" spans="1:5" x14ac:dyDescent="0.25">
      <c r="A26" s="46" t="s">
        <v>1319</v>
      </c>
      <c r="B26" s="46" t="s">
        <v>1320</v>
      </c>
      <c r="C26" s="46" t="s">
        <v>1306</v>
      </c>
      <c r="D26" s="46" t="s">
        <v>1307</v>
      </c>
      <c r="E26" s="118"/>
    </row>
    <row r="27" spans="1:5" x14ac:dyDescent="0.25">
      <c r="A27" s="46" t="s">
        <v>1321</v>
      </c>
      <c r="B27" s="46" t="s">
        <v>1320</v>
      </c>
      <c r="C27" s="46" t="s">
        <v>1306</v>
      </c>
      <c r="D27" s="46" t="s">
        <v>1309</v>
      </c>
      <c r="E27" s="118"/>
    </row>
    <row r="28" spans="1:5" x14ac:dyDescent="0.25">
      <c r="A28" s="46" t="s">
        <v>1322</v>
      </c>
      <c r="B28" s="46" t="s">
        <v>1320</v>
      </c>
      <c r="C28" s="46" t="s">
        <v>1306</v>
      </c>
      <c r="D28" s="46" t="s">
        <v>1311</v>
      </c>
      <c r="E28" s="118"/>
    </row>
    <row r="29" spans="1:5" x14ac:dyDescent="0.25">
      <c r="A29" s="46" t="s">
        <v>1323</v>
      </c>
      <c r="B29" s="46" t="s">
        <v>1320</v>
      </c>
      <c r="C29" s="46" t="s">
        <v>1306</v>
      </c>
      <c r="D29" s="46" t="s">
        <v>1313</v>
      </c>
      <c r="E29" s="118"/>
    </row>
    <row r="30" spans="1:5" x14ac:dyDescent="0.25">
      <c r="A30" s="46" t="s">
        <v>1324</v>
      </c>
      <c r="B30" s="46" t="s">
        <v>1325</v>
      </c>
      <c r="C30" s="46" t="s">
        <v>1306</v>
      </c>
      <c r="D30" s="46" t="s">
        <v>42</v>
      </c>
      <c r="E30" s="118"/>
    </row>
    <row r="31" spans="1:5" x14ac:dyDescent="0.25">
      <c r="A31" s="46" t="s">
        <v>1326</v>
      </c>
      <c r="B31" s="46" t="s">
        <v>1327</v>
      </c>
      <c r="C31" s="46" t="s">
        <v>1328</v>
      </c>
      <c r="D31" s="46" t="s">
        <v>42</v>
      </c>
      <c r="E31" s="118"/>
    </row>
    <row r="32" spans="1:5" x14ac:dyDescent="0.25">
      <c r="A32" s="46" t="s">
        <v>1329</v>
      </c>
      <c r="B32" s="46" t="s">
        <v>1330</v>
      </c>
      <c r="C32" s="46" t="s">
        <v>1306</v>
      </c>
      <c r="D32" s="46" t="s">
        <v>1331</v>
      </c>
      <c r="E32" s="118"/>
    </row>
    <row r="33" spans="1:5" x14ac:dyDescent="0.25">
      <c r="A33" s="46" t="s">
        <v>1332</v>
      </c>
      <c r="B33" s="46" t="s">
        <v>1330</v>
      </c>
      <c r="C33" s="46" t="s">
        <v>1306</v>
      </c>
      <c r="D33" s="46" t="s">
        <v>1333</v>
      </c>
      <c r="E33" s="118"/>
    </row>
    <row r="34" spans="1:5" x14ac:dyDescent="0.25">
      <c r="A34" s="46" t="s">
        <v>1334</v>
      </c>
      <c r="B34" s="46" t="s">
        <v>1330</v>
      </c>
      <c r="C34" s="46" t="s">
        <v>1306</v>
      </c>
      <c r="D34" s="46" t="s">
        <v>1335</v>
      </c>
      <c r="E34" s="118"/>
    </row>
    <row r="35" spans="1:5" x14ac:dyDescent="0.25">
      <c r="A35" s="46" t="s">
        <v>1336</v>
      </c>
      <c r="B35" s="46" t="s">
        <v>1330</v>
      </c>
      <c r="C35" s="46" t="s">
        <v>1306</v>
      </c>
      <c r="D35" s="46" t="s">
        <v>1337</v>
      </c>
      <c r="E35" s="118"/>
    </row>
    <row r="36" spans="1:5" x14ac:dyDescent="0.25">
      <c r="A36" s="46" t="s">
        <v>1338</v>
      </c>
      <c r="B36" s="46" t="s">
        <v>1339</v>
      </c>
      <c r="C36" s="46" t="s">
        <v>1306</v>
      </c>
      <c r="D36" s="46" t="s">
        <v>1331</v>
      </c>
      <c r="E36" s="118"/>
    </row>
    <row r="37" spans="1:5" x14ac:dyDescent="0.25">
      <c r="A37" s="46" t="s">
        <v>1340</v>
      </c>
      <c r="B37" s="46" t="s">
        <v>1339</v>
      </c>
      <c r="C37" s="46" t="s">
        <v>1306</v>
      </c>
      <c r="D37" s="46" t="s">
        <v>1333</v>
      </c>
      <c r="E37" s="118"/>
    </row>
    <row r="38" spans="1:5" x14ac:dyDescent="0.25">
      <c r="A38" s="46" t="s">
        <v>1341</v>
      </c>
      <c r="B38" s="46" t="s">
        <v>1339</v>
      </c>
      <c r="C38" s="46" t="s">
        <v>1306</v>
      </c>
      <c r="D38" s="46" t="s">
        <v>1335</v>
      </c>
      <c r="E38" s="118"/>
    </row>
    <row r="39" spans="1:5" x14ac:dyDescent="0.25">
      <c r="A39" s="46" t="s">
        <v>1342</v>
      </c>
      <c r="B39" s="46" t="s">
        <v>1339</v>
      </c>
      <c r="C39" s="46" t="s">
        <v>1306</v>
      </c>
      <c r="D39" s="46" t="s">
        <v>1337</v>
      </c>
      <c r="E39" s="118"/>
    </row>
    <row r="40" spans="1:5" x14ac:dyDescent="0.25">
      <c r="A40" s="46" t="s">
        <v>1343</v>
      </c>
      <c r="B40" s="46" t="s">
        <v>1344</v>
      </c>
      <c r="C40" s="46" t="s">
        <v>1306</v>
      </c>
      <c r="D40" s="46" t="s">
        <v>1331</v>
      </c>
      <c r="E40" s="118"/>
    </row>
    <row r="41" spans="1:5" x14ac:dyDescent="0.25">
      <c r="A41" s="46" t="s">
        <v>1345</v>
      </c>
      <c r="B41" s="46" t="s">
        <v>1344</v>
      </c>
      <c r="C41" s="46" t="s">
        <v>1306</v>
      </c>
      <c r="D41" s="46" t="s">
        <v>1333</v>
      </c>
      <c r="E41" s="118"/>
    </row>
    <row r="42" spans="1:5" x14ac:dyDescent="0.25">
      <c r="A42" s="46" t="s">
        <v>1346</v>
      </c>
      <c r="B42" s="46" t="s">
        <v>1344</v>
      </c>
      <c r="C42" s="46" t="s">
        <v>1306</v>
      </c>
      <c r="D42" s="46" t="s">
        <v>1335</v>
      </c>
      <c r="E42" s="118"/>
    </row>
    <row r="43" spans="1:5" x14ac:dyDescent="0.25">
      <c r="A43" s="46" t="s">
        <v>1347</v>
      </c>
      <c r="B43" s="46" t="s">
        <v>1344</v>
      </c>
      <c r="C43" s="46" t="s">
        <v>1306</v>
      </c>
      <c r="D43" s="46" t="s">
        <v>1337</v>
      </c>
      <c r="E43" s="118"/>
    </row>
    <row r="44" spans="1:5" x14ac:dyDescent="0.25">
      <c r="A44" s="46" t="s">
        <v>1348</v>
      </c>
      <c r="B44" s="46" t="s">
        <v>1349</v>
      </c>
      <c r="C44" s="46" t="s">
        <v>1306</v>
      </c>
      <c r="D44" s="46" t="s">
        <v>1331</v>
      </c>
      <c r="E44" s="118"/>
    </row>
    <row r="45" spans="1:5" x14ac:dyDescent="0.25">
      <c r="A45" s="46" t="s">
        <v>1350</v>
      </c>
      <c r="B45" s="46" t="s">
        <v>1349</v>
      </c>
      <c r="C45" s="46" t="s">
        <v>1306</v>
      </c>
      <c r="D45" s="46" t="s">
        <v>1333</v>
      </c>
      <c r="E45" s="118"/>
    </row>
    <row r="46" spans="1:5" x14ac:dyDescent="0.25">
      <c r="A46" s="46" t="s">
        <v>1351</v>
      </c>
      <c r="B46" s="46" t="s">
        <v>1349</v>
      </c>
      <c r="C46" s="46" t="s">
        <v>1306</v>
      </c>
      <c r="D46" s="46" t="s">
        <v>1335</v>
      </c>
      <c r="E46" s="118"/>
    </row>
    <row r="47" spans="1:5" x14ac:dyDescent="0.25">
      <c r="A47" s="46" t="s">
        <v>1352</v>
      </c>
      <c r="B47" s="46" t="s">
        <v>1349</v>
      </c>
      <c r="C47" s="46" t="s">
        <v>1306</v>
      </c>
      <c r="D47" s="46" t="s">
        <v>1337</v>
      </c>
      <c r="E47" s="118"/>
    </row>
    <row r="48" spans="1:5" x14ac:dyDescent="0.25">
      <c r="A48" s="46" t="s">
        <v>1353</v>
      </c>
      <c r="B48" s="46" t="s">
        <v>1354</v>
      </c>
      <c r="C48" s="46" t="s">
        <v>1306</v>
      </c>
      <c r="D48" s="46" t="s">
        <v>1331</v>
      </c>
      <c r="E48" s="118"/>
    </row>
    <row r="49" spans="1:5" x14ac:dyDescent="0.25">
      <c r="A49" s="46" t="s">
        <v>1355</v>
      </c>
      <c r="B49" s="46" t="s">
        <v>1354</v>
      </c>
      <c r="C49" s="46" t="s">
        <v>1306</v>
      </c>
      <c r="D49" s="46" t="s">
        <v>1333</v>
      </c>
      <c r="E49" s="118"/>
    </row>
    <row r="50" spans="1:5" x14ac:dyDescent="0.25">
      <c r="A50" s="46" t="s">
        <v>1356</v>
      </c>
      <c r="B50" s="46" t="s">
        <v>1354</v>
      </c>
      <c r="C50" s="46" t="s">
        <v>1306</v>
      </c>
      <c r="D50" s="46" t="s">
        <v>1335</v>
      </c>
      <c r="E50" s="118"/>
    </row>
    <row r="51" spans="1:5" x14ac:dyDescent="0.25">
      <c r="A51" s="46" t="s">
        <v>1357</v>
      </c>
      <c r="B51" s="46" t="s">
        <v>1354</v>
      </c>
      <c r="C51" s="46" t="s">
        <v>1306</v>
      </c>
      <c r="D51" s="46" t="s">
        <v>1337</v>
      </c>
      <c r="E51" s="118"/>
    </row>
    <row r="52" spans="1:5" x14ac:dyDescent="0.25">
      <c r="A52" s="46" t="s">
        <v>1358</v>
      </c>
      <c r="B52" s="46" t="s">
        <v>1359</v>
      </c>
      <c r="C52" s="46" t="s">
        <v>1306</v>
      </c>
      <c r="D52" s="46" t="s">
        <v>1331</v>
      </c>
      <c r="E52" s="118"/>
    </row>
    <row r="53" spans="1:5" x14ac:dyDescent="0.25">
      <c r="A53" s="46" t="s">
        <v>1360</v>
      </c>
      <c r="B53" s="46" t="s">
        <v>1359</v>
      </c>
      <c r="C53" s="46" t="s">
        <v>1306</v>
      </c>
      <c r="D53" s="46" t="s">
        <v>1333</v>
      </c>
      <c r="E53" s="118"/>
    </row>
    <row r="54" spans="1:5" x14ac:dyDescent="0.25">
      <c r="A54" s="46" t="s">
        <v>1361</v>
      </c>
      <c r="B54" s="46" t="s">
        <v>1359</v>
      </c>
      <c r="C54" s="46" t="s">
        <v>1306</v>
      </c>
      <c r="D54" s="46" t="s">
        <v>1335</v>
      </c>
      <c r="E54" s="118"/>
    </row>
    <row r="55" spans="1:5" x14ac:dyDescent="0.25">
      <c r="A55" s="46" t="s">
        <v>1362</v>
      </c>
      <c r="B55" s="46" t="s">
        <v>1359</v>
      </c>
      <c r="C55" s="46" t="s">
        <v>1306</v>
      </c>
      <c r="D55" s="46" t="s">
        <v>1337</v>
      </c>
      <c r="E55" s="118"/>
    </row>
    <row r="56" spans="1:5" x14ac:dyDescent="0.25">
      <c r="A56" s="46" t="s">
        <v>1363</v>
      </c>
      <c r="B56" s="46" t="s">
        <v>1364</v>
      </c>
      <c r="C56" s="46" t="s">
        <v>1306</v>
      </c>
      <c r="D56" s="46" t="s">
        <v>1331</v>
      </c>
      <c r="E56" s="118"/>
    </row>
    <row r="57" spans="1:5" x14ac:dyDescent="0.25">
      <c r="A57" s="46" t="s">
        <v>1365</v>
      </c>
      <c r="B57" s="46" t="s">
        <v>1364</v>
      </c>
      <c r="C57" s="46" t="s">
        <v>1306</v>
      </c>
      <c r="D57" s="46" t="s">
        <v>1333</v>
      </c>
      <c r="E57" s="118"/>
    </row>
    <row r="58" spans="1:5" x14ac:dyDescent="0.25">
      <c r="A58" s="46" t="s">
        <v>1366</v>
      </c>
      <c r="B58" s="46" t="s">
        <v>1364</v>
      </c>
      <c r="C58" s="46" t="s">
        <v>1306</v>
      </c>
      <c r="D58" s="46" t="s">
        <v>1335</v>
      </c>
      <c r="E58" s="118"/>
    </row>
    <row r="59" spans="1:5" x14ac:dyDescent="0.25">
      <c r="A59" s="46" t="s">
        <v>1367</v>
      </c>
      <c r="B59" s="46" t="s">
        <v>1364</v>
      </c>
      <c r="C59" s="46" t="s">
        <v>1306</v>
      </c>
      <c r="D59" s="46" t="s">
        <v>1337</v>
      </c>
      <c r="E59" s="118"/>
    </row>
    <row r="60" spans="1:5" x14ac:dyDescent="0.25">
      <c r="A60" s="46" t="s">
        <v>1368</v>
      </c>
      <c r="B60" s="46" t="s">
        <v>1369</v>
      </c>
      <c r="C60" s="46" t="s">
        <v>1306</v>
      </c>
      <c r="D60" s="46" t="s">
        <v>1331</v>
      </c>
      <c r="E60" s="118"/>
    </row>
    <row r="61" spans="1:5" x14ac:dyDescent="0.25">
      <c r="A61" s="46" t="s">
        <v>1370</v>
      </c>
      <c r="B61" s="46" t="s">
        <v>1369</v>
      </c>
      <c r="C61" s="46" t="s">
        <v>1306</v>
      </c>
      <c r="D61" s="46" t="s">
        <v>1333</v>
      </c>
      <c r="E61" s="118"/>
    </row>
    <row r="62" spans="1:5" x14ac:dyDescent="0.25">
      <c r="A62" s="46" t="s">
        <v>1371</v>
      </c>
      <c r="B62" s="46" t="s">
        <v>1369</v>
      </c>
      <c r="C62" s="46" t="s">
        <v>1306</v>
      </c>
      <c r="D62" s="46" t="s">
        <v>1335</v>
      </c>
      <c r="E62" s="118"/>
    </row>
    <row r="63" spans="1:5" x14ac:dyDescent="0.25">
      <c r="A63" s="46" t="s">
        <v>1372</v>
      </c>
      <c r="B63" s="46" t="s">
        <v>1369</v>
      </c>
      <c r="C63" s="46" t="s">
        <v>1306</v>
      </c>
      <c r="D63" s="46" t="s">
        <v>1337</v>
      </c>
      <c r="E63" s="118"/>
    </row>
    <row r="64" spans="1:5" x14ac:dyDescent="0.25">
      <c r="A64" s="46" t="s">
        <v>1373</v>
      </c>
      <c r="B64" s="46" t="s">
        <v>1374</v>
      </c>
      <c r="C64" s="46" t="s">
        <v>1306</v>
      </c>
      <c r="D64" s="46" t="s">
        <v>1331</v>
      </c>
      <c r="E64" s="118"/>
    </row>
    <row r="65" spans="1:5" x14ac:dyDescent="0.25">
      <c r="A65" s="46" t="s">
        <v>1375</v>
      </c>
      <c r="B65" s="46" t="s">
        <v>1374</v>
      </c>
      <c r="C65" s="46" t="s">
        <v>1306</v>
      </c>
      <c r="D65" s="46" t="s">
        <v>1333</v>
      </c>
      <c r="E65" s="118"/>
    </row>
    <row r="66" spans="1:5" x14ac:dyDescent="0.25">
      <c r="A66" s="46" t="s">
        <v>1376</v>
      </c>
      <c r="B66" s="46" t="s">
        <v>1374</v>
      </c>
      <c r="C66" s="46" t="s">
        <v>1306</v>
      </c>
      <c r="D66" s="46" t="s">
        <v>1335</v>
      </c>
      <c r="E66" s="118"/>
    </row>
    <row r="67" spans="1:5" x14ac:dyDescent="0.25">
      <c r="A67" s="46" t="s">
        <v>1377</v>
      </c>
      <c r="B67" s="46" t="s">
        <v>1374</v>
      </c>
      <c r="C67" s="46" t="s">
        <v>1306</v>
      </c>
      <c r="D67" s="46" t="s">
        <v>1337</v>
      </c>
      <c r="E67" s="118"/>
    </row>
    <row r="68" spans="1:5" x14ac:dyDescent="0.25">
      <c r="A68" s="46" t="s">
        <v>1378</v>
      </c>
      <c r="B68" s="46" t="s">
        <v>1379</v>
      </c>
      <c r="C68" s="46" t="s">
        <v>1306</v>
      </c>
      <c r="D68" s="46" t="s">
        <v>1331</v>
      </c>
      <c r="E68" s="118"/>
    </row>
    <row r="69" spans="1:5" x14ac:dyDescent="0.25">
      <c r="A69" s="46" t="s">
        <v>1380</v>
      </c>
      <c r="B69" s="46" t="s">
        <v>1379</v>
      </c>
      <c r="C69" s="46" t="s">
        <v>1306</v>
      </c>
      <c r="D69" s="46" t="s">
        <v>1333</v>
      </c>
      <c r="E69" s="118"/>
    </row>
    <row r="70" spans="1:5" x14ac:dyDescent="0.25">
      <c r="A70" s="46" t="s">
        <v>1381</v>
      </c>
      <c r="B70" s="46" t="s">
        <v>1379</v>
      </c>
      <c r="C70" s="46" t="s">
        <v>1306</v>
      </c>
      <c r="D70" s="46" t="s">
        <v>1335</v>
      </c>
      <c r="E70" s="118"/>
    </row>
    <row r="71" spans="1:5" x14ac:dyDescent="0.25">
      <c r="A71" s="46" t="s">
        <v>1382</v>
      </c>
      <c r="B71" s="46" t="s">
        <v>1379</v>
      </c>
      <c r="C71" s="46" t="s">
        <v>1306</v>
      </c>
      <c r="D71" s="46" t="s">
        <v>1337</v>
      </c>
      <c r="E71" s="118"/>
    </row>
    <row r="72" spans="1:5" x14ac:dyDescent="0.25">
      <c r="A72" s="46" t="s">
        <v>1383</v>
      </c>
      <c r="B72" s="46" t="s">
        <v>1384</v>
      </c>
      <c r="C72" s="46" t="s">
        <v>1306</v>
      </c>
      <c r="D72" s="46" t="s">
        <v>1331</v>
      </c>
      <c r="E72" s="118"/>
    </row>
    <row r="73" spans="1:5" x14ac:dyDescent="0.25">
      <c r="A73" s="46" t="s">
        <v>1385</v>
      </c>
      <c r="B73" s="46" t="s">
        <v>1384</v>
      </c>
      <c r="C73" s="46" t="s">
        <v>1306</v>
      </c>
      <c r="D73" s="46" t="s">
        <v>1333</v>
      </c>
      <c r="E73" s="118"/>
    </row>
    <row r="74" spans="1:5" x14ac:dyDescent="0.25">
      <c r="A74" s="46" t="s">
        <v>1386</v>
      </c>
      <c r="B74" s="46" t="s">
        <v>1384</v>
      </c>
      <c r="C74" s="46" t="s">
        <v>1306</v>
      </c>
      <c r="D74" s="46" t="s">
        <v>1335</v>
      </c>
      <c r="E74" s="118"/>
    </row>
    <row r="75" spans="1:5" x14ac:dyDescent="0.25">
      <c r="A75" s="46" t="s">
        <v>1387</v>
      </c>
      <c r="B75" s="46" t="s">
        <v>1384</v>
      </c>
      <c r="C75" s="46" t="s">
        <v>1306</v>
      </c>
      <c r="D75" s="46" t="s">
        <v>1337</v>
      </c>
      <c r="E75" s="118"/>
    </row>
    <row r="76" spans="1:5" x14ac:dyDescent="0.25">
      <c r="A76" s="46" t="s">
        <v>1388</v>
      </c>
      <c r="B76" s="46" t="s">
        <v>1389</v>
      </c>
      <c r="C76" s="46" t="s">
        <v>1306</v>
      </c>
      <c r="D76" s="46" t="s">
        <v>1331</v>
      </c>
      <c r="E76" s="118"/>
    </row>
    <row r="77" spans="1:5" x14ac:dyDescent="0.25">
      <c r="A77" s="46" t="s">
        <v>1390</v>
      </c>
      <c r="B77" s="46" t="s">
        <v>1389</v>
      </c>
      <c r="C77" s="46" t="s">
        <v>1306</v>
      </c>
      <c r="D77" s="46" t="s">
        <v>1333</v>
      </c>
      <c r="E77" s="118"/>
    </row>
    <row r="78" spans="1:5" x14ac:dyDescent="0.25">
      <c r="A78" s="46" t="s">
        <v>1391</v>
      </c>
      <c r="B78" s="46" t="s">
        <v>1389</v>
      </c>
      <c r="C78" s="46" t="s">
        <v>1306</v>
      </c>
      <c r="D78" s="46" t="s">
        <v>1335</v>
      </c>
      <c r="E78" s="118"/>
    </row>
    <row r="79" spans="1:5" x14ac:dyDescent="0.25">
      <c r="A79" s="46" t="s">
        <v>1392</v>
      </c>
      <c r="B79" s="46" t="s">
        <v>1389</v>
      </c>
      <c r="C79" s="46" t="s">
        <v>1306</v>
      </c>
      <c r="D79" s="46" t="s">
        <v>1337</v>
      </c>
      <c r="E79" s="118"/>
    </row>
    <row r="80" spans="1:5" x14ac:dyDescent="0.25">
      <c r="A80" s="46" t="s">
        <v>1393</v>
      </c>
      <c r="B80" s="46" t="s">
        <v>1394</v>
      </c>
      <c r="C80" s="46" t="s">
        <v>1306</v>
      </c>
      <c r="D80" s="46" t="s">
        <v>1331</v>
      </c>
      <c r="E80" s="118"/>
    </row>
    <row r="81" spans="1:5" x14ac:dyDescent="0.25">
      <c r="A81" s="46" t="s">
        <v>1395</v>
      </c>
      <c r="B81" s="46" t="s">
        <v>1394</v>
      </c>
      <c r="C81" s="46" t="s">
        <v>1306</v>
      </c>
      <c r="D81" s="46" t="s">
        <v>1333</v>
      </c>
      <c r="E81" s="118"/>
    </row>
    <row r="82" spans="1:5" x14ac:dyDescent="0.25">
      <c r="A82" s="46" t="s">
        <v>1396</v>
      </c>
      <c r="B82" s="46" t="s">
        <v>1394</v>
      </c>
      <c r="C82" s="46" t="s">
        <v>1306</v>
      </c>
      <c r="D82" s="46" t="s">
        <v>1335</v>
      </c>
      <c r="E82" s="118"/>
    </row>
    <row r="83" spans="1:5" x14ac:dyDescent="0.25">
      <c r="A83" s="46" t="s">
        <v>1397</v>
      </c>
      <c r="B83" s="46" t="s">
        <v>1394</v>
      </c>
      <c r="C83" s="46" t="s">
        <v>1306</v>
      </c>
      <c r="D83" s="46" t="s">
        <v>1337</v>
      </c>
      <c r="E83" s="118"/>
    </row>
    <row r="84" spans="1:5" x14ac:dyDescent="0.25">
      <c r="A84" s="46" t="s">
        <v>1398</v>
      </c>
      <c r="B84" s="46" t="s">
        <v>1399</v>
      </c>
      <c r="C84" s="46" t="s">
        <v>1306</v>
      </c>
      <c r="D84" s="46" t="s">
        <v>1331</v>
      </c>
      <c r="E84" s="118"/>
    </row>
    <row r="85" spans="1:5" x14ac:dyDescent="0.25">
      <c r="A85" s="46" t="s">
        <v>1400</v>
      </c>
      <c r="B85" s="46" t="s">
        <v>1399</v>
      </c>
      <c r="C85" s="46" t="s">
        <v>1306</v>
      </c>
      <c r="D85" s="46" t="s">
        <v>1333</v>
      </c>
      <c r="E85" s="118"/>
    </row>
    <row r="86" spans="1:5" x14ac:dyDescent="0.25">
      <c r="A86" s="46" t="s">
        <v>1401</v>
      </c>
      <c r="B86" s="46" t="s">
        <v>1399</v>
      </c>
      <c r="C86" s="46" t="s">
        <v>1306</v>
      </c>
      <c r="D86" s="46" t="s">
        <v>1335</v>
      </c>
      <c r="E86" s="118"/>
    </row>
    <row r="87" spans="1:5" x14ac:dyDescent="0.25">
      <c r="A87" s="46" t="s">
        <v>1402</v>
      </c>
      <c r="B87" s="46" t="s">
        <v>1399</v>
      </c>
      <c r="C87" s="46" t="s">
        <v>1306</v>
      </c>
      <c r="D87" s="46" t="s">
        <v>1337</v>
      </c>
      <c r="E87" s="118"/>
    </row>
    <row r="88" spans="1:5" x14ac:dyDescent="0.25">
      <c r="A88" s="46" t="s">
        <v>1403</v>
      </c>
      <c r="B88" s="46" t="s">
        <v>1404</v>
      </c>
      <c r="C88" s="46" t="s">
        <v>1306</v>
      </c>
      <c r="D88" s="46" t="s">
        <v>1331</v>
      </c>
      <c r="E88" s="118"/>
    </row>
    <row r="89" spans="1:5" x14ac:dyDescent="0.25">
      <c r="A89" s="46" t="s">
        <v>1405</v>
      </c>
      <c r="B89" s="46" t="s">
        <v>1404</v>
      </c>
      <c r="C89" s="46" t="s">
        <v>1306</v>
      </c>
      <c r="D89" s="46" t="s">
        <v>1333</v>
      </c>
      <c r="E89" s="118"/>
    </row>
    <row r="90" spans="1:5" x14ac:dyDescent="0.25">
      <c r="A90" s="46" t="s">
        <v>1406</v>
      </c>
      <c r="B90" s="46" t="s">
        <v>1404</v>
      </c>
      <c r="C90" s="46" t="s">
        <v>1306</v>
      </c>
      <c r="D90" s="46" t="s">
        <v>1335</v>
      </c>
      <c r="E90" s="118"/>
    </row>
    <row r="91" spans="1:5" x14ac:dyDescent="0.25">
      <c r="A91" s="51" t="s">
        <v>1407</v>
      </c>
      <c r="B91" s="51" t="s">
        <v>1404</v>
      </c>
      <c r="C91" s="51" t="s">
        <v>1306</v>
      </c>
      <c r="D91" s="51" t="s">
        <v>1337</v>
      </c>
      <c r="E91" s="119"/>
    </row>
    <row r="92" spans="1:5" x14ac:dyDescent="0.25">
      <c r="A92" s="65" t="s">
        <v>327</v>
      </c>
      <c r="B92" s="66"/>
      <c r="C92" s="66"/>
      <c r="D92" s="66"/>
      <c r="E92" s="120"/>
    </row>
    <row r="94" spans="1:5" x14ac:dyDescent="0.25">
      <c r="A94" s="65" t="s">
        <v>1408</v>
      </c>
      <c r="B94" s="66"/>
      <c r="C94" s="66"/>
      <c r="D94" s="66"/>
      <c r="E94" s="120"/>
    </row>
  </sheetData>
  <sheetProtection algorithmName="SHA-512" hashValue="GJqrbG/uJ4tIFbJdvO6f6RfBUNk47nXiD7D7FiK3wp4dXKnyVXU3VLWpruuOiaNi7JXzRMca2MV4J1DgXsXObA==" saltValue="8wfXxjHre8soPAQTA6GwsQ==" spinCount="100000" sheet="1" objects="1" scenarios="1" autoFilter="0"/>
  <pageMargins left="0.7" right="0.7" top="0.75" bottom="0.75" header="0.3" footer="0.3"/>
  <pageSetup paperSize="9" scale="65" orientation="landscape" horizontalDpi="300" verticalDpi="300" r:id="rId1"/>
  <headerFooter>
    <oddFooter>&amp;LOns Middelbaar Onderwijs                                    
CONCEPT PER 01-12-2025&amp;ROpmaakdatum: 24-11-2025
Intexso - Plantageweg 23E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43A6084500B40B98D8BA23D3B1C9F" ma:contentTypeVersion="3" ma:contentTypeDescription="Een nieuw document maken." ma:contentTypeScope="" ma:versionID="f12eacba8b63e18c8d141cc06b311f16">
  <xsd:schema xmlns:xsd="http://www.w3.org/2001/XMLSchema" xmlns:xs="http://www.w3.org/2001/XMLSchema" xmlns:p="http://schemas.microsoft.com/office/2006/metadata/properties" xmlns:ns2="533ff8bd-6564-4fcd-a2dd-30f900a3ecb7" targetNamespace="http://schemas.microsoft.com/office/2006/metadata/properties" ma:root="true" ma:fieldsID="aec49b2e7ecb2e9753c853da5e8213f3" ns2:_="">
    <xsd:import namespace="533ff8bd-6564-4fcd-a2dd-30f900a3e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ff8bd-6564-4fcd-a2dd-30f900a3e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0BF285-2900-4935-B960-92082AD1D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ff8bd-6564-4fcd-a2dd-30f900a3e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4C207A-D49D-43D4-B5DE-C6B9193CD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25E986-2427-4EAB-B3AA-521E8C63C422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533ff8bd-6564-4fcd-a2dd-30f900a3ecb7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678</vt:i4>
      </vt:variant>
    </vt:vector>
  </HeadingPairs>
  <TitlesOfParts>
    <vt:vector size="691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catdw_1_AFVB_1</vt:lpstr>
      <vt:lpstr>catdw_1_AFVV_41</vt:lpstr>
      <vt:lpstr>catdw_1_BKHB_1</vt:lpstr>
      <vt:lpstr>catdw_1_BKHV_41</vt:lpstr>
      <vt:lpstr>catdw_1_BKZB_1</vt:lpstr>
      <vt:lpstr>catdw_1_BKZV_41</vt:lpstr>
      <vt:lpstr>catdw_1_BVHB_1</vt:lpstr>
      <vt:lpstr>catdw_1_BVHV_41</vt:lpstr>
      <vt:lpstr>catdw_1_BVZB_1</vt:lpstr>
      <vt:lpstr>catdw_1_BVZV_41</vt:lpstr>
      <vt:lpstr>catdw_1_GFHB_1</vt:lpstr>
      <vt:lpstr>catdw_1_GFHV_20</vt:lpstr>
      <vt:lpstr>catdw_1_GFHV_41</vt:lpstr>
      <vt:lpstr>catdw_1_GSHB_1</vt:lpstr>
      <vt:lpstr>catdw_1_GSHV_41</vt:lpstr>
      <vt:lpstr>catdw_1_KAHB_1</vt:lpstr>
      <vt:lpstr>catdw_1_KAHV_41</vt:lpstr>
      <vt:lpstr>catdw_1_KDHB_1</vt:lpstr>
      <vt:lpstr>catdw_1_KDHV_41</vt:lpstr>
      <vt:lpstr>catdw_1_KDZB_1</vt:lpstr>
      <vt:lpstr>catdw_1_KDZV_41</vt:lpstr>
      <vt:lpstr>catdw_1_KPHB_1</vt:lpstr>
      <vt:lpstr>catdw_1_KPHV_41</vt:lpstr>
      <vt:lpstr>catdw_1_LAHB_1</vt:lpstr>
      <vt:lpstr>catdw_1_LAHV_41</vt:lpstr>
      <vt:lpstr>catdw_1_LLHB_1</vt:lpstr>
      <vt:lpstr>catdw_1_LLHV_41</vt:lpstr>
      <vt:lpstr>catdw_1_LLZB_1</vt:lpstr>
      <vt:lpstr>catdw_1_LLZV_41</vt:lpstr>
      <vt:lpstr>catdw_1_LOHB_1</vt:lpstr>
      <vt:lpstr>catdw_1_LOHV_41</vt:lpstr>
      <vt:lpstr>catdw_1_LOZB_1</vt:lpstr>
      <vt:lpstr>catdw_1_LOZV_41</vt:lpstr>
      <vt:lpstr>catdw_1_MAHB_1</vt:lpstr>
      <vt:lpstr>catdw_1_MAHV_41</vt:lpstr>
      <vt:lpstr>catdw_1_OAHB_1</vt:lpstr>
      <vt:lpstr>catdw_1_OAHV_12</vt:lpstr>
      <vt:lpstr>catdw_1_OAHV_41</vt:lpstr>
      <vt:lpstr>catdw_1_PAHB_1</vt:lpstr>
      <vt:lpstr>catdw_1_PAHV_41</vt:lpstr>
      <vt:lpstr>catdw_1_PKHB_1</vt:lpstr>
      <vt:lpstr>catdw_1_PKHV_41</vt:lpstr>
      <vt:lpstr>catdw_1_PLHB_1</vt:lpstr>
      <vt:lpstr>catdw_1_PLHV_41</vt:lpstr>
      <vt:lpstr>catdw_1_PSHB_1</vt:lpstr>
      <vt:lpstr>catdw_1_PSHV_41</vt:lpstr>
      <vt:lpstr>catdw_1_PSZB_1</vt:lpstr>
      <vt:lpstr>catdw_1_PSZV_41</vt:lpstr>
      <vt:lpstr>catdw_1_PWHB_1</vt:lpstr>
      <vt:lpstr>catdw_1_PWHV_41</vt:lpstr>
      <vt:lpstr>catdw_1_SDHB_1</vt:lpstr>
      <vt:lpstr>catdw_1_SDHV_41</vt:lpstr>
      <vt:lpstr>catdw_1_SKHB_1</vt:lpstr>
      <vt:lpstr>catdw_1_SKHV_41</vt:lpstr>
      <vt:lpstr>catdw_1_STHB_1</vt:lpstr>
      <vt:lpstr>catdw_1_STHV_41</vt:lpstr>
      <vt:lpstr>catdw_1_VAHB_1</vt:lpstr>
      <vt:lpstr>catdw_1_VAHV_41</vt:lpstr>
      <vt:lpstr>catdw_1_VAZB_1</vt:lpstr>
      <vt:lpstr>catdw_1_VAZV_41</vt:lpstr>
      <vt:lpstr>catdw_1_VEZB_1</vt:lpstr>
      <vt:lpstr>catdw_1_VEZV_41</vt:lpstr>
      <vt:lpstr>catdw_1_VLHB_1</vt:lpstr>
      <vt:lpstr>catdw_1_VLHV_41</vt:lpstr>
      <vt:lpstr>catdw_1_VOHB_1</vt:lpstr>
      <vt:lpstr>catdw_1_VOHV_41</vt:lpstr>
      <vt:lpstr>catdw_1_VTHB_1</vt:lpstr>
      <vt:lpstr>catdw_1_VTHV_12</vt:lpstr>
      <vt:lpstr>catdw_1_VTHV_41</vt:lpstr>
      <vt:lpstr>catdw_1_XDGB_1</vt:lpstr>
      <vt:lpstr>catfd_1_AFVB_1</vt:lpstr>
      <vt:lpstr>catfd_1_AFVV_41</vt:lpstr>
      <vt:lpstr>catfd_1_BKHB_1</vt:lpstr>
      <vt:lpstr>catfd_1_BKHV_41</vt:lpstr>
      <vt:lpstr>catfd_1_BKZB_1</vt:lpstr>
      <vt:lpstr>catfd_1_BKZV_41</vt:lpstr>
      <vt:lpstr>catfd_1_BVHB_1</vt:lpstr>
      <vt:lpstr>catfd_1_BVHV_41</vt:lpstr>
      <vt:lpstr>catfd_1_BVZB_1</vt:lpstr>
      <vt:lpstr>catfd_1_BVZV_41</vt:lpstr>
      <vt:lpstr>catfd_1_GFHB_1</vt:lpstr>
      <vt:lpstr>catfd_1_GFHV_20</vt:lpstr>
      <vt:lpstr>catfd_1_GFHV_41</vt:lpstr>
      <vt:lpstr>catfd_1_GSHB_1</vt:lpstr>
      <vt:lpstr>catfd_1_GSHV_41</vt:lpstr>
      <vt:lpstr>catfd_1_KAHB_1</vt:lpstr>
      <vt:lpstr>catfd_1_KAHV_41</vt:lpstr>
      <vt:lpstr>catfd_1_KDHB_1</vt:lpstr>
      <vt:lpstr>catfd_1_KDHV_41</vt:lpstr>
      <vt:lpstr>catfd_1_KDZB_1</vt:lpstr>
      <vt:lpstr>catfd_1_KDZV_41</vt:lpstr>
      <vt:lpstr>catfd_1_KPHB_1</vt:lpstr>
      <vt:lpstr>catfd_1_KPHV_41</vt:lpstr>
      <vt:lpstr>catfd_1_LAHB_1</vt:lpstr>
      <vt:lpstr>catfd_1_LAHV_41</vt:lpstr>
      <vt:lpstr>catfd_1_LLHB_1</vt:lpstr>
      <vt:lpstr>catfd_1_LLHV_41</vt:lpstr>
      <vt:lpstr>catfd_1_LLZB_1</vt:lpstr>
      <vt:lpstr>catfd_1_LLZV_41</vt:lpstr>
      <vt:lpstr>catfd_1_LOHB_1</vt:lpstr>
      <vt:lpstr>catfd_1_LOHV_41</vt:lpstr>
      <vt:lpstr>catfd_1_LOZB_1</vt:lpstr>
      <vt:lpstr>catfd_1_LOZV_41</vt:lpstr>
      <vt:lpstr>catfd_1_MAHB_1</vt:lpstr>
      <vt:lpstr>catfd_1_MAHV_41</vt:lpstr>
      <vt:lpstr>catfd_1_OAHB_1</vt:lpstr>
      <vt:lpstr>catfd_1_OAHV_12</vt:lpstr>
      <vt:lpstr>catfd_1_OAHV_41</vt:lpstr>
      <vt:lpstr>catfd_1_PAHB_1</vt:lpstr>
      <vt:lpstr>catfd_1_PAHV_41</vt:lpstr>
      <vt:lpstr>catfd_1_PKHB_1</vt:lpstr>
      <vt:lpstr>catfd_1_PKHV_41</vt:lpstr>
      <vt:lpstr>catfd_1_PLHB_1</vt:lpstr>
      <vt:lpstr>catfd_1_PLHV_41</vt:lpstr>
      <vt:lpstr>catfd_1_PSHB_1</vt:lpstr>
      <vt:lpstr>catfd_1_PSHV_41</vt:lpstr>
      <vt:lpstr>catfd_1_PSZB_1</vt:lpstr>
      <vt:lpstr>catfd_1_PSZV_41</vt:lpstr>
      <vt:lpstr>catfd_1_PWHB_1</vt:lpstr>
      <vt:lpstr>catfd_1_PWHV_41</vt:lpstr>
      <vt:lpstr>catfd_1_SDHB_1</vt:lpstr>
      <vt:lpstr>catfd_1_SDHV_41</vt:lpstr>
      <vt:lpstr>catfd_1_SKHB_1</vt:lpstr>
      <vt:lpstr>catfd_1_SKHV_41</vt:lpstr>
      <vt:lpstr>catfd_1_STHB_1</vt:lpstr>
      <vt:lpstr>catfd_1_STHV_41</vt:lpstr>
      <vt:lpstr>catfd_1_VAHB_1</vt:lpstr>
      <vt:lpstr>catfd_1_VAHV_41</vt:lpstr>
      <vt:lpstr>catfd_1_VAZB_1</vt:lpstr>
      <vt:lpstr>catfd_1_VAZV_41</vt:lpstr>
      <vt:lpstr>catfd_1_VEZB_1</vt:lpstr>
      <vt:lpstr>catfd_1_VEZV_41</vt:lpstr>
      <vt:lpstr>catfd_1_VLHB_1</vt:lpstr>
      <vt:lpstr>catfd_1_VLHV_41</vt:lpstr>
      <vt:lpstr>catfd_1_VOHB_1</vt:lpstr>
      <vt:lpstr>catfd_1_VOHV_41</vt:lpstr>
      <vt:lpstr>catfd_1_VTHB_1</vt:lpstr>
      <vt:lpstr>catfd_1_VTHV_12</vt:lpstr>
      <vt:lpstr>catfd_1_VTHV_41</vt:lpstr>
      <vt:lpstr>catfd_1_XDGB_1</vt:lpstr>
      <vt:lpstr>catpn_1_AFVB_1</vt:lpstr>
      <vt:lpstr>catpn_1_AFVV_41</vt:lpstr>
      <vt:lpstr>catpn_1_BKHB_1</vt:lpstr>
      <vt:lpstr>catpn_1_BKHV_41</vt:lpstr>
      <vt:lpstr>catpn_1_BKZB_1</vt:lpstr>
      <vt:lpstr>catpn_1_BKZV_41</vt:lpstr>
      <vt:lpstr>catpn_1_BVHB_1</vt:lpstr>
      <vt:lpstr>catpn_1_BVHV_41</vt:lpstr>
      <vt:lpstr>catpn_1_BVZB_1</vt:lpstr>
      <vt:lpstr>catpn_1_BVZV_41</vt:lpstr>
      <vt:lpstr>catpn_1_GFHB_1</vt:lpstr>
      <vt:lpstr>catpn_1_GFHV_20</vt:lpstr>
      <vt:lpstr>catpn_1_GFHV_41</vt:lpstr>
      <vt:lpstr>catpn_1_GSHB_1</vt:lpstr>
      <vt:lpstr>catpn_1_GSHV_41</vt:lpstr>
      <vt:lpstr>catpn_1_KAHB_1</vt:lpstr>
      <vt:lpstr>catpn_1_KAHV_41</vt:lpstr>
      <vt:lpstr>catpn_1_KDHB_1</vt:lpstr>
      <vt:lpstr>catpn_1_KDHV_41</vt:lpstr>
      <vt:lpstr>catpn_1_KDZB_1</vt:lpstr>
      <vt:lpstr>catpn_1_KDZV_41</vt:lpstr>
      <vt:lpstr>catpn_1_KPHB_1</vt:lpstr>
      <vt:lpstr>catpn_1_KPHV_41</vt:lpstr>
      <vt:lpstr>catpn_1_LAHB_1</vt:lpstr>
      <vt:lpstr>catpn_1_LAHV_41</vt:lpstr>
      <vt:lpstr>catpn_1_LLHB_1</vt:lpstr>
      <vt:lpstr>catpn_1_LLHV_41</vt:lpstr>
      <vt:lpstr>catpn_1_LLZB_1</vt:lpstr>
      <vt:lpstr>catpn_1_LLZV_41</vt:lpstr>
      <vt:lpstr>catpn_1_LOHB_1</vt:lpstr>
      <vt:lpstr>catpn_1_LOHV_41</vt:lpstr>
      <vt:lpstr>catpn_1_LOZB_1</vt:lpstr>
      <vt:lpstr>catpn_1_LOZV_41</vt:lpstr>
      <vt:lpstr>catpn_1_MAHB_1</vt:lpstr>
      <vt:lpstr>catpn_1_MAHV_41</vt:lpstr>
      <vt:lpstr>catpn_1_OAHB_1</vt:lpstr>
      <vt:lpstr>catpn_1_OAHV_12</vt:lpstr>
      <vt:lpstr>catpn_1_OAHV_41</vt:lpstr>
      <vt:lpstr>catpn_1_PAHB_1</vt:lpstr>
      <vt:lpstr>catpn_1_PAHV_41</vt:lpstr>
      <vt:lpstr>catpn_1_PKHB_1</vt:lpstr>
      <vt:lpstr>catpn_1_PKHV_41</vt:lpstr>
      <vt:lpstr>catpn_1_PLHB_1</vt:lpstr>
      <vt:lpstr>catpn_1_PLHV_41</vt:lpstr>
      <vt:lpstr>catpn_1_PSHB_1</vt:lpstr>
      <vt:lpstr>catpn_1_PSHV_41</vt:lpstr>
      <vt:lpstr>catpn_1_PSZB_1</vt:lpstr>
      <vt:lpstr>catpn_1_PSZV_41</vt:lpstr>
      <vt:lpstr>catpn_1_PWHB_1</vt:lpstr>
      <vt:lpstr>catpn_1_PWHV_41</vt:lpstr>
      <vt:lpstr>catpn_1_SDHB_1</vt:lpstr>
      <vt:lpstr>catpn_1_SDHV_41</vt:lpstr>
      <vt:lpstr>catpn_1_SKHB_1</vt:lpstr>
      <vt:lpstr>catpn_1_SKHV_41</vt:lpstr>
      <vt:lpstr>catpn_1_STHB_1</vt:lpstr>
      <vt:lpstr>catpn_1_STHV_41</vt:lpstr>
      <vt:lpstr>catpn_1_VAHB_1</vt:lpstr>
      <vt:lpstr>catpn_1_VAHV_41</vt:lpstr>
      <vt:lpstr>catpn_1_VAZB_1</vt:lpstr>
      <vt:lpstr>catpn_1_VAZV_41</vt:lpstr>
      <vt:lpstr>catpn_1_VEZB_1</vt:lpstr>
      <vt:lpstr>catpn_1_VEZV_41</vt:lpstr>
      <vt:lpstr>catpn_1_VLHB_1</vt:lpstr>
      <vt:lpstr>catpn_1_VLHV_41</vt:lpstr>
      <vt:lpstr>catpn_1_VOHB_1</vt:lpstr>
      <vt:lpstr>catpn_1_VOHV_41</vt:lpstr>
      <vt:lpstr>catpn_1_VTHB_1</vt:lpstr>
      <vt:lpstr>catpn_1_VTHV_12</vt:lpstr>
      <vt:lpstr>catpn_1_VTHV_41</vt:lpstr>
      <vt:lpstr>catpn_1_XDGB_1</vt:lpstr>
      <vt:lpstr>cattf_1_AFVB_1</vt:lpstr>
      <vt:lpstr>cattf_1_AFVV_41</vt:lpstr>
      <vt:lpstr>cattf_1_BKHB_1</vt:lpstr>
      <vt:lpstr>cattf_1_BKHV_41</vt:lpstr>
      <vt:lpstr>cattf_1_BKZB_1</vt:lpstr>
      <vt:lpstr>cattf_1_BKZV_41</vt:lpstr>
      <vt:lpstr>cattf_1_BVHB_1</vt:lpstr>
      <vt:lpstr>cattf_1_BVHV_41</vt:lpstr>
      <vt:lpstr>cattf_1_BVZB_1</vt:lpstr>
      <vt:lpstr>cattf_1_BVZV_41</vt:lpstr>
      <vt:lpstr>cattf_1_GFHB_1</vt:lpstr>
      <vt:lpstr>cattf_1_GFHV_20</vt:lpstr>
      <vt:lpstr>cattf_1_GFHV_41</vt:lpstr>
      <vt:lpstr>cattf_1_GSHB_1</vt:lpstr>
      <vt:lpstr>cattf_1_GSHV_41</vt:lpstr>
      <vt:lpstr>cattf_1_KAHB_1</vt:lpstr>
      <vt:lpstr>cattf_1_KAHV_41</vt:lpstr>
      <vt:lpstr>cattf_1_KDHB_1</vt:lpstr>
      <vt:lpstr>cattf_1_KDHV_41</vt:lpstr>
      <vt:lpstr>cattf_1_KDZB_1</vt:lpstr>
      <vt:lpstr>cattf_1_KDZV_41</vt:lpstr>
      <vt:lpstr>cattf_1_KPHB_1</vt:lpstr>
      <vt:lpstr>cattf_1_KPHV_41</vt:lpstr>
      <vt:lpstr>cattf_1_LAHB_1</vt:lpstr>
      <vt:lpstr>cattf_1_LAHV_41</vt:lpstr>
      <vt:lpstr>cattf_1_LLHB_1</vt:lpstr>
      <vt:lpstr>cattf_1_LLHV_41</vt:lpstr>
      <vt:lpstr>cattf_1_LLZB_1</vt:lpstr>
      <vt:lpstr>cattf_1_LLZV_41</vt:lpstr>
      <vt:lpstr>cattf_1_LOHB_1</vt:lpstr>
      <vt:lpstr>cattf_1_LOHV_41</vt:lpstr>
      <vt:lpstr>cattf_1_LOZB_1</vt:lpstr>
      <vt:lpstr>cattf_1_LOZV_41</vt:lpstr>
      <vt:lpstr>cattf_1_MAHB_1</vt:lpstr>
      <vt:lpstr>cattf_1_MAHV_41</vt:lpstr>
      <vt:lpstr>cattf_1_OAHB_1</vt:lpstr>
      <vt:lpstr>cattf_1_OAHV_12</vt:lpstr>
      <vt:lpstr>cattf_1_OAHV_41</vt:lpstr>
      <vt:lpstr>cattf_1_PAHB_1</vt:lpstr>
      <vt:lpstr>cattf_1_PAHV_41</vt:lpstr>
      <vt:lpstr>cattf_1_PKHB_1</vt:lpstr>
      <vt:lpstr>cattf_1_PKHV_41</vt:lpstr>
      <vt:lpstr>cattf_1_PLHB_1</vt:lpstr>
      <vt:lpstr>cattf_1_PLHV_41</vt:lpstr>
      <vt:lpstr>cattf_1_PSHB_1</vt:lpstr>
      <vt:lpstr>cattf_1_PSHV_41</vt:lpstr>
      <vt:lpstr>cattf_1_PSZB_1</vt:lpstr>
      <vt:lpstr>cattf_1_PSZV_41</vt:lpstr>
      <vt:lpstr>cattf_1_PWHB_1</vt:lpstr>
      <vt:lpstr>cattf_1_PWHV_41</vt:lpstr>
      <vt:lpstr>cattf_1_SDHB_1</vt:lpstr>
      <vt:lpstr>cattf_1_SDHV_41</vt:lpstr>
      <vt:lpstr>cattf_1_SKHB_1</vt:lpstr>
      <vt:lpstr>cattf_1_SKHV_41</vt:lpstr>
      <vt:lpstr>cattf_1_STHB_1</vt:lpstr>
      <vt:lpstr>cattf_1_STHV_41</vt:lpstr>
      <vt:lpstr>cattf_1_VAHB_1</vt:lpstr>
      <vt:lpstr>cattf_1_VAHV_41</vt:lpstr>
      <vt:lpstr>cattf_1_VAZB_1</vt:lpstr>
      <vt:lpstr>cattf_1_VAZV_41</vt:lpstr>
      <vt:lpstr>cattf_1_VEZB_1</vt:lpstr>
      <vt:lpstr>cattf_1_VEZV_41</vt:lpstr>
      <vt:lpstr>cattf_1_VLHB_1</vt:lpstr>
      <vt:lpstr>cattf_1_VLHV_41</vt:lpstr>
      <vt:lpstr>cattf_1_VOHB_1</vt:lpstr>
      <vt:lpstr>cattf_1_VOHV_41</vt:lpstr>
      <vt:lpstr>cattf_1_VTHB_1</vt:lpstr>
      <vt:lpstr>cattf_1_VTHV_12</vt:lpstr>
      <vt:lpstr>cattf_1_VTHV_41</vt:lpstr>
      <vt:lpstr>cattf_1_XDGB_1</vt:lpstr>
      <vt:lpstr>dagenperjaar1</vt:lpstr>
      <vt:lpstr>dagenperjaar2</vt:lpstr>
      <vt:lpstr>dagenperjaar3</vt:lpstr>
      <vt:lpstr>dagenperjaar4</vt:lpstr>
      <vt:lpstr>dagenperweek1</vt:lpstr>
      <vt:lpstr>dagenperweek2</vt:lpstr>
      <vt:lpstr>dagenperweek3</vt:lpstr>
      <vt:lpstr>dagenperweek4</vt:lpstr>
      <vt:lpstr>dagsoorttabel1</vt:lpstr>
      <vt:lpstr>dagsoorttabel2</vt:lpstr>
      <vt:lpstr>dagsoorttabel3</vt:lpstr>
      <vt:lpstr>dagsoorttabel4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dagwerk51</vt:lpstr>
      <vt:lpstr>dagwerk52</vt:lpstr>
      <vt:lpstr>dagwerk53</vt:lpstr>
      <vt:lpstr>dagwerk54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objectprijs1_1</vt:lpstr>
      <vt:lpstr>objectprijs2_1</vt:lpstr>
      <vt:lpstr>objectprijs3_1</vt:lpstr>
      <vt:lpstr>objectprijs4_1</vt:lpstr>
      <vt:lpstr>objecturen1_1</vt:lpstr>
      <vt:lpstr>objecturen2_1</vt:lpstr>
      <vt:lpstr>objecturen3_1</vt:lpstr>
      <vt:lpstr>objecturen4_1</vt:lpstr>
      <vt:lpstr>objecturenhf1_1</vt:lpstr>
      <vt:lpstr>objecturenhf2_1</vt:lpstr>
      <vt:lpstr>objecturenhf3_1</vt:lpstr>
      <vt:lpstr>objecturenhf4_1</vt:lpstr>
      <vt:lpstr>prijsdag1</vt:lpstr>
      <vt:lpstr>prijsjaar</vt:lpstr>
      <vt:lpstr>prijsjaar1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TariefOpbouwBasisloon9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TariefOpbouwDirecteKosten9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TariefOpbouwErvaring9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TariefOpbouwIndirecteKosten9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TariefOpbouwNaam9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TariefOpbouwRisicoWinst9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TariefOpbouwRisicoWinstPercentage9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TariefOpbouwTarief9</vt:lpstr>
      <vt:lpstr>TariefOpbouwTarief9DN</vt:lpstr>
      <vt:lpstr>TariefOpbouwTarief9W</vt:lpstr>
      <vt:lpstr>TariefOpbouwTarief9X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TariefOpbouwTotaalLoonkosten9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TariefOpbouwUurloon9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TariefOpbouwUurloonkosten9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uurtarief6</vt:lpstr>
      <vt:lpstr>uurtarief7</vt:lpstr>
      <vt:lpstr>uurtarief8</vt:lpstr>
      <vt:lpstr>uurtarief9</vt:lpstr>
      <vt:lpstr>vp_glas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2025-11-24T13:50:27Z</dcterms:created>
  <dcterms:modified xsi:type="dcterms:W3CDTF">2026-02-24T09:46:11Z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0x0101009D343A6084500B40B98D8BA23D3B1C9F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2025-11-26T12:19:26Z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044a3ef2-4d30-4f8b-b27e-8710f896177c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SIP_Label_415030db-5b96-4a80-bef5-9bbf300e0d2e_Tag">
    <vt:lpwstr>10, 3, 0, 1</vt:lpwstr>
  </property>
</Properties>
</file>