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DATA\EXTERN\Ons Middelbaar Onderwijs\AANBESTEDINGEN\Aanbesteding schoonmaak 2025-2026\NVI\"/>
    </mc:Choice>
  </mc:AlternateContent>
  <xr:revisionPtr revIDLastSave="0" documentId="8_{142CBA08-EA73-4CFD-9E85-E010E63680C4}" xr6:coauthVersionLast="47" xr6:coauthVersionMax="47" xr10:uidLastSave="{00000000-0000-0000-0000-000000000000}"/>
  <bookViews>
    <workbookView xWindow="-30830" yWindow="0" windowWidth="30940" windowHeight="16780" firstSheet="2" activeTab="10" xr2:uid="{881DDF20-DF2D-4EDA-B737-F3C8D8D3B257}"/>
  </bookViews>
  <sheets>
    <sheet name="Omreken" sheetId="1" r:id="rId1"/>
    <sheet name="Tariefopbouw" sheetId="2" r:id="rId2"/>
    <sheet name="Categorienormen" sheetId="3" r:id="rId3"/>
    <sheet name="Regulier werk" sheetId="4" r:id="rId4"/>
    <sheet name="Ruimten werkdag" sheetId="5" r:id="rId5"/>
    <sheet name="Objectinformatie" sheetId="6" r:id="rId6"/>
    <sheet name="Objecten" sheetId="7" r:id="rId7"/>
    <sheet name="Totaalblad Objecten" sheetId="8" r:id="rId8"/>
    <sheet name="Afroep incidenteel" sheetId="9" r:id="rId9"/>
    <sheet name="Regiewerk" sheetId="10" r:id="rId10"/>
    <sheet name="Totaal" sheetId="11" r:id="rId11"/>
  </sheets>
  <definedNames>
    <definedName name="_xlnm._FilterDatabase" localSheetId="4" hidden="1">'Ruimten werkdag'!$A$3:$V$270</definedName>
    <definedName name="_xlnm.Print_Titles" localSheetId="8">'Afroep incidenteel'!$1:$3</definedName>
    <definedName name="_xlnm.Print_Titles" localSheetId="2">Categorienormen!$1:$3</definedName>
    <definedName name="_xlnm.Print_Titles" localSheetId="6">Objecten!$1:$3</definedName>
    <definedName name="_xlnm.Print_Titles" localSheetId="5">Objectinformatie!$A:$D,Objectinformatie!$1:$4</definedName>
    <definedName name="_xlnm.Print_Titles" localSheetId="9">Regiewerk!$1:$3</definedName>
    <definedName name="_xlnm.Print_Titles" localSheetId="3">'Regulier werk'!$1:$3</definedName>
    <definedName name="_xlnm.Print_Titles" localSheetId="4">'Ruimten werkdag'!$1:$3</definedName>
    <definedName name="_xlnm.Print_Titles" localSheetId="1">Tariefopbouw!$A:$A,Tariefopbouw!$1:$2</definedName>
    <definedName name="_xlnm.Print_Titles" localSheetId="10">Totaal!$1:$3</definedName>
    <definedName name="_xlnm.Print_Titles" localSheetId="7">'Totaalblad Objecten'!$A:$A,'Totaalblad Objecten'!$1:$3</definedName>
    <definedName name="catdw_1_BKHB_1">Categorienormen!$F$28</definedName>
    <definedName name="catdw_1_BKHV_41">Categorienormen!$F$29</definedName>
    <definedName name="catdw_1_BVHB_1">Categorienormen!$F$30</definedName>
    <definedName name="catdw_1_BVHV_41">Categorienormen!$F$31</definedName>
    <definedName name="catdw_1_GSHB_1">Categorienormen!$F$6</definedName>
    <definedName name="catdw_1_GSHV_41">Categorienormen!$F$7</definedName>
    <definedName name="catdw_1_KAHB_1">Categorienormen!$F$14</definedName>
    <definedName name="catdw_1_KAHV_41">Categorienormen!$F$15</definedName>
    <definedName name="catdw_1_KDHB_1">Categorienormen!$F$16</definedName>
    <definedName name="catdw_1_KDHV_41">Categorienormen!$F$17</definedName>
    <definedName name="catdw_1_LLHB_1">Categorienormen!$F$32</definedName>
    <definedName name="catdw_1_LLHV_41">Categorienormen!$F$33</definedName>
    <definedName name="catdw_1_LOHB_1">Categorienormen!$F$34</definedName>
    <definedName name="catdw_1_LOHV_41">Categorienormen!$F$35</definedName>
    <definedName name="catdw_1_MAHB_1">Categorienormen!$F$36</definedName>
    <definedName name="catdw_1_MAHV_41">Categorienormen!$F$37</definedName>
    <definedName name="catdw_1_PAHB_1">Categorienormen!$F$38</definedName>
    <definedName name="catdw_1_PAHV_41">Categorienormen!$F$39</definedName>
    <definedName name="catdw_1_PLHB_1">Categorienormen!$F$40</definedName>
    <definedName name="catdw_1_PLHV_41">Categorienormen!$F$41</definedName>
    <definedName name="catdw_1_PSHB_1">Categorienormen!$F$42</definedName>
    <definedName name="catdw_1_PSHV_41">Categorienormen!$F$43</definedName>
    <definedName name="catdw_1_SDHB_1">Categorienormen!$F$8</definedName>
    <definedName name="catdw_1_SDHV_41">Categorienormen!$F$9</definedName>
    <definedName name="catdw_1_SKHB_1">Categorienormen!$F$10</definedName>
    <definedName name="catdw_1_SKHV_41">Categorienormen!$F$11</definedName>
    <definedName name="catdw_1_STHB_1">Categorienormen!$F$12</definedName>
    <definedName name="catdw_1_STHV_41">Categorienormen!$F$13</definedName>
    <definedName name="catdw_1_VAHB_1">Categorienormen!$F$18</definedName>
    <definedName name="catdw_1_VAHV_41">Categorienormen!$F$19</definedName>
    <definedName name="catdw_1_VEHB_1">Categorienormen!$F$20</definedName>
    <definedName name="catdw_1_VEHV_41">Categorienormen!$F$21</definedName>
    <definedName name="catdw_1_VLHB_1">Categorienormen!$F$22</definedName>
    <definedName name="catdw_1_VLHV_41">Categorienormen!$F$23</definedName>
    <definedName name="catdw_1_VOHB_1">Categorienormen!$F$24</definedName>
    <definedName name="catdw_1_VOHV_41">Categorienormen!$F$25</definedName>
    <definedName name="catdw_1_VTHB_1">Categorienormen!$F$26</definedName>
    <definedName name="catdw_1_VTHV_41">Categorienormen!$F$27</definedName>
    <definedName name="catdw_1_XDGB_1">Categorienormen!$F$44</definedName>
    <definedName name="catfd_1_BKHB_1">Categorienormen!$C$28</definedName>
    <definedName name="catfd_1_BKHV_41">Categorienormen!$C$29</definedName>
    <definedName name="catfd_1_BVHB_1">Categorienormen!$C$30</definedName>
    <definedName name="catfd_1_BVHV_41">Categorienormen!$C$31</definedName>
    <definedName name="catfd_1_GSHB_1">Categorienormen!$C$6</definedName>
    <definedName name="catfd_1_GSHV_41">Categorienormen!$C$7</definedName>
    <definedName name="catfd_1_KAHB_1">Categorienormen!$C$14</definedName>
    <definedName name="catfd_1_KAHV_41">Categorienormen!$C$15</definedName>
    <definedName name="catfd_1_KDHB_1">Categorienormen!$C$16</definedName>
    <definedName name="catfd_1_KDHV_41">Categorienormen!$C$17</definedName>
    <definedName name="catfd_1_LLHB_1">Categorienormen!$C$32</definedName>
    <definedName name="catfd_1_LLHV_41">Categorienormen!$C$33</definedName>
    <definedName name="catfd_1_LOHB_1">Categorienormen!$C$34</definedName>
    <definedName name="catfd_1_LOHV_41">Categorienormen!$C$35</definedName>
    <definedName name="catfd_1_MAHB_1">Categorienormen!$C$36</definedName>
    <definedName name="catfd_1_MAHV_41">Categorienormen!$C$37</definedName>
    <definedName name="catfd_1_PAHB_1">Categorienormen!$C$38</definedName>
    <definedName name="catfd_1_PAHV_41">Categorienormen!$C$39</definedName>
    <definedName name="catfd_1_PLHB_1">Categorienormen!$C$40</definedName>
    <definedName name="catfd_1_PLHV_41">Categorienormen!$C$41</definedName>
    <definedName name="catfd_1_PSHB_1">Categorienormen!$C$42</definedName>
    <definedName name="catfd_1_PSHV_41">Categorienormen!$C$43</definedName>
    <definedName name="catfd_1_SDHB_1">Categorienormen!$C$8</definedName>
    <definedName name="catfd_1_SDHV_41">Categorienormen!$C$9</definedName>
    <definedName name="catfd_1_SKHB_1">Categorienormen!$C$10</definedName>
    <definedName name="catfd_1_SKHV_41">Categorienormen!$C$11</definedName>
    <definedName name="catfd_1_STHB_1">Categorienormen!$C$12</definedName>
    <definedName name="catfd_1_STHV_41">Categorienormen!$C$13</definedName>
    <definedName name="catfd_1_VAHB_1">Categorienormen!$C$18</definedName>
    <definedName name="catfd_1_VAHV_41">Categorienormen!$C$19</definedName>
    <definedName name="catfd_1_VEHB_1">Categorienormen!$C$20</definedName>
    <definedName name="catfd_1_VEHV_41">Categorienormen!$C$21</definedName>
    <definedName name="catfd_1_VLHB_1">Categorienormen!$C$22</definedName>
    <definedName name="catfd_1_VLHV_41">Categorienormen!$C$23</definedName>
    <definedName name="catfd_1_VOHB_1">Categorienormen!$C$24</definedName>
    <definedName name="catfd_1_VOHV_41">Categorienormen!$C$25</definedName>
    <definedName name="catfd_1_VTHB_1">Categorienormen!$C$26</definedName>
    <definedName name="catfd_1_VTHV_41">Categorienormen!$C$27</definedName>
    <definedName name="catfd_1_XDGB_1">Categorienormen!$C$44</definedName>
    <definedName name="catpn_1_BKHB_1">Categorienormen!$E$28</definedName>
    <definedName name="catpn_1_BKHV_41">Categorienormen!$E$29</definedName>
    <definedName name="catpn_1_BVHB_1">Categorienormen!$E$30</definedName>
    <definedName name="catpn_1_BVHV_41">Categorienormen!$E$31</definedName>
    <definedName name="catpn_1_GSHB_1">Categorienormen!$E$6</definedName>
    <definedName name="catpn_1_GSHV_41">Categorienormen!$E$7</definedName>
    <definedName name="catpn_1_KAHB_1">Categorienormen!$E$14</definedName>
    <definedName name="catpn_1_KAHV_41">Categorienormen!$E$15</definedName>
    <definedName name="catpn_1_KDHB_1">Categorienormen!$E$16</definedName>
    <definedName name="catpn_1_KDHV_41">Categorienormen!$E$17</definedName>
    <definedName name="catpn_1_LLHB_1">Categorienormen!$E$32</definedName>
    <definedName name="catpn_1_LLHV_41">Categorienormen!$E$33</definedName>
    <definedName name="catpn_1_LOHB_1">Categorienormen!$E$34</definedName>
    <definedName name="catpn_1_LOHV_41">Categorienormen!$E$35</definedName>
    <definedName name="catpn_1_MAHB_1">Categorienormen!$E$36</definedName>
    <definedName name="catpn_1_MAHV_41">Categorienormen!$E$37</definedName>
    <definedName name="catpn_1_PAHB_1">Categorienormen!$E$38</definedName>
    <definedName name="catpn_1_PAHV_41">Categorienormen!$E$39</definedName>
    <definedName name="catpn_1_PLHB_1">Categorienormen!$E$40</definedName>
    <definedName name="catpn_1_PLHV_41">Categorienormen!$E$41</definedName>
    <definedName name="catpn_1_PSHB_1">Categorienormen!$E$42</definedName>
    <definedName name="catpn_1_PSHV_41">Categorienormen!$E$43</definedName>
    <definedName name="catpn_1_SDHB_1">Categorienormen!$E$8</definedName>
    <definedName name="catpn_1_SDHV_41">Categorienormen!$E$9</definedName>
    <definedName name="catpn_1_SKHB_1">Categorienormen!$E$10</definedName>
    <definedName name="catpn_1_SKHV_41">Categorienormen!$E$11</definedName>
    <definedName name="catpn_1_STHB_1">Categorienormen!$E$12</definedName>
    <definedName name="catpn_1_STHV_41">Categorienormen!$E$13</definedName>
    <definedName name="catpn_1_VAHB_1">Categorienormen!$E$18</definedName>
    <definedName name="catpn_1_VAHV_41">Categorienormen!$E$19</definedName>
    <definedName name="catpn_1_VEHB_1">Categorienormen!$E$20</definedName>
    <definedName name="catpn_1_VEHV_41">Categorienormen!$E$21</definedName>
    <definedName name="catpn_1_VLHB_1">Categorienormen!$E$22</definedName>
    <definedName name="catpn_1_VLHV_41">Categorienormen!$E$23</definedName>
    <definedName name="catpn_1_VOHB_1">Categorienormen!$E$24</definedName>
    <definedName name="catpn_1_VOHV_41">Categorienormen!$E$25</definedName>
    <definedName name="catpn_1_VTHB_1">Categorienormen!$E$26</definedName>
    <definedName name="catpn_1_VTHV_41">Categorienormen!$E$27</definedName>
    <definedName name="catpn_1_XDGB_1">Categorienormen!$E$44</definedName>
    <definedName name="cattf_1_BKHB_1">Categorienormen!$H$28</definedName>
    <definedName name="cattf_1_BKHV_41">Categorienormen!$H$29</definedName>
    <definedName name="cattf_1_BVHB_1">Categorienormen!$H$30</definedName>
    <definedName name="cattf_1_BVHV_41">Categorienormen!$H$31</definedName>
    <definedName name="cattf_1_GSHB_1">Categorienormen!$H$6</definedName>
    <definedName name="cattf_1_GSHV_41">Categorienormen!$H$7</definedName>
    <definedName name="cattf_1_KAHB_1">Categorienormen!$H$14</definedName>
    <definedName name="cattf_1_KAHV_41">Categorienormen!$H$15</definedName>
    <definedName name="cattf_1_KDHB_1">Categorienormen!$H$16</definedName>
    <definedName name="cattf_1_KDHV_41">Categorienormen!$H$17</definedName>
    <definedName name="cattf_1_LLHB_1">Categorienormen!$H$32</definedName>
    <definedName name="cattf_1_LLHV_41">Categorienormen!$H$33</definedName>
    <definedName name="cattf_1_LOHB_1">Categorienormen!$H$34</definedName>
    <definedName name="cattf_1_LOHV_41">Categorienormen!$H$35</definedName>
    <definedName name="cattf_1_MAHB_1">Categorienormen!$H$36</definedName>
    <definedName name="cattf_1_MAHV_41">Categorienormen!$H$37</definedName>
    <definedName name="cattf_1_PAHB_1">Categorienormen!$H$38</definedName>
    <definedName name="cattf_1_PAHV_41">Categorienormen!$H$39</definedName>
    <definedName name="cattf_1_PLHB_1">Categorienormen!$H$40</definedName>
    <definedName name="cattf_1_PLHV_41">Categorienormen!$H$41</definedName>
    <definedName name="cattf_1_PSHB_1">Categorienormen!$H$42</definedName>
    <definedName name="cattf_1_PSHV_41">Categorienormen!$H$43</definedName>
    <definedName name="cattf_1_SDHB_1">Categorienormen!$H$8</definedName>
    <definedName name="cattf_1_SDHV_41">Categorienormen!$H$9</definedName>
    <definedName name="cattf_1_SKHB_1">Categorienormen!$H$10</definedName>
    <definedName name="cattf_1_SKHV_41">Categorienormen!$H$11</definedName>
    <definedName name="cattf_1_STHB_1">Categorienormen!$H$12</definedName>
    <definedName name="cattf_1_STHV_41">Categorienormen!$H$13</definedName>
    <definedName name="cattf_1_VAHB_1">Categorienormen!$H$18</definedName>
    <definedName name="cattf_1_VAHV_41">Categorienormen!$H$19</definedName>
    <definedName name="cattf_1_VEHB_1">Categorienormen!$H$20</definedName>
    <definedName name="cattf_1_VEHV_41">Categorienormen!$H$21</definedName>
    <definedName name="cattf_1_VLHB_1">Categorienormen!$H$22</definedName>
    <definedName name="cattf_1_VLHV_41">Categorienormen!$H$23</definedName>
    <definedName name="cattf_1_VOHB_1">Categorienormen!$H$24</definedName>
    <definedName name="cattf_1_VOHV_41">Categorienormen!$H$25</definedName>
    <definedName name="cattf_1_VTHB_1">Categorienormen!$H$26</definedName>
    <definedName name="cattf_1_VTHV_41">Categorienormen!$H$27</definedName>
    <definedName name="cattf_1_XDGB_1">Categorienormen!$H$44</definedName>
    <definedName name="dagenperjaar1">Omreken!$B$9</definedName>
    <definedName name="dagenperjaar2">Omreken!$E$9</definedName>
    <definedName name="dagenperjaar3">Omreken!$H$9</definedName>
    <definedName name="dagenperjaar4">Omreken!$K$9</definedName>
    <definedName name="dagenperweek1">Omreken!$B$10</definedName>
    <definedName name="dagenperweek2">Omreken!$E$10</definedName>
    <definedName name="dagenperweek3">Omreken!$H$10</definedName>
    <definedName name="dagenperweek4">Omreken!$K$10</definedName>
    <definedName name="dagsoorttabel1">Omreken!$A$13:$B$28</definedName>
    <definedName name="dagsoorttabel2">Omreken!$D$13:$E$24</definedName>
    <definedName name="dagsoorttabel3">Omreken!$G$13:$H$24</definedName>
    <definedName name="dagsoorttabel4">Omreken!$J$13:$K$15</definedName>
    <definedName name="dagwerk1">'Regulier werk'!$H$28</definedName>
    <definedName name="dagwerk10">'Regulier werk'!$H$14</definedName>
    <definedName name="dagwerk11">'Regulier werk'!$H$15</definedName>
    <definedName name="dagwerk12">'Regulier werk'!$H$16</definedName>
    <definedName name="dagwerk13">'Regulier werk'!$H$17</definedName>
    <definedName name="dagwerk14">'Regulier werk'!$H$18</definedName>
    <definedName name="dagwerk15">'Regulier werk'!$H$19</definedName>
    <definedName name="dagwerk16">'Regulier werk'!$H$20</definedName>
    <definedName name="dagwerk17">'Regulier werk'!$H$21</definedName>
    <definedName name="dagwerk18">'Regulier werk'!$H$22</definedName>
    <definedName name="dagwerk19">'Regulier werk'!$H$23</definedName>
    <definedName name="dagwerk2">'Regulier werk'!$H$6</definedName>
    <definedName name="dagwerk20">'Regulier werk'!$H$24</definedName>
    <definedName name="dagwerk21">'Regulier werk'!$H$25</definedName>
    <definedName name="dagwerk22">'Regulier werk'!$H$26</definedName>
    <definedName name="dagwerk23">'Regulier werk'!$H$27</definedName>
    <definedName name="dagwerk3">'Regulier werk'!$H$7</definedName>
    <definedName name="dagwerk4">'Regulier werk'!$H$8</definedName>
    <definedName name="dagwerk5">'Regulier werk'!$H$9</definedName>
    <definedName name="dagwerk6">'Regulier werk'!$H$10</definedName>
    <definedName name="dagwerk7">'Regulier werk'!$H$11</definedName>
    <definedName name="dagwerk8">'Regulier werk'!$H$12</definedName>
    <definedName name="dagwerk9">'Regulier werk'!$H$13</definedName>
    <definedName name="dagwerktabel1">Objectinformatie!$H$5:$H$27</definedName>
    <definedName name="gemuurtarief1">'Regulier werk'!$J$31</definedName>
    <definedName name="kengetaltabel1">Objectinformatie!$G$5:$G$27</definedName>
    <definedName name="object1_gemuurtarief1">'Ruimten werkdag'!$Q$270</definedName>
    <definedName name="object1_opptabel1">Objectinformatie!$J$5:$J$27</definedName>
    <definedName name="object1_prijsdag1">'Ruimten werkdag'!$T$270</definedName>
    <definedName name="object1_prijsjaar1">'Ruimten werkdag'!$V$270</definedName>
    <definedName name="object1_urendag1">'Ruimten werkdag'!$R$270</definedName>
    <definedName name="object1_urendaghf1">'Ruimten werkdag'!$S$270</definedName>
    <definedName name="object1_urenjaar1">'Ruimten werkdag'!$U$270</definedName>
    <definedName name="objectprijs1_1">Objecten!$L$6</definedName>
    <definedName name="objecturen1_1">Objecten!$K$6</definedName>
    <definedName name="objecturenhf1_1">Objecten!$J$6</definedName>
    <definedName name="prijsdag1">'Regulier werk'!$L$29</definedName>
    <definedName name="prijsjaar">'Regulier werk'!$N$34</definedName>
    <definedName name="prijsjaar1">'Regulier werk'!$N$29</definedName>
    <definedName name="prijsjaarregie">Regiewerk!$K$11</definedName>
    <definedName name="prijsjaarregie1">Regiewerk!$K$9</definedName>
    <definedName name="prijsjaartotaal">Objecten!$L$10</definedName>
    <definedName name="prijsjaartotaal1">Objecten!$L$7</definedName>
    <definedName name="prijsjaartotaaloverzicht">'Totaalblad Objecten'!$B$13</definedName>
    <definedName name="prijsmaandtotaal1">Objecten!$M$7</definedName>
    <definedName name="prodnorm0">Regiewerk!$H$8</definedName>
    <definedName name="prodnorm1">'Regulier werk'!$G$28</definedName>
    <definedName name="prodnorm10">'Regulier werk'!$G$14</definedName>
    <definedName name="prodnorm11">'Regulier werk'!$G$15</definedName>
    <definedName name="prodnorm12">'Regulier werk'!$G$16</definedName>
    <definedName name="prodnorm13">'Regulier werk'!$G$17</definedName>
    <definedName name="prodnorm14">'Regulier werk'!$G$18</definedName>
    <definedName name="prodnorm15">'Regulier werk'!$G$19</definedName>
    <definedName name="prodnorm16">'Regulier werk'!$G$20</definedName>
    <definedName name="prodnorm17">'Regulier werk'!$G$21</definedName>
    <definedName name="prodnorm18">'Regulier werk'!$G$22</definedName>
    <definedName name="prodnorm19">'Regulier werk'!$G$23</definedName>
    <definedName name="prodnorm2">'Regulier werk'!$G$6</definedName>
    <definedName name="prodnorm20">'Regulier werk'!$G$24</definedName>
    <definedName name="prodnorm21">'Regulier werk'!$G$25</definedName>
    <definedName name="prodnorm22">'Regulier werk'!$G$26</definedName>
    <definedName name="prodnorm23">'Regulier werk'!$G$27</definedName>
    <definedName name="prodnorm3">'Regulier werk'!$G$7</definedName>
    <definedName name="prodnorm4">'Regulier werk'!$G$8</definedName>
    <definedName name="prodnorm5">'Regulier werk'!$G$9</definedName>
    <definedName name="prodnorm6">'Regulier werk'!$G$10</definedName>
    <definedName name="prodnorm7">'Regulier werk'!$G$11</definedName>
    <definedName name="prodnorm8">'Regulier werk'!$G$12</definedName>
    <definedName name="prodnorm9">'Regulier werk'!$G$13</definedName>
    <definedName name="taakfreqtabel1">Objectinformatie!$E$5:$E$27</definedName>
    <definedName name="tabeltype">Omreken!$B$5:$B$5</definedName>
    <definedName name="Tariefopbouw1">Tariefopbouw!$B$54</definedName>
    <definedName name="Tariefopbouw2">Tariefopbouw!$D$54</definedName>
    <definedName name="Tariefopbouw3">Tariefopbouw!$B$62</definedName>
    <definedName name="Tariefopbouw4">Tariefopbouw!$D$62</definedName>
    <definedName name="Tariefopbouw5">Tariefopbouw!$F$62</definedName>
    <definedName name="Tariefopbouw6">Tariefopbouw!$F$54</definedName>
    <definedName name="Tariefopbouw7">Tariefopbouw!$H$54</definedName>
    <definedName name="TariefOpbouwBasisloon1">Tariefopbouw!$B$9</definedName>
    <definedName name="TariefOpbouwBasisloon2">Tariefopbouw!$D$9</definedName>
    <definedName name="TariefOpbouwBasisloon3">Tariefopbouw!$F$9</definedName>
    <definedName name="TariefOpbouwBasisloon4">Tariefopbouw!$H$9</definedName>
    <definedName name="TariefOpbouwBasisloon5">Tariefopbouw!$J$9</definedName>
    <definedName name="TariefOpbouwBasisloon6">Tariefopbouw!$L$9</definedName>
    <definedName name="TariefOpbouwBasisloon7">Tariefopbouw!$N$9</definedName>
    <definedName name="TariefOpbouwBasisloon8">Tariefopbouw!$P$9</definedName>
    <definedName name="TariefOpbouwBasisloon9">Tariefopbouw!$R$9</definedName>
    <definedName name="TariefOpbouwDirecteKosten1">Tariefopbouw!$B$26</definedName>
    <definedName name="TariefOpbouwDirecteKosten2">Tariefopbouw!$D$26</definedName>
    <definedName name="TariefOpbouwDirecteKosten3">Tariefopbouw!$F$26</definedName>
    <definedName name="TariefOpbouwDirecteKosten4">Tariefopbouw!$H$26</definedName>
    <definedName name="TariefOpbouwDirecteKosten5">Tariefopbouw!$J$26</definedName>
    <definedName name="TariefOpbouwDirecteKosten6">Tariefopbouw!$L$26</definedName>
    <definedName name="TariefOpbouwDirecteKosten7">Tariefopbouw!$N$26</definedName>
    <definedName name="TariefOpbouwDirecteKosten8">Tariefopbouw!$P$26</definedName>
    <definedName name="TariefOpbouwDirecteKosten9">Tariefopbouw!$R$26</definedName>
    <definedName name="TariefOpbouwErvaring1">Tariefopbouw!$B$6</definedName>
    <definedName name="TariefOpbouwErvaring2">Tariefopbouw!$D$6</definedName>
    <definedName name="TariefOpbouwErvaring3">Tariefopbouw!$F$6</definedName>
    <definedName name="TariefOpbouwErvaring4">Tariefopbouw!$H$6</definedName>
    <definedName name="TariefOpbouwErvaring5">Tariefopbouw!$J$6</definedName>
    <definedName name="TariefOpbouwErvaring6">Tariefopbouw!$L$6</definedName>
    <definedName name="TariefOpbouwErvaring7">Tariefopbouw!$N$6</definedName>
    <definedName name="TariefOpbouwErvaring8">Tariefopbouw!$P$6</definedName>
    <definedName name="TariefOpbouwErvaring9">Tariefopbouw!$R$6</definedName>
    <definedName name="TariefOpbouwIndirecteKosten1">Tariefopbouw!$B$35</definedName>
    <definedName name="TariefOpbouwIndirecteKosten2">Tariefopbouw!$D$35</definedName>
    <definedName name="TariefOpbouwIndirecteKosten3">Tariefopbouw!$F$35</definedName>
    <definedName name="TariefOpbouwIndirecteKosten4">Tariefopbouw!$H$35</definedName>
    <definedName name="TariefOpbouwIndirecteKosten5">Tariefopbouw!$J$35</definedName>
    <definedName name="TariefOpbouwIndirecteKosten6">Tariefopbouw!$L$35</definedName>
    <definedName name="TariefOpbouwIndirecteKosten7">Tariefopbouw!$N$35</definedName>
    <definedName name="TariefOpbouwIndirecteKosten8">Tariefopbouw!$P$35</definedName>
    <definedName name="TariefOpbouwIndirecteKosten9">Tariefopbouw!$R$35</definedName>
    <definedName name="TariefOpbouwNaam1">Tariefopbouw!$B$5</definedName>
    <definedName name="TariefOpbouwNaam2">Tariefopbouw!$D$5</definedName>
    <definedName name="TariefOpbouwNaam3">Tariefopbouw!$F$5</definedName>
    <definedName name="TariefOpbouwNaam4">Tariefopbouw!$H$5</definedName>
    <definedName name="TariefOpbouwNaam5">Tariefopbouw!$J$5</definedName>
    <definedName name="TariefOpbouwNaam6">Tariefopbouw!$L$5</definedName>
    <definedName name="TariefOpbouwNaam7">Tariefopbouw!$N$5</definedName>
    <definedName name="TariefOpbouwNaam8">Tariefopbouw!$P$5</definedName>
    <definedName name="TariefOpbouwNaam9">Tariefopbouw!$R$5</definedName>
    <definedName name="TariefOpbouwRisicoWinst1">Tariefopbouw!$C$37</definedName>
    <definedName name="TariefOpbouwRisicoWinst2">Tariefopbouw!$E$37</definedName>
    <definedName name="TariefOpbouwRisicoWinst3">Tariefopbouw!$G$37</definedName>
    <definedName name="TariefOpbouwRisicoWinst4">Tariefopbouw!$I$37</definedName>
    <definedName name="TariefOpbouwRisicoWinst5">Tariefopbouw!$K$37</definedName>
    <definedName name="TariefOpbouwRisicoWinst6">Tariefopbouw!$M$37</definedName>
    <definedName name="TariefOpbouwRisicoWinst7">Tariefopbouw!$O$37</definedName>
    <definedName name="TariefOpbouwRisicoWinst8">Tariefopbouw!$Q$37</definedName>
    <definedName name="TariefOpbouwRisicoWinst9">Tariefopbouw!$S$37</definedName>
    <definedName name="TariefOpbouwRisicoWinstPercentage1">Tariefopbouw!$B$37</definedName>
    <definedName name="TariefOpbouwRisicoWinstPercentage2">Tariefopbouw!$D$37</definedName>
    <definedName name="TariefOpbouwRisicoWinstPercentage3">Tariefopbouw!$F$37</definedName>
    <definedName name="TariefOpbouwRisicoWinstPercentage4">Tariefopbouw!$H$37</definedName>
    <definedName name="TariefOpbouwRisicoWinstPercentage5">Tariefopbouw!$J$37</definedName>
    <definedName name="TariefOpbouwRisicoWinstPercentage6">Tariefopbouw!$L$37</definedName>
    <definedName name="TariefOpbouwRisicoWinstPercentage7">Tariefopbouw!$N$37</definedName>
    <definedName name="TariefOpbouwRisicoWinstPercentage8">Tariefopbouw!$P$37</definedName>
    <definedName name="TariefOpbouwRisicoWinstPercentage9">Tariefopbouw!$R$37</definedName>
    <definedName name="TariefOpbouwTarief1">Tariefopbouw!$B$39</definedName>
    <definedName name="TariefOpbouwTarief1DN">Tariefopbouw!$C$41</definedName>
    <definedName name="TariefOpbouwTarief1W">Tariefopbouw!$C$42</definedName>
    <definedName name="TariefOpbouwTarief1X">Tariefopbouw!$C$43</definedName>
    <definedName name="TariefOpbouwTarief2">Tariefopbouw!$D$39</definedName>
    <definedName name="TariefOpbouwTarief2DN">Tariefopbouw!$E$41</definedName>
    <definedName name="TariefOpbouwTarief2W">Tariefopbouw!$E$42</definedName>
    <definedName name="TariefOpbouwTarief2X">Tariefopbouw!$E$43</definedName>
    <definedName name="TariefOpbouwTarief3">Tariefopbouw!$F$39</definedName>
    <definedName name="TariefOpbouwTarief3DN">Tariefopbouw!$G$41</definedName>
    <definedName name="TariefOpbouwTarief3W">Tariefopbouw!$G$42</definedName>
    <definedName name="TariefOpbouwTarief3X">Tariefopbouw!$G$43</definedName>
    <definedName name="TariefOpbouwTarief4">Tariefopbouw!$H$39</definedName>
    <definedName name="TariefOpbouwTarief4DN">Tariefopbouw!$I$41</definedName>
    <definedName name="TariefOpbouwTarief4W">Tariefopbouw!$I$42</definedName>
    <definedName name="TariefOpbouwTarief4X">Tariefopbouw!$I$43</definedName>
    <definedName name="TariefOpbouwTarief5">Tariefopbouw!$J$39</definedName>
    <definedName name="TariefOpbouwTarief5DN">Tariefopbouw!$K$41</definedName>
    <definedName name="TariefOpbouwTarief5W">Tariefopbouw!$K$42</definedName>
    <definedName name="TariefOpbouwTarief5X">Tariefopbouw!$K$43</definedName>
    <definedName name="TariefOpbouwTarief6">Tariefopbouw!$L$39</definedName>
    <definedName name="TariefOpbouwTarief6DN">Tariefopbouw!$M$41</definedName>
    <definedName name="TariefOpbouwTarief6W">Tariefopbouw!$M$42</definedName>
    <definedName name="TariefOpbouwTarief6X">Tariefopbouw!$M$43</definedName>
    <definedName name="TariefOpbouwTarief7">Tariefopbouw!$N$39</definedName>
    <definedName name="TariefOpbouwTarief7DN">Tariefopbouw!$O$41</definedName>
    <definedName name="TariefOpbouwTarief7W">Tariefopbouw!$O$42</definedName>
    <definedName name="TariefOpbouwTarief7X">Tariefopbouw!$O$43</definedName>
    <definedName name="TariefOpbouwTarief8">Tariefopbouw!$P$39</definedName>
    <definedName name="TariefOpbouwTarief8DN">Tariefopbouw!$Q$41</definedName>
    <definedName name="TariefOpbouwTarief8W">Tariefopbouw!$Q$42</definedName>
    <definedName name="TariefOpbouwTarief8X">Tariefopbouw!$Q$43</definedName>
    <definedName name="TariefOpbouwTarief9">Tariefopbouw!$R$39</definedName>
    <definedName name="TariefOpbouwTarief9DN">Tariefopbouw!$S$41</definedName>
    <definedName name="TariefOpbouwTarief9W">Tariefopbouw!$S$42</definedName>
    <definedName name="TariefOpbouwTarief9X">Tariefopbouw!$S$43</definedName>
    <definedName name="TariefOpbouwTotaalLoonkosten1">Tariefopbouw!$B$19</definedName>
    <definedName name="TariefOpbouwTotaalLoonkosten2">Tariefopbouw!$D$19</definedName>
    <definedName name="TariefOpbouwTotaalLoonkosten3">Tariefopbouw!$F$19</definedName>
    <definedName name="TariefOpbouwTotaalLoonkosten4">Tariefopbouw!$H$19</definedName>
    <definedName name="TariefOpbouwTotaalLoonkosten5">Tariefopbouw!$J$19</definedName>
    <definedName name="TariefOpbouwTotaalLoonkosten6">Tariefopbouw!$L$19</definedName>
    <definedName name="TariefOpbouwTotaalLoonkosten7">Tariefopbouw!$N$19</definedName>
    <definedName name="TariefOpbouwTotaalLoonkosten8">Tariefopbouw!$P$19</definedName>
    <definedName name="TariefOpbouwTotaalLoonkosten9">Tariefopbouw!$R$19</definedName>
    <definedName name="TariefOpbouwUurloon1">Tariefopbouw!$B$12</definedName>
    <definedName name="TariefOpbouwUurloon2">Tariefopbouw!$D$12</definedName>
    <definedName name="TariefOpbouwUurloon3">Tariefopbouw!$F$12</definedName>
    <definedName name="TariefOpbouwUurloon4">Tariefopbouw!$H$12</definedName>
    <definedName name="TariefOpbouwUurloon5">Tariefopbouw!$J$12</definedName>
    <definedName name="TariefOpbouwUurloon6">Tariefopbouw!$L$12</definedName>
    <definedName name="TariefOpbouwUurloon7">Tariefopbouw!$N$12</definedName>
    <definedName name="TariefOpbouwUurloon8">Tariefopbouw!$P$12</definedName>
    <definedName name="TariefOpbouwUurloon9">Tariefopbouw!$R$12</definedName>
    <definedName name="TariefOpbouwUurloonkosten1">Tariefopbouw!$B$14</definedName>
    <definedName name="TariefOpbouwUurloonkosten2">Tariefopbouw!$D$14</definedName>
    <definedName name="TariefOpbouwUurloonkosten3">Tariefopbouw!$F$14</definedName>
    <definedName name="TariefOpbouwUurloonkosten4">Tariefopbouw!$H$14</definedName>
    <definedName name="TariefOpbouwUurloonkosten5">Tariefopbouw!$J$14</definedName>
    <definedName name="TariefOpbouwUurloonkosten6">Tariefopbouw!$L$14</definedName>
    <definedName name="TariefOpbouwUurloonkosten7">Tariefopbouw!$N$14</definedName>
    <definedName name="TariefOpbouwUurloonkosten8">Tariefopbouw!$P$14</definedName>
    <definedName name="TariefOpbouwUurloonkosten9">Tariefopbouw!$R$14</definedName>
    <definedName name="tarieftabel1">Objectinformatie!$I$5:$I$27</definedName>
    <definedName name="TariefUitvoering1">Tariefopbouw!$C$51</definedName>
    <definedName name="TariefUitvoering2">Tariefopbouw!$E$51</definedName>
    <definedName name="TariefUitvoering3">Tariefopbouw!$C$60</definedName>
    <definedName name="TariefUitvoering4">Tariefopbouw!$E$60</definedName>
    <definedName name="TariefUitvoering5">Tariefopbouw!$G$60</definedName>
    <definedName name="TariefUitvoering6">Tariefopbouw!$G$51</definedName>
    <definedName name="TariefUitvoering7">Tariefopbouw!$I$51</definedName>
    <definedName name="urendag1">'Regulier werk'!$K$29</definedName>
    <definedName name="urenjaar">'Regulier werk'!$M$34</definedName>
    <definedName name="urenjaar1">'Regulier werk'!$M$29</definedName>
    <definedName name="urenjaartotaal">Objecten!$K$10</definedName>
    <definedName name="urenjaartotaal1">Objecten!$K$7</definedName>
    <definedName name="urenjaartotaalhf">Objecten!$J$10</definedName>
    <definedName name="urenjaartotaalhf1">Objecten!$J$7</definedName>
    <definedName name="urenjaartotaaloverzicht">'Totaalblad Objecten'!$B$11</definedName>
    <definedName name="urenjaartotaaloverzichthf">'Totaalblad Objecten'!$B$10</definedName>
    <definedName name="uurfactortabel1">Objectinformatie!$F$5:$F$27</definedName>
    <definedName name="uurtarief0">Regiewerk!$I$8</definedName>
    <definedName name="uurtarief1">'Regulier werk'!$J$28</definedName>
    <definedName name="uurtarief10">'Regulier werk'!$J$14</definedName>
    <definedName name="uurtarief11">'Regulier werk'!$J$15</definedName>
    <definedName name="uurtarief12">'Regulier werk'!$J$16</definedName>
    <definedName name="uurtarief13">'Regulier werk'!$J$17</definedName>
    <definedName name="uurtarief14">'Regulier werk'!$J$18</definedName>
    <definedName name="uurtarief15">'Regulier werk'!$J$19</definedName>
    <definedName name="uurtarief16">'Regulier werk'!$J$20</definedName>
    <definedName name="uurtarief17">'Regulier werk'!$J$21</definedName>
    <definedName name="uurtarief18">'Regulier werk'!$J$22</definedName>
    <definedName name="uurtarief19">'Regulier werk'!$J$23</definedName>
    <definedName name="uurtarief2">'Regulier werk'!$J$6</definedName>
    <definedName name="uurtarief20">'Regulier werk'!$J$24</definedName>
    <definedName name="uurtarief21">'Regulier werk'!$J$25</definedName>
    <definedName name="uurtarief22">'Regulier werk'!$J$26</definedName>
    <definedName name="uurtarief23">'Regulier werk'!$J$27</definedName>
    <definedName name="uurtarief3">'Regulier werk'!$J$7</definedName>
    <definedName name="uurtarief4">'Regulier werk'!$J$8</definedName>
    <definedName name="uurtarief5">'Regulier werk'!$J$9</definedName>
    <definedName name="uurtarief6">'Regulier werk'!$J$10</definedName>
    <definedName name="uurtarief7">'Regulier werk'!$J$11</definedName>
    <definedName name="uurtarief8">'Regulier werk'!$J$12</definedName>
    <definedName name="uurtarief9">'Regulier werk'!$J$13</definedName>
    <definedName name="vp_regie">Totaal!$E$5</definedName>
    <definedName name="vp_regulier">Totaal!$E$4</definedName>
    <definedName name="vp_variant">Totaal!$E$10</definedName>
    <definedName name="vu_regulier">Totaal!$B$4</definedName>
    <definedName name="vu_variant">Totaal!$B$7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1" l="1"/>
  <c r="A1" i="10"/>
  <c r="A1" i="9"/>
  <c r="B8" i="8"/>
  <c r="A1" i="8"/>
  <c r="A1" i="7"/>
  <c r="H27" i="6"/>
  <c r="O5" i="5"/>
  <c r="A1" i="5"/>
  <c r="H27" i="4"/>
  <c r="G27" i="4"/>
  <c r="J26" i="4"/>
  <c r="H26" i="4"/>
  <c r="G26" i="4"/>
  <c r="J25" i="4"/>
  <c r="H25" i="4"/>
  <c r="G25" i="4"/>
  <c r="J24" i="4"/>
  <c r="H24" i="4"/>
  <c r="G24" i="4"/>
  <c r="J23" i="4"/>
  <c r="H23" i="4"/>
  <c r="G23" i="4"/>
  <c r="J22" i="4"/>
  <c r="H22" i="4"/>
  <c r="G22" i="4"/>
  <c r="H21" i="4"/>
  <c r="G21" i="4"/>
  <c r="J20" i="4"/>
  <c r="H20" i="4"/>
  <c r="G20" i="4"/>
  <c r="J19" i="4"/>
  <c r="H19" i="4"/>
  <c r="G19" i="4"/>
  <c r="J18" i="4"/>
  <c r="H18" i="4"/>
  <c r="G18" i="4"/>
  <c r="J17" i="4"/>
  <c r="H17" i="4"/>
  <c r="G17" i="4"/>
  <c r="J16" i="4"/>
  <c r="H16" i="4"/>
  <c r="G16" i="4"/>
  <c r="J15" i="4"/>
  <c r="H15" i="4"/>
  <c r="G15" i="4"/>
  <c r="J14" i="4"/>
  <c r="H14" i="4"/>
  <c r="G14" i="4"/>
  <c r="J13" i="4"/>
  <c r="H13" i="4"/>
  <c r="G13" i="4"/>
  <c r="J12" i="4"/>
  <c r="H12" i="4"/>
  <c r="G12" i="4"/>
  <c r="J11" i="4"/>
  <c r="H11" i="4"/>
  <c r="G11" i="4"/>
  <c r="J10" i="4"/>
  <c r="H10" i="4"/>
  <c r="G10" i="4"/>
  <c r="J9" i="4"/>
  <c r="H9" i="4"/>
  <c r="G9" i="4"/>
  <c r="J8" i="4"/>
  <c r="H8" i="4"/>
  <c r="G8" i="4"/>
  <c r="J7" i="4"/>
  <c r="H7" i="4"/>
  <c r="G7" i="4"/>
  <c r="J6" i="4"/>
  <c r="H6" i="4"/>
  <c r="G6" i="4"/>
  <c r="A1" i="4"/>
  <c r="A1" i="3"/>
  <c r="A61" i="2"/>
  <c r="F60" i="2"/>
  <c r="D60" i="2"/>
  <c r="B60" i="2"/>
  <c r="A59" i="2"/>
  <c r="A58" i="2"/>
  <c r="A53" i="2"/>
  <c r="A52" i="2"/>
  <c r="H51" i="2"/>
  <c r="F51" i="2"/>
  <c r="D51" i="2"/>
  <c r="B51" i="2"/>
  <c r="A50" i="2"/>
  <c r="A49" i="2"/>
  <c r="A48" i="2"/>
  <c r="A47" i="2"/>
  <c r="R9" i="2"/>
  <c r="P9" i="2"/>
  <c r="N9" i="2"/>
  <c r="L9" i="2"/>
  <c r="J9" i="2"/>
  <c r="H9" i="2"/>
  <c r="F9" i="2"/>
  <c r="D9" i="2"/>
  <c r="B9" i="2"/>
  <c r="K15" i="1"/>
  <c r="K14" i="1"/>
  <c r="K13" i="1"/>
  <c r="H24" i="1"/>
  <c r="H23" i="1"/>
  <c r="H22" i="1"/>
  <c r="H21" i="1"/>
  <c r="H20" i="1"/>
  <c r="H19" i="1"/>
  <c r="H18" i="1"/>
  <c r="H17" i="1"/>
  <c r="H16" i="1"/>
  <c r="H15" i="1"/>
  <c r="H14" i="1"/>
  <c r="H13" i="1"/>
  <c r="E24" i="1"/>
  <c r="E23" i="1"/>
  <c r="E22" i="1"/>
  <c r="E21" i="1"/>
  <c r="E20" i="1"/>
  <c r="E19" i="1"/>
  <c r="E18" i="1"/>
  <c r="E17" i="1"/>
  <c r="E16" i="1"/>
  <c r="E15" i="1"/>
  <c r="E14" i="1"/>
  <c r="E13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O93" i="5" l="1"/>
  <c r="H26" i="6"/>
  <c r="O91" i="5"/>
  <c r="O95" i="5"/>
  <c r="G26" i="6"/>
  <c r="N93" i="5"/>
  <c r="N91" i="5"/>
  <c r="K27" i="4"/>
  <c r="M27" i="4" s="1"/>
  <c r="N95" i="5"/>
  <c r="I25" i="6"/>
  <c r="Q109" i="5"/>
  <c r="Q178" i="5"/>
  <c r="Q257" i="5"/>
  <c r="Q190" i="5"/>
  <c r="Q186" i="5"/>
  <c r="Q61" i="5"/>
  <c r="Q25" i="5"/>
  <c r="Q205" i="5"/>
  <c r="Q27" i="5"/>
  <c r="Q158" i="5"/>
  <c r="Q19" i="5"/>
  <c r="Q64" i="5"/>
  <c r="Q13" i="5"/>
  <c r="Q127" i="5"/>
  <c r="Q67" i="5"/>
  <c r="Q144" i="5"/>
  <c r="Q222" i="5"/>
  <c r="Q138" i="5"/>
  <c r="O67" i="5"/>
  <c r="O190" i="5"/>
  <c r="O109" i="5"/>
  <c r="O19" i="5"/>
  <c r="O257" i="5"/>
  <c r="O13" i="5"/>
  <c r="O127" i="5"/>
  <c r="O186" i="5"/>
  <c r="O138" i="5"/>
  <c r="O222" i="5"/>
  <c r="O178" i="5"/>
  <c r="O27" i="5"/>
  <c r="O158" i="5"/>
  <c r="H25" i="6"/>
  <c r="O144" i="5"/>
  <c r="O61" i="5"/>
  <c r="O205" i="5"/>
  <c r="O64" i="5"/>
  <c r="O25" i="5"/>
  <c r="N222" i="5"/>
  <c r="K26" i="4"/>
  <c r="N27" i="5"/>
  <c r="G25" i="6"/>
  <c r="N127" i="5"/>
  <c r="N61" i="5"/>
  <c r="N257" i="5"/>
  <c r="N19" i="5"/>
  <c r="N205" i="5"/>
  <c r="N178" i="5"/>
  <c r="N25" i="5"/>
  <c r="N109" i="5"/>
  <c r="N190" i="5"/>
  <c r="N13" i="5"/>
  <c r="N144" i="5"/>
  <c r="N138" i="5"/>
  <c r="N186" i="5"/>
  <c r="N158" i="5"/>
  <c r="N67" i="5"/>
  <c r="N64" i="5"/>
  <c r="Q171" i="5"/>
  <c r="Q59" i="5"/>
  <c r="Q58" i="5"/>
  <c r="I24" i="6"/>
  <c r="Q24" i="5"/>
  <c r="Q23" i="5"/>
  <c r="O171" i="5"/>
  <c r="O58" i="5"/>
  <c r="O59" i="5"/>
  <c r="O23" i="5"/>
  <c r="H24" i="6"/>
  <c r="O24" i="5"/>
  <c r="N171" i="5"/>
  <c r="N58" i="5"/>
  <c r="N23" i="5"/>
  <c r="N59" i="5"/>
  <c r="N24" i="5"/>
  <c r="K25" i="4"/>
  <c r="G24" i="6"/>
  <c r="Q146" i="5"/>
  <c r="I23" i="6"/>
  <c r="Q160" i="5"/>
  <c r="O146" i="5"/>
  <c r="O160" i="5"/>
  <c r="H23" i="6"/>
  <c r="N146" i="5"/>
  <c r="G23" i="6"/>
  <c r="N160" i="5"/>
  <c r="K24" i="4"/>
  <c r="I22" i="6"/>
  <c r="Q43" i="5"/>
  <c r="Q80" i="5"/>
  <c r="Q98" i="5"/>
  <c r="H22" i="6"/>
  <c r="O98" i="5"/>
  <c r="O43" i="5"/>
  <c r="O80" i="5"/>
  <c r="K23" i="4"/>
  <c r="G22" i="6"/>
  <c r="N80" i="5"/>
  <c r="N98" i="5"/>
  <c r="N43" i="5"/>
  <c r="Q236" i="5"/>
  <c r="Q242" i="5"/>
  <c r="Q235" i="5"/>
  <c r="Q199" i="5"/>
  <c r="Q212" i="5"/>
  <c r="Q74" i="5"/>
  <c r="Q77" i="5"/>
  <c r="Q84" i="5"/>
  <c r="Q268" i="5"/>
  <c r="Q85" i="5"/>
  <c r="Q234" i="5"/>
  <c r="Q269" i="5"/>
  <c r="Q114" i="5"/>
  <c r="Q233" i="5"/>
  <c r="Q256" i="5"/>
  <c r="Q232" i="5"/>
  <c r="Q122" i="5"/>
  <c r="Q255" i="5"/>
  <c r="Q134" i="5"/>
  <c r="Q48" i="5"/>
  <c r="Q148" i="5"/>
  <c r="I21" i="6"/>
  <c r="Q9" i="5"/>
  <c r="Q34" i="5"/>
  <c r="Q197" i="5"/>
  <c r="O256" i="5"/>
  <c r="O255" i="5"/>
  <c r="O122" i="5"/>
  <c r="O148" i="5"/>
  <c r="O134" i="5"/>
  <c r="H21" i="6"/>
  <c r="O242" i="5"/>
  <c r="O268" i="5"/>
  <c r="O235" i="5"/>
  <c r="O234" i="5"/>
  <c r="O233" i="5"/>
  <c r="O232" i="5"/>
  <c r="O9" i="5"/>
  <c r="O212" i="5"/>
  <c r="O34" i="5"/>
  <c r="O48" i="5"/>
  <c r="O199" i="5"/>
  <c r="O197" i="5"/>
  <c r="O74" i="5"/>
  <c r="O77" i="5"/>
  <c r="O236" i="5"/>
  <c r="O84" i="5"/>
  <c r="O85" i="5"/>
  <c r="O269" i="5"/>
  <c r="O114" i="5"/>
  <c r="N34" i="5"/>
  <c r="N255" i="5"/>
  <c r="N268" i="5"/>
  <c r="N256" i="5"/>
  <c r="N77" i="5"/>
  <c r="G21" i="6"/>
  <c r="N212" i="5"/>
  <c r="N233" i="5"/>
  <c r="N242" i="5"/>
  <c r="N197" i="5"/>
  <c r="N48" i="5"/>
  <c r="K22" i="4"/>
  <c r="N122" i="5"/>
  <c r="N74" i="5"/>
  <c r="N199" i="5"/>
  <c r="N234" i="5"/>
  <c r="N236" i="5"/>
  <c r="N114" i="5"/>
  <c r="N232" i="5"/>
  <c r="N148" i="5"/>
  <c r="N235" i="5"/>
  <c r="N9" i="5"/>
  <c r="N134" i="5"/>
  <c r="N269" i="5"/>
  <c r="N85" i="5"/>
  <c r="N84" i="5"/>
  <c r="O180" i="5"/>
  <c r="H20" i="6"/>
  <c r="O119" i="5"/>
  <c r="O184" i="5"/>
  <c r="O57" i="5"/>
  <c r="O79" i="5"/>
  <c r="O229" i="5"/>
  <c r="O263" i="5"/>
  <c r="O182" i="5"/>
  <c r="N180" i="5"/>
  <c r="N79" i="5"/>
  <c r="N182" i="5"/>
  <c r="N263" i="5"/>
  <c r="G20" i="6"/>
  <c r="N57" i="5"/>
  <c r="N119" i="5"/>
  <c r="N184" i="5"/>
  <c r="N229" i="5"/>
  <c r="K21" i="4"/>
  <c r="M21" i="4" s="1"/>
  <c r="Q161" i="5"/>
  <c r="Q52" i="5"/>
  <c r="Q265" i="5"/>
  <c r="Q230" i="5"/>
  <c r="I19" i="6"/>
  <c r="Q223" i="5"/>
  <c r="Q262" i="5"/>
  <c r="Q181" i="5"/>
  <c r="Q264" i="5"/>
  <c r="Q259" i="5"/>
  <c r="Q183" i="5"/>
  <c r="Q55" i="5"/>
  <c r="Q228" i="5"/>
  <c r="Q78" i="5"/>
  <c r="Q163" i="5"/>
  <c r="Q118" i="5"/>
  <c r="Q56" i="5"/>
  <c r="Q227" i="5"/>
  <c r="Q226" i="5"/>
  <c r="Q129" i="5"/>
  <c r="Q115" i="5"/>
  <c r="Q179" i="5"/>
  <c r="Q177" i="5"/>
  <c r="O161" i="5"/>
  <c r="O183" i="5"/>
  <c r="O78" i="5"/>
  <c r="O226" i="5"/>
  <c r="O228" i="5"/>
  <c r="O223" i="5"/>
  <c r="O115" i="5"/>
  <c r="O264" i="5"/>
  <c r="O262" i="5"/>
  <c r="O129" i="5"/>
  <c r="O230" i="5"/>
  <c r="O265" i="5"/>
  <c r="O259" i="5"/>
  <c r="O56" i="5"/>
  <c r="O227" i="5"/>
  <c r="O118" i="5"/>
  <c r="O52" i="5"/>
  <c r="O55" i="5"/>
  <c r="O181" i="5"/>
  <c r="O179" i="5"/>
  <c r="H19" i="6"/>
  <c r="O177" i="5"/>
  <c r="O163" i="5"/>
  <c r="N227" i="5"/>
  <c r="N129" i="5"/>
  <c r="N56" i="5"/>
  <c r="N230" i="5"/>
  <c r="N78" i="5"/>
  <c r="N115" i="5"/>
  <c r="N161" i="5"/>
  <c r="N183" i="5"/>
  <c r="N118" i="5"/>
  <c r="G19" i="6"/>
  <c r="N52" i="5"/>
  <c r="N55" i="5"/>
  <c r="N181" i="5"/>
  <c r="N223" i="5"/>
  <c r="K20" i="4"/>
  <c r="N262" i="5"/>
  <c r="N265" i="5"/>
  <c r="N228" i="5"/>
  <c r="N179" i="5"/>
  <c r="N163" i="5"/>
  <c r="N259" i="5"/>
  <c r="N226" i="5"/>
  <c r="N177" i="5"/>
  <c r="N264" i="5"/>
  <c r="Q102" i="5"/>
  <c r="I18" i="6"/>
  <c r="Q106" i="5"/>
  <c r="Q111" i="5"/>
  <c r="Q108" i="5"/>
  <c r="Q104" i="5"/>
  <c r="Q46" i="5"/>
  <c r="Q113" i="5"/>
  <c r="H18" i="6"/>
  <c r="O46" i="5"/>
  <c r="O108" i="5"/>
  <c r="O113" i="5"/>
  <c r="O106" i="5"/>
  <c r="O104" i="5"/>
  <c r="O111" i="5"/>
  <c r="O102" i="5"/>
  <c r="N113" i="5"/>
  <c r="N104" i="5"/>
  <c r="N111" i="5"/>
  <c r="K19" i="4"/>
  <c r="N106" i="5"/>
  <c r="G18" i="6"/>
  <c r="N108" i="5"/>
  <c r="N46" i="5"/>
  <c r="N102" i="5"/>
  <c r="Q105" i="5"/>
  <c r="Q21" i="5"/>
  <c r="Q112" i="5"/>
  <c r="I17" i="6"/>
  <c r="Q103" i="5"/>
  <c r="Q101" i="5"/>
  <c r="Q22" i="5"/>
  <c r="Q110" i="5"/>
  <c r="Q107" i="5"/>
  <c r="O110" i="5"/>
  <c r="O107" i="5"/>
  <c r="H17" i="6"/>
  <c r="O105" i="5"/>
  <c r="O21" i="5"/>
  <c r="O103" i="5"/>
  <c r="O112" i="5"/>
  <c r="O22" i="5"/>
  <c r="O101" i="5"/>
  <c r="N107" i="5"/>
  <c r="G17" i="6"/>
  <c r="N101" i="5"/>
  <c r="N110" i="5"/>
  <c r="N103" i="5"/>
  <c r="K18" i="4"/>
  <c r="N105" i="5"/>
  <c r="N21" i="5"/>
  <c r="N112" i="5"/>
  <c r="N22" i="5"/>
  <c r="Q86" i="5"/>
  <c r="Q123" i="5"/>
  <c r="Q117" i="5"/>
  <c r="I16" i="6"/>
  <c r="Q152" i="5"/>
  <c r="Q88" i="5"/>
  <c r="Q87" i="5"/>
  <c r="Q44" i="5"/>
  <c r="Q45" i="5"/>
  <c r="O86" i="5"/>
  <c r="O44" i="5"/>
  <c r="O87" i="5"/>
  <c r="O88" i="5"/>
  <c r="O45" i="5"/>
  <c r="O117" i="5"/>
  <c r="H16" i="6"/>
  <c r="O123" i="5"/>
  <c r="O152" i="5"/>
  <c r="N44" i="5"/>
  <c r="N88" i="5"/>
  <c r="N86" i="5"/>
  <c r="N152" i="5"/>
  <c r="N45" i="5"/>
  <c r="G16" i="6"/>
  <c r="N123" i="5"/>
  <c r="N87" i="5"/>
  <c r="K17" i="4"/>
  <c r="N117" i="5"/>
  <c r="Q266" i="5"/>
  <c r="Q251" i="5"/>
  <c r="Q254" i="5"/>
  <c r="I15" i="6"/>
  <c r="Q237" i="5"/>
  <c r="Q252" i="5"/>
  <c r="O266" i="5"/>
  <c r="O252" i="5"/>
  <c r="O251" i="5"/>
  <c r="O237" i="5"/>
  <c r="O254" i="5"/>
  <c r="H15" i="6"/>
  <c r="K16" i="4"/>
  <c r="G15" i="6"/>
  <c r="N254" i="5"/>
  <c r="N251" i="5"/>
  <c r="N252" i="5"/>
  <c r="N266" i="5"/>
  <c r="N237" i="5"/>
  <c r="Q221" i="5"/>
  <c r="Q220" i="5"/>
  <c r="Q153" i="5"/>
  <c r="I14" i="6"/>
  <c r="O221" i="5"/>
  <c r="O153" i="5"/>
  <c r="O220" i="5"/>
  <c r="H14" i="6"/>
  <c r="G14" i="6"/>
  <c r="N220" i="5"/>
  <c r="N221" i="5"/>
  <c r="K15" i="4"/>
  <c r="N153" i="5"/>
  <c r="I13" i="6"/>
  <c r="Q124" i="5"/>
  <c r="H13" i="6"/>
  <c r="O124" i="5"/>
  <c r="G13" i="6"/>
  <c r="K14" i="4"/>
  <c r="N124" i="5"/>
  <c r="Q191" i="5"/>
  <c r="Q76" i="5"/>
  <c r="Q203" i="5"/>
  <c r="Q201" i="5"/>
  <c r="Q188" i="5"/>
  <c r="I12" i="6"/>
  <c r="Q200" i="5"/>
  <c r="Q209" i="5"/>
  <c r="O191" i="5"/>
  <c r="O203" i="5"/>
  <c r="O200" i="5"/>
  <c r="O188" i="5"/>
  <c r="O201" i="5"/>
  <c r="O76" i="5"/>
  <c r="H12" i="6"/>
  <c r="O209" i="5"/>
  <c r="G12" i="6"/>
  <c r="N191" i="5"/>
  <c r="K13" i="4"/>
  <c r="N200" i="5"/>
  <c r="N201" i="5"/>
  <c r="N76" i="5"/>
  <c r="N203" i="5"/>
  <c r="N188" i="5"/>
  <c r="N209" i="5"/>
  <c r="Q189" i="5"/>
  <c r="Q206" i="5"/>
  <c r="I11" i="6"/>
  <c r="Q139" i="5"/>
  <c r="Q50" i="5"/>
  <c r="Q143" i="5"/>
  <c r="Q66" i="5"/>
  <c r="Q198" i="5"/>
  <c r="Q176" i="5"/>
  <c r="Q175" i="5"/>
  <c r="Q192" i="5"/>
  <c r="Q128" i="5"/>
  <c r="Q62" i="5"/>
  <c r="Q63" i="5"/>
  <c r="Q65" i="5"/>
  <c r="Q239" i="5"/>
  <c r="Q238" i="5"/>
  <c r="Q187" i="5"/>
  <c r="Q215" i="5"/>
  <c r="Q68" i="5"/>
  <c r="Q126" i="5"/>
  <c r="Q211" i="5"/>
  <c r="Q210" i="5"/>
  <c r="Q142" i="5"/>
  <c r="Q208" i="5"/>
  <c r="Q241" i="5"/>
  <c r="Q141" i="5"/>
  <c r="Q207" i="5"/>
  <c r="Q240" i="5"/>
  <c r="Q140" i="5"/>
  <c r="O66" i="5"/>
  <c r="O238" i="5"/>
  <c r="H11" i="6"/>
  <c r="O239" i="5"/>
  <c r="O68" i="5"/>
  <c r="O140" i="5"/>
  <c r="O128" i="5"/>
  <c r="O207" i="5"/>
  <c r="O141" i="5"/>
  <c r="O208" i="5"/>
  <c r="O63" i="5"/>
  <c r="O215" i="5"/>
  <c r="O192" i="5"/>
  <c r="O175" i="5"/>
  <c r="O126" i="5"/>
  <c r="O142" i="5"/>
  <c r="O176" i="5"/>
  <c r="O198" i="5"/>
  <c r="O65" i="5"/>
  <c r="O210" i="5"/>
  <c r="O62" i="5"/>
  <c r="O143" i="5"/>
  <c r="O50" i="5"/>
  <c r="O241" i="5"/>
  <c r="O189" i="5"/>
  <c r="O139" i="5"/>
  <c r="O206" i="5"/>
  <c r="O240" i="5"/>
  <c r="O187" i="5"/>
  <c r="O211" i="5"/>
  <c r="N238" i="5"/>
  <c r="N239" i="5"/>
  <c r="K12" i="4"/>
  <c r="N62" i="5"/>
  <c r="N66" i="5"/>
  <c r="N63" i="5"/>
  <c r="N65" i="5"/>
  <c r="N241" i="5"/>
  <c r="N189" i="5"/>
  <c r="N198" i="5"/>
  <c r="N240" i="5"/>
  <c r="G11" i="6"/>
  <c r="N142" i="5"/>
  <c r="N128" i="5"/>
  <c r="N141" i="5"/>
  <c r="N126" i="5"/>
  <c r="N140" i="5"/>
  <c r="N68" i="5"/>
  <c r="N139" i="5"/>
  <c r="N143" i="5"/>
  <c r="N192" i="5"/>
  <c r="N175" i="5"/>
  <c r="N187" i="5"/>
  <c r="N176" i="5"/>
  <c r="N50" i="5"/>
  <c r="N206" i="5"/>
  <c r="N207" i="5"/>
  <c r="N208" i="5"/>
  <c r="N210" i="5"/>
  <c r="N211" i="5"/>
  <c r="N215" i="5"/>
  <c r="I10" i="6"/>
  <c r="Q51" i="5"/>
  <c r="H10" i="6"/>
  <c r="O51" i="5"/>
  <c r="K11" i="4"/>
  <c r="G10" i="6"/>
  <c r="N51" i="5"/>
  <c r="I9" i="6"/>
  <c r="Q81" i="5"/>
  <c r="Q167" i="5"/>
  <c r="Q172" i="5"/>
  <c r="Q75" i="5"/>
  <c r="Q121" i="5"/>
  <c r="Q173" i="5"/>
  <c r="O167" i="5"/>
  <c r="O173" i="5"/>
  <c r="O172" i="5"/>
  <c r="H9" i="6"/>
  <c r="O121" i="5"/>
  <c r="O81" i="5"/>
  <c r="O75" i="5"/>
  <c r="N167" i="5"/>
  <c r="N75" i="5"/>
  <c r="N173" i="5"/>
  <c r="N172" i="5"/>
  <c r="G9" i="6"/>
  <c r="N121" i="5"/>
  <c r="N81" i="5"/>
  <c r="K10" i="4"/>
  <c r="I8" i="6"/>
  <c r="Q94" i="5"/>
  <c r="Q92" i="5"/>
  <c r="Q97" i="5"/>
  <c r="Q89" i="5"/>
  <c r="Q90" i="5"/>
  <c r="Q120" i="5"/>
  <c r="O120" i="5"/>
  <c r="O94" i="5"/>
  <c r="H8" i="6"/>
  <c r="O92" i="5"/>
  <c r="O90" i="5"/>
  <c r="O89" i="5"/>
  <c r="O97" i="5"/>
  <c r="N89" i="5"/>
  <c r="N92" i="5"/>
  <c r="N94" i="5"/>
  <c r="G8" i="6"/>
  <c r="N97" i="5"/>
  <c r="N90" i="5"/>
  <c r="N120" i="5"/>
  <c r="K9" i="4"/>
  <c r="Q162" i="5"/>
  <c r="Q204" i="5"/>
  <c r="Q147" i="5"/>
  <c r="Q174" i="5"/>
  <c r="Q125" i="5"/>
  <c r="Q245" i="5"/>
  <c r="I7" i="6"/>
  <c r="Q49" i="5"/>
  <c r="Q82" i="5"/>
  <c r="Q83" i="5"/>
  <c r="Q196" i="5"/>
  <c r="Q202" i="5"/>
  <c r="Q73" i="5"/>
  <c r="O83" i="5"/>
  <c r="O147" i="5"/>
  <c r="H7" i="6"/>
  <c r="O245" i="5"/>
  <c r="O125" i="5"/>
  <c r="O174" i="5"/>
  <c r="O49" i="5"/>
  <c r="O82" i="5"/>
  <c r="O73" i="5"/>
  <c r="O162" i="5"/>
  <c r="O204" i="5"/>
  <c r="O196" i="5"/>
  <c r="O202" i="5"/>
  <c r="N162" i="5"/>
  <c r="N49" i="5"/>
  <c r="N196" i="5"/>
  <c r="N125" i="5"/>
  <c r="N204" i="5"/>
  <c r="N245" i="5"/>
  <c r="N73" i="5"/>
  <c r="K8" i="4"/>
  <c r="N83" i="5"/>
  <c r="N82" i="5"/>
  <c r="N147" i="5"/>
  <c r="N174" i="5"/>
  <c r="N202" i="5"/>
  <c r="G7" i="6"/>
  <c r="Q137" i="5"/>
  <c r="Q214" i="5"/>
  <c r="Q250" i="5"/>
  <c r="Q216" i="5"/>
  <c r="Q6" i="5"/>
  <c r="Q165" i="5"/>
  <c r="I6" i="6"/>
  <c r="Q60" i="5"/>
  <c r="Q166" i="5"/>
  <c r="Q151" i="5"/>
  <c r="Q130" i="5"/>
  <c r="Q244" i="5"/>
  <c r="Q136" i="5"/>
  <c r="Q157" i="5"/>
  <c r="Q155" i="5"/>
  <c r="Q70" i="5"/>
  <c r="Q133" i="5"/>
  <c r="Q135" i="5"/>
  <c r="Q149" i="5"/>
  <c r="Q243" i="5"/>
  <c r="Q246" i="5"/>
  <c r="Q213" i="5"/>
  <c r="Q150" i="5"/>
  <c r="Q116" i="5"/>
  <c r="Q247" i="5"/>
  <c r="O137" i="5"/>
  <c r="O136" i="5"/>
  <c r="O135" i="5"/>
  <c r="O165" i="5"/>
  <c r="O166" i="5"/>
  <c r="O116" i="5"/>
  <c r="O151" i="5"/>
  <c r="O155" i="5"/>
  <c r="O216" i="5"/>
  <c r="O150" i="5"/>
  <c r="O157" i="5"/>
  <c r="O213" i="5"/>
  <c r="O214" i="5"/>
  <c r="O149" i="5"/>
  <c r="O6" i="5"/>
  <c r="O130" i="5"/>
  <c r="O133" i="5"/>
  <c r="O60" i="5"/>
  <c r="H6" i="6"/>
  <c r="O70" i="5"/>
  <c r="O250" i="5"/>
  <c r="O247" i="5"/>
  <c r="O246" i="5"/>
  <c r="O244" i="5"/>
  <c r="O243" i="5"/>
  <c r="N137" i="5"/>
  <c r="N165" i="5"/>
  <c r="N250" i="5"/>
  <c r="N135" i="5"/>
  <c r="N151" i="5"/>
  <c r="N70" i="5"/>
  <c r="N136" i="5"/>
  <c r="N149" i="5"/>
  <c r="N166" i="5"/>
  <c r="N216" i="5"/>
  <c r="N133" i="5"/>
  <c r="N214" i="5"/>
  <c r="N155" i="5"/>
  <c r="N60" i="5"/>
  <c r="N116" i="5"/>
  <c r="N213" i="5"/>
  <c r="K7" i="4"/>
  <c r="N157" i="5"/>
  <c r="N150" i="5"/>
  <c r="G6" i="6"/>
  <c r="N130" i="5"/>
  <c r="N243" i="5"/>
  <c r="N6" i="5"/>
  <c r="N247" i="5"/>
  <c r="N246" i="5"/>
  <c r="N244" i="5"/>
  <c r="Q42" i="5"/>
  <c r="I5" i="6"/>
  <c r="H5" i="6"/>
  <c r="O42" i="5"/>
  <c r="G5" i="6"/>
  <c r="K6" i="4"/>
  <c r="L6" i="4" s="1"/>
  <c r="N42" i="5"/>
  <c r="S11" i="2"/>
  <c r="S10" i="2"/>
  <c r="R12" i="2" s="1"/>
  <c r="Q11" i="2"/>
  <c r="Q10" i="2"/>
  <c r="P12" i="2" s="1"/>
  <c r="O11" i="2"/>
  <c r="O10" i="2"/>
  <c r="N12" i="2" s="1"/>
  <c r="M11" i="2"/>
  <c r="M10" i="2"/>
  <c r="L12" i="2" s="1"/>
  <c r="K11" i="2"/>
  <c r="K10" i="2"/>
  <c r="J12" i="2" s="1"/>
  <c r="I11" i="2"/>
  <c r="I10" i="2"/>
  <c r="H12" i="2" s="1"/>
  <c r="G10" i="2"/>
  <c r="F12" i="2" s="1"/>
  <c r="G11" i="2"/>
  <c r="E10" i="2"/>
  <c r="E11" i="2"/>
  <c r="D12" i="2" s="1"/>
  <c r="C11" i="2"/>
  <c r="C10" i="2"/>
  <c r="B12" i="2" s="1"/>
  <c r="C7" i="10"/>
  <c r="C6" i="10"/>
  <c r="C8" i="10"/>
  <c r="M95" i="5"/>
  <c r="M91" i="5"/>
  <c r="E26" i="6"/>
  <c r="F27" i="4"/>
  <c r="M93" i="5"/>
  <c r="M196" i="5"/>
  <c r="M149" i="5"/>
  <c r="F7" i="4"/>
  <c r="E7" i="6"/>
  <c r="M216" i="5"/>
  <c r="M166" i="5"/>
  <c r="M250" i="5"/>
  <c r="M165" i="5"/>
  <c r="M204" i="5"/>
  <c r="M155" i="5"/>
  <c r="M174" i="5"/>
  <c r="F8" i="4"/>
  <c r="M214" i="5"/>
  <c r="M247" i="5"/>
  <c r="M213" i="5"/>
  <c r="M246" i="5"/>
  <c r="M245" i="5"/>
  <c r="M244" i="5"/>
  <c r="M82" i="5"/>
  <c r="M125" i="5"/>
  <c r="M70" i="5"/>
  <c r="M150" i="5"/>
  <c r="M243" i="5"/>
  <c r="M116" i="5"/>
  <c r="M151" i="5"/>
  <c r="M157" i="5"/>
  <c r="M49" i="5"/>
  <c r="M137" i="5"/>
  <c r="E6" i="6"/>
  <c r="M136" i="5"/>
  <c r="M135" i="5"/>
  <c r="M147" i="5"/>
  <c r="M162" i="5"/>
  <c r="M130" i="5"/>
  <c r="M60" i="5"/>
  <c r="M6" i="5"/>
  <c r="M73" i="5"/>
  <c r="M83" i="5"/>
  <c r="M202" i="5"/>
  <c r="M133" i="5"/>
  <c r="F28" i="4"/>
  <c r="K28" i="4" s="1"/>
  <c r="M28" i="4" s="1"/>
  <c r="E27" i="6"/>
  <c r="M5" i="5"/>
  <c r="R5" i="5" s="1"/>
  <c r="M192" i="5"/>
  <c r="M198" i="5"/>
  <c r="F16" i="4"/>
  <c r="M240" i="5"/>
  <c r="M68" i="5"/>
  <c r="F15" i="4"/>
  <c r="M66" i="5"/>
  <c r="M210" i="5"/>
  <c r="M65" i="5"/>
  <c r="M63" i="5"/>
  <c r="M62" i="5"/>
  <c r="M211" i="5"/>
  <c r="F12" i="4"/>
  <c r="E16" i="6"/>
  <c r="E15" i="6"/>
  <c r="E14" i="6"/>
  <c r="E11" i="6"/>
  <c r="M266" i="5"/>
  <c r="M206" i="5"/>
  <c r="M254" i="5"/>
  <c r="M252" i="5"/>
  <c r="M251" i="5"/>
  <c r="M241" i="5"/>
  <c r="M143" i="5"/>
  <c r="M142" i="5"/>
  <c r="M215" i="5"/>
  <c r="M50" i="5"/>
  <c r="M141" i="5"/>
  <c r="M140" i="5"/>
  <c r="M139" i="5"/>
  <c r="M128" i="5"/>
  <c r="M126" i="5"/>
  <c r="M123" i="5"/>
  <c r="M220" i="5"/>
  <c r="M152" i="5"/>
  <c r="M207" i="5"/>
  <c r="M221" i="5"/>
  <c r="M153" i="5"/>
  <c r="M117" i="5"/>
  <c r="M175" i="5"/>
  <c r="M208" i="5"/>
  <c r="M176" i="5"/>
  <c r="M45" i="5"/>
  <c r="M88" i="5"/>
  <c r="M187" i="5"/>
  <c r="M237" i="5"/>
  <c r="M238" i="5"/>
  <c r="M87" i="5"/>
  <c r="M44" i="5"/>
  <c r="M86" i="5"/>
  <c r="M239" i="5"/>
  <c r="M189" i="5"/>
  <c r="F17" i="4"/>
  <c r="M78" i="5"/>
  <c r="M108" i="5"/>
  <c r="M167" i="5"/>
  <c r="M109" i="5"/>
  <c r="M77" i="5"/>
  <c r="M111" i="5"/>
  <c r="M163" i="5"/>
  <c r="M43" i="5"/>
  <c r="M112" i="5"/>
  <c r="M76" i="5"/>
  <c r="M113" i="5"/>
  <c r="M42" i="5"/>
  <c r="M161" i="5"/>
  <c r="M160" i="5"/>
  <c r="M75" i="5"/>
  <c r="M34" i="5"/>
  <c r="M158" i="5"/>
  <c r="M197" i="5"/>
  <c r="M188" i="5"/>
  <c r="M27" i="5"/>
  <c r="M74" i="5"/>
  <c r="M114" i="5"/>
  <c r="M212" i="5"/>
  <c r="M25" i="5"/>
  <c r="M115" i="5"/>
  <c r="M118" i="5"/>
  <c r="M119" i="5"/>
  <c r="M24" i="5"/>
  <c r="M120" i="5"/>
  <c r="M121" i="5"/>
  <c r="M122" i="5"/>
  <c r="M23" i="5"/>
  <c r="M124" i="5"/>
  <c r="M127" i="5"/>
  <c r="M129" i="5"/>
  <c r="M22" i="5"/>
  <c r="M148" i="5"/>
  <c r="M89" i="5"/>
  <c r="M134" i="5"/>
  <c r="M21" i="5"/>
  <c r="M146" i="5"/>
  <c r="M138" i="5"/>
  <c r="M67" i="5"/>
  <c r="M19" i="5"/>
  <c r="M144" i="5"/>
  <c r="M110" i="5"/>
  <c r="M242" i="5"/>
  <c r="M13" i="5"/>
  <c r="M184" i="5"/>
  <c r="M255" i="5"/>
  <c r="M256" i="5"/>
  <c r="M9" i="5"/>
  <c r="M257" i="5"/>
  <c r="M90" i="5"/>
  <c r="M199" i="5"/>
  <c r="M200" i="5"/>
  <c r="M259" i="5"/>
  <c r="M64" i="5"/>
  <c r="M262" i="5"/>
  <c r="M263" i="5"/>
  <c r="M222" i="5"/>
  <c r="M223" i="5"/>
  <c r="F26" i="4"/>
  <c r="M226" i="5"/>
  <c r="M227" i="5"/>
  <c r="F25" i="4"/>
  <c r="M228" i="5"/>
  <c r="M229" i="5"/>
  <c r="F24" i="4"/>
  <c r="M230" i="5"/>
  <c r="M232" i="5"/>
  <c r="F23" i="4"/>
  <c r="M233" i="5"/>
  <c r="M234" i="5"/>
  <c r="F22" i="4"/>
  <c r="M209" i="5"/>
  <c r="F21" i="4"/>
  <c r="M236" i="5"/>
  <c r="M264" i="5"/>
  <c r="F20" i="4"/>
  <c r="M182" i="5"/>
  <c r="M265" i="5"/>
  <c r="F19" i="4"/>
  <c r="M268" i="5"/>
  <c r="M269" i="5"/>
  <c r="F18" i="4"/>
  <c r="M186" i="5"/>
  <c r="E5" i="6"/>
  <c r="E8" i="6"/>
  <c r="M201" i="5"/>
  <c r="M61" i="5"/>
  <c r="E9" i="6"/>
  <c r="E10" i="6"/>
  <c r="E12" i="6"/>
  <c r="E13" i="6"/>
  <c r="E17" i="6"/>
  <c r="E18" i="6"/>
  <c r="F14" i="4"/>
  <c r="E19" i="6"/>
  <c r="M59" i="5"/>
  <c r="F13" i="4"/>
  <c r="E20" i="6"/>
  <c r="E21" i="6"/>
  <c r="E22" i="6"/>
  <c r="M58" i="5"/>
  <c r="E23" i="6"/>
  <c r="F11" i="4"/>
  <c r="M203" i="5"/>
  <c r="M57" i="5"/>
  <c r="F10" i="4"/>
  <c r="E24" i="6"/>
  <c r="E25" i="6"/>
  <c r="F9" i="4"/>
  <c r="M85" i="5"/>
  <c r="M56" i="5"/>
  <c r="M181" i="5"/>
  <c r="M92" i="5"/>
  <c r="M180" i="5"/>
  <c r="M55" i="5"/>
  <c r="M84" i="5"/>
  <c r="M205" i="5"/>
  <c r="F6" i="4"/>
  <c r="M179" i="5"/>
  <c r="M52" i="5"/>
  <c r="M94" i="5"/>
  <c r="M178" i="5"/>
  <c r="M177" i="5"/>
  <c r="M51" i="5"/>
  <c r="M97" i="5"/>
  <c r="M98" i="5"/>
  <c r="M101" i="5"/>
  <c r="M102" i="5"/>
  <c r="M103" i="5"/>
  <c r="M104" i="5"/>
  <c r="M105" i="5"/>
  <c r="M81" i="5"/>
  <c r="M190" i="5"/>
  <c r="M191" i="5"/>
  <c r="M173" i="5"/>
  <c r="M48" i="5"/>
  <c r="M80" i="5"/>
  <c r="M106" i="5"/>
  <c r="M172" i="5"/>
  <c r="M46" i="5"/>
  <c r="M79" i="5"/>
  <c r="M183" i="5"/>
  <c r="M171" i="5"/>
  <c r="M107" i="5"/>
  <c r="M235" i="5"/>
  <c r="R93" i="5" l="1"/>
  <c r="U93" i="5" s="1"/>
  <c r="S93" i="5"/>
  <c r="R91" i="5"/>
  <c r="U91" i="5" s="1"/>
  <c r="S91" i="5"/>
  <c r="R95" i="5"/>
  <c r="U95" i="5" s="1"/>
  <c r="S95" i="5"/>
  <c r="R222" i="5"/>
  <c r="S222" i="5"/>
  <c r="R27" i="5"/>
  <c r="S27" i="5"/>
  <c r="R127" i="5"/>
  <c r="S127" i="5"/>
  <c r="R61" i="5"/>
  <c r="S61" i="5"/>
  <c r="R257" i="5"/>
  <c r="S257" i="5"/>
  <c r="R19" i="5"/>
  <c r="S19" i="5"/>
  <c r="R205" i="5"/>
  <c r="S205" i="5"/>
  <c r="R178" i="5"/>
  <c r="S178" i="5"/>
  <c r="R25" i="5"/>
  <c r="S25" i="5"/>
  <c r="R109" i="5"/>
  <c r="S109" i="5"/>
  <c r="R190" i="5"/>
  <c r="S190" i="5"/>
  <c r="R13" i="5"/>
  <c r="S13" i="5"/>
  <c r="R144" i="5"/>
  <c r="S144" i="5"/>
  <c r="R138" i="5"/>
  <c r="S138" i="5"/>
  <c r="R186" i="5"/>
  <c r="S186" i="5"/>
  <c r="R158" i="5"/>
  <c r="S158" i="5"/>
  <c r="R67" i="5"/>
  <c r="S67" i="5"/>
  <c r="R64" i="5"/>
  <c r="S64" i="5"/>
  <c r="R171" i="5"/>
  <c r="S171" i="5"/>
  <c r="R58" i="5"/>
  <c r="S58" i="5"/>
  <c r="R23" i="5"/>
  <c r="S23" i="5"/>
  <c r="R59" i="5"/>
  <c r="S59" i="5"/>
  <c r="R24" i="5"/>
  <c r="S24" i="5"/>
  <c r="R146" i="5"/>
  <c r="S146" i="5"/>
  <c r="R160" i="5"/>
  <c r="S160" i="5"/>
  <c r="R80" i="5"/>
  <c r="S80" i="5"/>
  <c r="R98" i="5"/>
  <c r="S98" i="5"/>
  <c r="R43" i="5"/>
  <c r="S43" i="5"/>
  <c r="R34" i="5"/>
  <c r="S34" i="5"/>
  <c r="R255" i="5"/>
  <c r="S255" i="5"/>
  <c r="R268" i="5"/>
  <c r="S268" i="5"/>
  <c r="R256" i="5"/>
  <c r="S256" i="5"/>
  <c r="R77" i="5"/>
  <c r="S77" i="5"/>
  <c r="R212" i="5"/>
  <c r="S212" i="5"/>
  <c r="R233" i="5"/>
  <c r="S233" i="5"/>
  <c r="R242" i="5"/>
  <c r="S242" i="5"/>
  <c r="R197" i="5"/>
  <c r="S197" i="5"/>
  <c r="R48" i="5"/>
  <c r="S48" i="5"/>
  <c r="R122" i="5"/>
  <c r="S122" i="5"/>
  <c r="R74" i="5"/>
  <c r="S74" i="5"/>
  <c r="R199" i="5"/>
  <c r="S199" i="5"/>
  <c r="R234" i="5"/>
  <c r="S234" i="5"/>
  <c r="R236" i="5"/>
  <c r="S236" i="5"/>
  <c r="R114" i="5"/>
  <c r="S114" i="5"/>
  <c r="R232" i="5"/>
  <c r="S232" i="5"/>
  <c r="R148" i="5"/>
  <c r="S148" i="5"/>
  <c r="R235" i="5"/>
  <c r="S235" i="5"/>
  <c r="R9" i="5"/>
  <c r="S9" i="5"/>
  <c r="R134" i="5"/>
  <c r="S134" i="5"/>
  <c r="R269" i="5"/>
  <c r="S269" i="5"/>
  <c r="R85" i="5"/>
  <c r="S85" i="5"/>
  <c r="R84" i="5"/>
  <c r="S84" i="5"/>
  <c r="R180" i="5"/>
  <c r="U180" i="5" s="1"/>
  <c r="S180" i="5"/>
  <c r="R79" i="5"/>
  <c r="U79" i="5" s="1"/>
  <c r="S79" i="5"/>
  <c r="R182" i="5"/>
  <c r="U182" i="5" s="1"/>
  <c r="S182" i="5"/>
  <c r="R263" i="5"/>
  <c r="U263" i="5" s="1"/>
  <c r="S263" i="5"/>
  <c r="R57" i="5"/>
  <c r="U57" i="5" s="1"/>
  <c r="S57" i="5"/>
  <c r="R119" i="5"/>
  <c r="U119" i="5" s="1"/>
  <c r="S119" i="5"/>
  <c r="R184" i="5"/>
  <c r="U184" i="5" s="1"/>
  <c r="S184" i="5"/>
  <c r="R229" i="5"/>
  <c r="U229" i="5" s="1"/>
  <c r="S229" i="5"/>
  <c r="R227" i="5"/>
  <c r="S227" i="5"/>
  <c r="R129" i="5"/>
  <c r="S129" i="5"/>
  <c r="R56" i="5"/>
  <c r="S56" i="5"/>
  <c r="R230" i="5"/>
  <c r="S230" i="5"/>
  <c r="R78" i="5"/>
  <c r="S78" i="5"/>
  <c r="R115" i="5"/>
  <c r="S115" i="5"/>
  <c r="R161" i="5"/>
  <c r="S161" i="5"/>
  <c r="R183" i="5"/>
  <c r="S183" i="5"/>
  <c r="R118" i="5"/>
  <c r="S118" i="5"/>
  <c r="R52" i="5"/>
  <c r="S52" i="5"/>
  <c r="R55" i="5"/>
  <c r="S55" i="5"/>
  <c r="R181" i="5"/>
  <c r="S181" i="5"/>
  <c r="R223" i="5"/>
  <c r="S223" i="5"/>
  <c r="R262" i="5"/>
  <c r="S262" i="5"/>
  <c r="R265" i="5"/>
  <c r="S265" i="5"/>
  <c r="R228" i="5"/>
  <c r="S228" i="5"/>
  <c r="R179" i="5"/>
  <c r="S179" i="5"/>
  <c r="R163" i="5"/>
  <c r="S163" i="5"/>
  <c r="R259" i="5"/>
  <c r="S259" i="5"/>
  <c r="R226" i="5"/>
  <c r="S226" i="5"/>
  <c r="R177" i="5"/>
  <c r="S177" i="5"/>
  <c r="R264" i="5"/>
  <c r="S264" i="5"/>
  <c r="R113" i="5"/>
  <c r="S113" i="5"/>
  <c r="R104" i="5"/>
  <c r="S104" i="5"/>
  <c r="R111" i="5"/>
  <c r="S111" i="5"/>
  <c r="R106" i="5"/>
  <c r="S106" i="5"/>
  <c r="R108" i="5"/>
  <c r="S108" i="5"/>
  <c r="R46" i="5"/>
  <c r="S46" i="5"/>
  <c r="R102" i="5"/>
  <c r="S102" i="5"/>
  <c r="R107" i="5"/>
  <c r="S107" i="5"/>
  <c r="R101" i="5"/>
  <c r="S101" i="5"/>
  <c r="R110" i="5"/>
  <c r="S110" i="5"/>
  <c r="R103" i="5"/>
  <c r="S103" i="5"/>
  <c r="R105" i="5"/>
  <c r="S105" i="5"/>
  <c r="R21" i="5"/>
  <c r="S21" i="5"/>
  <c r="R112" i="5"/>
  <c r="S112" i="5"/>
  <c r="R22" i="5"/>
  <c r="S22" i="5"/>
  <c r="R44" i="5"/>
  <c r="S44" i="5"/>
  <c r="R88" i="5"/>
  <c r="S88" i="5"/>
  <c r="R86" i="5"/>
  <c r="S86" i="5"/>
  <c r="R152" i="5"/>
  <c r="S152" i="5"/>
  <c r="R45" i="5"/>
  <c r="S45" i="5"/>
  <c r="R123" i="5"/>
  <c r="S123" i="5"/>
  <c r="R87" i="5"/>
  <c r="S87" i="5"/>
  <c r="R117" i="5"/>
  <c r="S117" i="5"/>
  <c r="R254" i="5"/>
  <c r="S254" i="5"/>
  <c r="R251" i="5"/>
  <c r="S251" i="5"/>
  <c r="R252" i="5"/>
  <c r="S252" i="5"/>
  <c r="R266" i="5"/>
  <c r="S266" i="5"/>
  <c r="R237" i="5"/>
  <c r="S237" i="5"/>
  <c r="R220" i="5"/>
  <c r="S220" i="5"/>
  <c r="R221" i="5"/>
  <c r="S221" i="5"/>
  <c r="R153" i="5"/>
  <c r="S153" i="5"/>
  <c r="R124" i="5"/>
  <c r="S124" i="5"/>
  <c r="R191" i="5"/>
  <c r="S191" i="5"/>
  <c r="R200" i="5"/>
  <c r="S200" i="5"/>
  <c r="R201" i="5"/>
  <c r="S201" i="5"/>
  <c r="R76" i="5"/>
  <c r="S76" i="5"/>
  <c r="R203" i="5"/>
  <c r="S203" i="5"/>
  <c r="R188" i="5"/>
  <c r="S188" i="5"/>
  <c r="R209" i="5"/>
  <c r="S209" i="5"/>
  <c r="R238" i="5"/>
  <c r="S238" i="5"/>
  <c r="R239" i="5"/>
  <c r="S239" i="5"/>
  <c r="R62" i="5"/>
  <c r="S62" i="5"/>
  <c r="R66" i="5"/>
  <c r="S66" i="5"/>
  <c r="R63" i="5"/>
  <c r="S63" i="5"/>
  <c r="R65" i="5"/>
  <c r="S65" i="5"/>
  <c r="R241" i="5"/>
  <c r="S241" i="5"/>
  <c r="R189" i="5"/>
  <c r="S189" i="5"/>
  <c r="R198" i="5"/>
  <c r="S198" i="5"/>
  <c r="R240" i="5"/>
  <c r="S240" i="5"/>
  <c r="R142" i="5"/>
  <c r="S142" i="5"/>
  <c r="R128" i="5"/>
  <c r="S128" i="5"/>
  <c r="R141" i="5"/>
  <c r="S141" i="5"/>
  <c r="R126" i="5"/>
  <c r="S126" i="5"/>
  <c r="R140" i="5"/>
  <c r="S140" i="5"/>
  <c r="R68" i="5"/>
  <c r="S68" i="5"/>
  <c r="R139" i="5"/>
  <c r="S139" i="5"/>
  <c r="R143" i="5"/>
  <c r="S143" i="5"/>
  <c r="R192" i="5"/>
  <c r="S192" i="5"/>
  <c r="R175" i="5"/>
  <c r="S175" i="5"/>
  <c r="R187" i="5"/>
  <c r="S187" i="5"/>
  <c r="R176" i="5"/>
  <c r="S176" i="5"/>
  <c r="R50" i="5"/>
  <c r="S50" i="5"/>
  <c r="R206" i="5"/>
  <c r="S206" i="5"/>
  <c r="R207" i="5"/>
  <c r="S207" i="5"/>
  <c r="R208" i="5"/>
  <c r="S208" i="5"/>
  <c r="R210" i="5"/>
  <c r="S210" i="5"/>
  <c r="R211" i="5"/>
  <c r="S211" i="5"/>
  <c r="R215" i="5"/>
  <c r="S215" i="5"/>
  <c r="R51" i="5"/>
  <c r="S51" i="5"/>
  <c r="R167" i="5"/>
  <c r="S167" i="5"/>
  <c r="R75" i="5"/>
  <c r="S75" i="5"/>
  <c r="R173" i="5"/>
  <c r="S173" i="5"/>
  <c r="R172" i="5"/>
  <c r="S172" i="5"/>
  <c r="R121" i="5"/>
  <c r="S121" i="5"/>
  <c r="R81" i="5"/>
  <c r="S81" i="5"/>
  <c r="R89" i="5"/>
  <c r="S89" i="5"/>
  <c r="R92" i="5"/>
  <c r="S92" i="5"/>
  <c r="R94" i="5"/>
  <c r="S94" i="5"/>
  <c r="R97" i="5"/>
  <c r="S97" i="5"/>
  <c r="R90" i="5"/>
  <c r="S90" i="5"/>
  <c r="R120" i="5"/>
  <c r="S120" i="5"/>
  <c r="R162" i="5"/>
  <c r="S162" i="5"/>
  <c r="R49" i="5"/>
  <c r="S49" i="5"/>
  <c r="R196" i="5"/>
  <c r="S196" i="5"/>
  <c r="R125" i="5"/>
  <c r="S125" i="5"/>
  <c r="R204" i="5"/>
  <c r="S204" i="5"/>
  <c r="R245" i="5"/>
  <c r="S245" i="5"/>
  <c r="R73" i="5"/>
  <c r="S73" i="5"/>
  <c r="R83" i="5"/>
  <c r="S83" i="5"/>
  <c r="R82" i="5"/>
  <c r="S82" i="5"/>
  <c r="R147" i="5"/>
  <c r="S147" i="5"/>
  <c r="R174" i="5"/>
  <c r="S174" i="5"/>
  <c r="R202" i="5"/>
  <c r="S202" i="5"/>
  <c r="R137" i="5"/>
  <c r="S137" i="5"/>
  <c r="R165" i="5"/>
  <c r="S165" i="5"/>
  <c r="R250" i="5"/>
  <c r="S250" i="5"/>
  <c r="R135" i="5"/>
  <c r="S135" i="5"/>
  <c r="R151" i="5"/>
  <c r="S151" i="5"/>
  <c r="R70" i="5"/>
  <c r="S70" i="5"/>
  <c r="R136" i="5"/>
  <c r="S136" i="5"/>
  <c r="R149" i="5"/>
  <c r="S149" i="5"/>
  <c r="R166" i="5"/>
  <c r="S166" i="5"/>
  <c r="R216" i="5"/>
  <c r="S216" i="5"/>
  <c r="R133" i="5"/>
  <c r="S133" i="5"/>
  <c r="R214" i="5"/>
  <c r="S214" i="5"/>
  <c r="R155" i="5"/>
  <c r="S155" i="5"/>
  <c r="R60" i="5"/>
  <c r="S60" i="5"/>
  <c r="R116" i="5"/>
  <c r="S116" i="5"/>
  <c r="R213" i="5"/>
  <c r="S213" i="5"/>
  <c r="R157" i="5"/>
  <c r="S157" i="5"/>
  <c r="R150" i="5"/>
  <c r="S150" i="5"/>
  <c r="R130" i="5"/>
  <c r="S130" i="5"/>
  <c r="R243" i="5"/>
  <c r="S243" i="5"/>
  <c r="R6" i="5"/>
  <c r="S6" i="5"/>
  <c r="R247" i="5"/>
  <c r="S247" i="5"/>
  <c r="R246" i="5"/>
  <c r="S246" i="5"/>
  <c r="R244" i="5"/>
  <c r="S244" i="5"/>
  <c r="M6" i="4"/>
  <c r="K29" i="4"/>
  <c r="R42" i="5"/>
  <c r="S42" i="5"/>
  <c r="S13" i="2"/>
  <c r="R14" i="2"/>
  <c r="Q13" i="2"/>
  <c r="P14" i="2"/>
  <c r="O13" i="2"/>
  <c r="N14" i="2"/>
  <c r="M13" i="2"/>
  <c r="L14" i="2"/>
  <c r="K13" i="2"/>
  <c r="J14" i="2"/>
  <c r="I13" i="2"/>
  <c r="H14" i="2"/>
  <c r="G13" i="2"/>
  <c r="F14" i="2"/>
  <c r="E13" i="2"/>
  <c r="D14" i="2"/>
  <c r="C13" i="2"/>
  <c r="B14" i="2"/>
  <c r="S5" i="5"/>
  <c r="S270" i="5" s="1"/>
  <c r="U5" i="5"/>
  <c r="R270" i="5"/>
  <c r="G6" i="7"/>
  <c r="K6" i="7" s="1"/>
  <c r="H6" i="7"/>
  <c r="J6" i="7" s="1"/>
  <c r="M26" i="4"/>
  <c r="N26" i="4" s="1"/>
  <c r="L26" i="4"/>
  <c r="M25" i="4"/>
  <c r="N25" i="4" s="1"/>
  <c r="L25" i="4"/>
  <c r="M24" i="4"/>
  <c r="N24" i="4" s="1"/>
  <c r="L24" i="4"/>
  <c r="M23" i="4"/>
  <c r="N23" i="4" s="1"/>
  <c r="L23" i="4"/>
  <c r="M22" i="4"/>
  <c r="N22" i="4" s="1"/>
  <c r="L22" i="4"/>
  <c r="M20" i="4"/>
  <c r="N20" i="4" s="1"/>
  <c r="L20" i="4"/>
  <c r="M19" i="4"/>
  <c r="N19" i="4" s="1"/>
  <c r="L19" i="4"/>
  <c r="M18" i="4"/>
  <c r="N18" i="4" s="1"/>
  <c r="L18" i="4"/>
  <c r="M17" i="4"/>
  <c r="N17" i="4" s="1"/>
  <c r="L17" i="4"/>
  <c r="M16" i="4"/>
  <c r="N16" i="4" s="1"/>
  <c r="L16" i="4"/>
  <c r="M15" i="4"/>
  <c r="N15" i="4" s="1"/>
  <c r="L15" i="4"/>
  <c r="M14" i="4"/>
  <c r="N14" i="4" s="1"/>
  <c r="L14" i="4"/>
  <c r="M13" i="4"/>
  <c r="N13" i="4" s="1"/>
  <c r="L13" i="4"/>
  <c r="M12" i="4"/>
  <c r="N12" i="4" s="1"/>
  <c r="L12" i="4"/>
  <c r="M11" i="4"/>
  <c r="N11" i="4" s="1"/>
  <c r="L11" i="4"/>
  <c r="M10" i="4"/>
  <c r="N10" i="4" s="1"/>
  <c r="L10" i="4"/>
  <c r="M9" i="4"/>
  <c r="N9" i="4" s="1"/>
  <c r="L9" i="4"/>
  <c r="M8" i="4"/>
  <c r="N8" i="4" s="1"/>
  <c r="L8" i="4"/>
  <c r="M7" i="4"/>
  <c r="N7" i="4" s="1"/>
  <c r="L7" i="4"/>
  <c r="T222" i="5" l="1"/>
  <c r="U222" i="5"/>
  <c r="V222" i="5" s="1"/>
  <c r="T27" i="5"/>
  <c r="U27" i="5"/>
  <c r="V27" i="5" s="1"/>
  <c r="T127" i="5"/>
  <c r="U127" i="5"/>
  <c r="V127" i="5" s="1"/>
  <c r="T61" i="5"/>
  <c r="U61" i="5"/>
  <c r="V61" i="5" s="1"/>
  <c r="T257" i="5"/>
  <c r="U257" i="5"/>
  <c r="V257" i="5" s="1"/>
  <c r="T19" i="5"/>
  <c r="U19" i="5"/>
  <c r="V19" i="5" s="1"/>
  <c r="T205" i="5"/>
  <c r="U205" i="5"/>
  <c r="V205" i="5" s="1"/>
  <c r="T178" i="5"/>
  <c r="U178" i="5"/>
  <c r="V178" i="5" s="1"/>
  <c r="T25" i="5"/>
  <c r="U25" i="5"/>
  <c r="V25" i="5" s="1"/>
  <c r="T109" i="5"/>
  <c r="U109" i="5"/>
  <c r="V109" i="5" s="1"/>
  <c r="T190" i="5"/>
  <c r="U190" i="5"/>
  <c r="V190" i="5" s="1"/>
  <c r="T13" i="5"/>
  <c r="U13" i="5"/>
  <c r="V13" i="5" s="1"/>
  <c r="T144" i="5"/>
  <c r="U144" i="5"/>
  <c r="V144" i="5" s="1"/>
  <c r="T138" i="5"/>
  <c r="U138" i="5"/>
  <c r="V138" i="5" s="1"/>
  <c r="T186" i="5"/>
  <c r="U186" i="5"/>
  <c r="V186" i="5" s="1"/>
  <c r="T158" i="5"/>
  <c r="U158" i="5"/>
  <c r="V158" i="5" s="1"/>
  <c r="T67" i="5"/>
  <c r="U67" i="5"/>
  <c r="V67" i="5" s="1"/>
  <c r="T64" i="5"/>
  <c r="U64" i="5"/>
  <c r="V64" i="5" s="1"/>
  <c r="T171" i="5"/>
  <c r="U171" i="5"/>
  <c r="V171" i="5" s="1"/>
  <c r="T58" i="5"/>
  <c r="U58" i="5"/>
  <c r="V58" i="5" s="1"/>
  <c r="T23" i="5"/>
  <c r="U23" i="5"/>
  <c r="V23" i="5" s="1"/>
  <c r="T59" i="5"/>
  <c r="U59" i="5"/>
  <c r="V59" i="5" s="1"/>
  <c r="T24" i="5"/>
  <c r="U24" i="5"/>
  <c r="V24" i="5" s="1"/>
  <c r="T146" i="5"/>
  <c r="U146" i="5"/>
  <c r="V146" i="5" s="1"/>
  <c r="T160" i="5"/>
  <c r="U160" i="5"/>
  <c r="V160" i="5" s="1"/>
  <c r="T80" i="5"/>
  <c r="U80" i="5"/>
  <c r="V80" i="5" s="1"/>
  <c r="T98" i="5"/>
  <c r="U98" i="5"/>
  <c r="V98" i="5" s="1"/>
  <c r="T43" i="5"/>
  <c r="U43" i="5"/>
  <c r="V43" i="5" s="1"/>
  <c r="T34" i="5"/>
  <c r="U34" i="5"/>
  <c r="V34" i="5" s="1"/>
  <c r="T255" i="5"/>
  <c r="U255" i="5"/>
  <c r="V255" i="5" s="1"/>
  <c r="T268" i="5"/>
  <c r="U268" i="5"/>
  <c r="V268" i="5" s="1"/>
  <c r="T256" i="5"/>
  <c r="U256" i="5"/>
  <c r="V256" i="5" s="1"/>
  <c r="T77" i="5"/>
  <c r="U77" i="5"/>
  <c r="V77" i="5" s="1"/>
  <c r="T212" i="5"/>
  <c r="U212" i="5"/>
  <c r="V212" i="5" s="1"/>
  <c r="T233" i="5"/>
  <c r="U233" i="5"/>
  <c r="V233" i="5" s="1"/>
  <c r="T242" i="5"/>
  <c r="U242" i="5"/>
  <c r="V242" i="5" s="1"/>
  <c r="T197" i="5"/>
  <c r="U197" i="5"/>
  <c r="V197" i="5" s="1"/>
  <c r="T48" i="5"/>
  <c r="U48" i="5"/>
  <c r="V48" i="5" s="1"/>
  <c r="T122" i="5"/>
  <c r="U122" i="5"/>
  <c r="V122" i="5" s="1"/>
  <c r="T74" i="5"/>
  <c r="U74" i="5"/>
  <c r="V74" i="5" s="1"/>
  <c r="T199" i="5"/>
  <c r="U199" i="5"/>
  <c r="V199" i="5" s="1"/>
  <c r="T234" i="5"/>
  <c r="U234" i="5"/>
  <c r="V234" i="5" s="1"/>
  <c r="T236" i="5"/>
  <c r="U236" i="5"/>
  <c r="V236" i="5" s="1"/>
  <c r="T114" i="5"/>
  <c r="U114" i="5"/>
  <c r="V114" i="5" s="1"/>
  <c r="T232" i="5"/>
  <c r="U232" i="5"/>
  <c r="V232" i="5" s="1"/>
  <c r="T148" i="5"/>
  <c r="U148" i="5"/>
  <c r="V148" i="5" s="1"/>
  <c r="T235" i="5"/>
  <c r="U235" i="5"/>
  <c r="V235" i="5" s="1"/>
  <c r="T9" i="5"/>
  <c r="U9" i="5"/>
  <c r="V9" i="5" s="1"/>
  <c r="T134" i="5"/>
  <c r="U134" i="5"/>
  <c r="V134" i="5" s="1"/>
  <c r="T269" i="5"/>
  <c r="U269" i="5"/>
  <c r="V269" i="5" s="1"/>
  <c r="T85" i="5"/>
  <c r="U85" i="5"/>
  <c r="V85" i="5" s="1"/>
  <c r="T84" i="5"/>
  <c r="U84" i="5"/>
  <c r="V84" i="5" s="1"/>
  <c r="T227" i="5"/>
  <c r="U227" i="5"/>
  <c r="V227" i="5" s="1"/>
  <c r="T129" i="5"/>
  <c r="U129" i="5"/>
  <c r="V129" i="5" s="1"/>
  <c r="T56" i="5"/>
  <c r="U56" i="5"/>
  <c r="V56" i="5" s="1"/>
  <c r="T230" i="5"/>
  <c r="U230" i="5"/>
  <c r="V230" i="5" s="1"/>
  <c r="T78" i="5"/>
  <c r="U78" i="5"/>
  <c r="V78" i="5" s="1"/>
  <c r="T115" i="5"/>
  <c r="U115" i="5"/>
  <c r="V115" i="5" s="1"/>
  <c r="T161" i="5"/>
  <c r="U161" i="5"/>
  <c r="V161" i="5" s="1"/>
  <c r="T183" i="5"/>
  <c r="U183" i="5"/>
  <c r="V183" i="5" s="1"/>
  <c r="T118" i="5"/>
  <c r="U118" i="5"/>
  <c r="V118" i="5" s="1"/>
  <c r="T52" i="5"/>
  <c r="U52" i="5"/>
  <c r="V52" i="5" s="1"/>
  <c r="T55" i="5"/>
  <c r="U55" i="5"/>
  <c r="V55" i="5" s="1"/>
  <c r="T181" i="5"/>
  <c r="U181" i="5"/>
  <c r="V181" i="5" s="1"/>
  <c r="T223" i="5"/>
  <c r="U223" i="5"/>
  <c r="V223" i="5" s="1"/>
  <c r="T262" i="5"/>
  <c r="U262" i="5"/>
  <c r="V262" i="5" s="1"/>
  <c r="T265" i="5"/>
  <c r="U265" i="5"/>
  <c r="V265" i="5" s="1"/>
  <c r="T228" i="5"/>
  <c r="U228" i="5"/>
  <c r="V228" i="5" s="1"/>
  <c r="T179" i="5"/>
  <c r="U179" i="5"/>
  <c r="V179" i="5" s="1"/>
  <c r="T163" i="5"/>
  <c r="U163" i="5"/>
  <c r="V163" i="5" s="1"/>
  <c r="T259" i="5"/>
  <c r="U259" i="5"/>
  <c r="V259" i="5" s="1"/>
  <c r="T226" i="5"/>
  <c r="U226" i="5"/>
  <c r="V226" i="5" s="1"/>
  <c r="T177" i="5"/>
  <c r="U177" i="5"/>
  <c r="V177" i="5" s="1"/>
  <c r="T264" i="5"/>
  <c r="U264" i="5"/>
  <c r="V264" i="5" s="1"/>
  <c r="T113" i="5"/>
  <c r="U113" i="5"/>
  <c r="V113" i="5" s="1"/>
  <c r="T104" i="5"/>
  <c r="U104" i="5"/>
  <c r="V104" i="5" s="1"/>
  <c r="T111" i="5"/>
  <c r="U111" i="5"/>
  <c r="V111" i="5" s="1"/>
  <c r="T106" i="5"/>
  <c r="U106" i="5"/>
  <c r="V106" i="5" s="1"/>
  <c r="T108" i="5"/>
  <c r="U108" i="5"/>
  <c r="V108" i="5" s="1"/>
  <c r="T46" i="5"/>
  <c r="U46" i="5"/>
  <c r="V46" i="5" s="1"/>
  <c r="T102" i="5"/>
  <c r="U102" i="5"/>
  <c r="V102" i="5" s="1"/>
  <c r="T107" i="5"/>
  <c r="U107" i="5"/>
  <c r="V107" i="5" s="1"/>
  <c r="T101" i="5"/>
  <c r="U101" i="5"/>
  <c r="V101" i="5" s="1"/>
  <c r="T110" i="5"/>
  <c r="U110" i="5"/>
  <c r="V110" i="5" s="1"/>
  <c r="T103" i="5"/>
  <c r="U103" i="5"/>
  <c r="V103" i="5" s="1"/>
  <c r="T105" i="5"/>
  <c r="U105" i="5"/>
  <c r="V105" i="5" s="1"/>
  <c r="T21" i="5"/>
  <c r="U21" i="5"/>
  <c r="V21" i="5" s="1"/>
  <c r="T112" i="5"/>
  <c r="U112" i="5"/>
  <c r="V112" i="5" s="1"/>
  <c r="T22" i="5"/>
  <c r="U22" i="5"/>
  <c r="V22" i="5" s="1"/>
  <c r="T44" i="5"/>
  <c r="U44" i="5"/>
  <c r="V44" i="5" s="1"/>
  <c r="T88" i="5"/>
  <c r="U88" i="5"/>
  <c r="V88" i="5" s="1"/>
  <c r="T86" i="5"/>
  <c r="U86" i="5"/>
  <c r="V86" i="5" s="1"/>
  <c r="T152" i="5"/>
  <c r="U152" i="5"/>
  <c r="V152" i="5" s="1"/>
  <c r="T45" i="5"/>
  <c r="U45" i="5"/>
  <c r="V45" i="5" s="1"/>
  <c r="T123" i="5"/>
  <c r="U123" i="5"/>
  <c r="V123" i="5" s="1"/>
  <c r="T87" i="5"/>
  <c r="U87" i="5"/>
  <c r="V87" i="5" s="1"/>
  <c r="T117" i="5"/>
  <c r="U117" i="5"/>
  <c r="V117" i="5" s="1"/>
  <c r="T254" i="5"/>
  <c r="U254" i="5"/>
  <c r="V254" i="5" s="1"/>
  <c r="T251" i="5"/>
  <c r="U251" i="5"/>
  <c r="V251" i="5" s="1"/>
  <c r="T252" i="5"/>
  <c r="U252" i="5"/>
  <c r="V252" i="5" s="1"/>
  <c r="T266" i="5"/>
  <c r="U266" i="5"/>
  <c r="V266" i="5" s="1"/>
  <c r="T237" i="5"/>
  <c r="U237" i="5"/>
  <c r="V237" i="5" s="1"/>
  <c r="T220" i="5"/>
  <c r="U220" i="5"/>
  <c r="V220" i="5" s="1"/>
  <c r="T221" i="5"/>
  <c r="U221" i="5"/>
  <c r="V221" i="5" s="1"/>
  <c r="T153" i="5"/>
  <c r="U153" i="5"/>
  <c r="V153" i="5" s="1"/>
  <c r="T124" i="5"/>
  <c r="U124" i="5"/>
  <c r="V124" i="5" s="1"/>
  <c r="T191" i="5"/>
  <c r="U191" i="5"/>
  <c r="V191" i="5" s="1"/>
  <c r="T200" i="5"/>
  <c r="U200" i="5"/>
  <c r="V200" i="5" s="1"/>
  <c r="T201" i="5"/>
  <c r="U201" i="5"/>
  <c r="V201" i="5" s="1"/>
  <c r="T76" i="5"/>
  <c r="U76" i="5"/>
  <c r="V76" i="5" s="1"/>
  <c r="T203" i="5"/>
  <c r="U203" i="5"/>
  <c r="V203" i="5" s="1"/>
  <c r="T188" i="5"/>
  <c r="U188" i="5"/>
  <c r="V188" i="5" s="1"/>
  <c r="T209" i="5"/>
  <c r="U209" i="5"/>
  <c r="V209" i="5" s="1"/>
  <c r="T238" i="5"/>
  <c r="U238" i="5"/>
  <c r="V238" i="5" s="1"/>
  <c r="T239" i="5"/>
  <c r="U239" i="5"/>
  <c r="V239" i="5" s="1"/>
  <c r="T62" i="5"/>
  <c r="U62" i="5"/>
  <c r="V62" i="5" s="1"/>
  <c r="T66" i="5"/>
  <c r="U66" i="5"/>
  <c r="V66" i="5" s="1"/>
  <c r="T63" i="5"/>
  <c r="U63" i="5"/>
  <c r="V63" i="5" s="1"/>
  <c r="T65" i="5"/>
  <c r="U65" i="5"/>
  <c r="V65" i="5" s="1"/>
  <c r="T241" i="5"/>
  <c r="U241" i="5"/>
  <c r="V241" i="5" s="1"/>
  <c r="T189" i="5"/>
  <c r="U189" i="5"/>
  <c r="V189" i="5" s="1"/>
  <c r="T198" i="5"/>
  <c r="U198" i="5"/>
  <c r="V198" i="5" s="1"/>
  <c r="T240" i="5"/>
  <c r="U240" i="5"/>
  <c r="V240" i="5" s="1"/>
  <c r="T142" i="5"/>
  <c r="U142" i="5"/>
  <c r="V142" i="5" s="1"/>
  <c r="T128" i="5"/>
  <c r="U128" i="5"/>
  <c r="V128" i="5" s="1"/>
  <c r="T141" i="5"/>
  <c r="U141" i="5"/>
  <c r="V141" i="5" s="1"/>
  <c r="T126" i="5"/>
  <c r="U126" i="5"/>
  <c r="V126" i="5" s="1"/>
  <c r="T140" i="5"/>
  <c r="U140" i="5"/>
  <c r="V140" i="5" s="1"/>
  <c r="T68" i="5"/>
  <c r="U68" i="5"/>
  <c r="V68" i="5" s="1"/>
  <c r="T139" i="5"/>
  <c r="U139" i="5"/>
  <c r="V139" i="5" s="1"/>
  <c r="T143" i="5"/>
  <c r="U143" i="5"/>
  <c r="V143" i="5" s="1"/>
  <c r="T192" i="5"/>
  <c r="U192" i="5"/>
  <c r="V192" i="5" s="1"/>
  <c r="T175" i="5"/>
  <c r="U175" i="5"/>
  <c r="V175" i="5" s="1"/>
  <c r="T187" i="5"/>
  <c r="U187" i="5"/>
  <c r="V187" i="5" s="1"/>
  <c r="T176" i="5"/>
  <c r="U176" i="5"/>
  <c r="V176" i="5" s="1"/>
  <c r="T50" i="5"/>
  <c r="U50" i="5"/>
  <c r="V50" i="5" s="1"/>
  <c r="T206" i="5"/>
  <c r="U206" i="5"/>
  <c r="V206" i="5" s="1"/>
  <c r="T207" i="5"/>
  <c r="U207" i="5"/>
  <c r="V207" i="5" s="1"/>
  <c r="T208" i="5"/>
  <c r="U208" i="5"/>
  <c r="V208" i="5" s="1"/>
  <c r="T210" i="5"/>
  <c r="U210" i="5"/>
  <c r="V210" i="5" s="1"/>
  <c r="T211" i="5"/>
  <c r="U211" i="5"/>
  <c r="V211" i="5" s="1"/>
  <c r="T215" i="5"/>
  <c r="U215" i="5"/>
  <c r="V215" i="5" s="1"/>
  <c r="T51" i="5"/>
  <c r="U51" i="5"/>
  <c r="V51" i="5" s="1"/>
  <c r="T167" i="5"/>
  <c r="U167" i="5"/>
  <c r="V167" i="5" s="1"/>
  <c r="T75" i="5"/>
  <c r="U75" i="5"/>
  <c r="V75" i="5" s="1"/>
  <c r="T173" i="5"/>
  <c r="U173" i="5"/>
  <c r="V173" i="5" s="1"/>
  <c r="T172" i="5"/>
  <c r="U172" i="5"/>
  <c r="V172" i="5" s="1"/>
  <c r="T121" i="5"/>
  <c r="U121" i="5"/>
  <c r="V121" i="5" s="1"/>
  <c r="T81" i="5"/>
  <c r="U81" i="5"/>
  <c r="V81" i="5" s="1"/>
  <c r="T89" i="5"/>
  <c r="U89" i="5"/>
  <c r="V89" i="5" s="1"/>
  <c r="T92" i="5"/>
  <c r="U92" i="5"/>
  <c r="V92" i="5" s="1"/>
  <c r="T94" i="5"/>
  <c r="U94" i="5"/>
  <c r="V94" i="5" s="1"/>
  <c r="T97" i="5"/>
  <c r="U97" i="5"/>
  <c r="V97" i="5" s="1"/>
  <c r="T90" i="5"/>
  <c r="U90" i="5"/>
  <c r="V90" i="5" s="1"/>
  <c r="T120" i="5"/>
  <c r="U120" i="5"/>
  <c r="V120" i="5" s="1"/>
  <c r="T162" i="5"/>
  <c r="U162" i="5"/>
  <c r="V162" i="5" s="1"/>
  <c r="T49" i="5"/>
  <c r="U49" i="5"/>
  <c r="V49" i="5" s="1"/>
  <c r="T196" i="5"/>
  <c r="U196" i="5"/>
  <c r="V196" i="5" s="1"/>
  <c r="T125" i="5"/>
  <c r="U125" i="5"/>
  <c r="V125" i="5" s="1"/>
  <c r="T204" i="5"/>
  <c r="U204" i="5"/>
  <c r="V204" i="5" s="1"/>
  <c r="T245" i="5"/>
  <c r="U245" i="5"/>
  <c r="V245" i="5" s="1"/>
  <c r="T73" i="5"/>
  <c r="U73" i="5"/>
  <c r="V73" i="5" s="1"/>
  <c r="T83" i="5"/>
  <c r="U83" i="5"/>
  <c r="V83" i="5" s="1"/>
  <c r="T82" i="5"/>
  <c r="U82" i="5"/>
  <c r="V82" i="5" s="1"/>
  <c r="T147" i="5"/>
  <c r="U147" i="5"/>
  <c r="V147" i="5" s="1"/>
  <c r="T174" i="5"/>
  <c r="U174" i="5"/>
  <c r="V174" i="5" s="1"/>
  <c r="T202" i="5"/>
  <c r="U202" i="5"/>
  <c r="V202" i="5" s="1"/>
  <c r="T137" i="5"/>
  <c r="U137" i="5"/>
  <c r="V137" i="5" s="1"/>
  <c r="T165" i="5"/>
  <c r="U165" i="5"/>
  <c r="V165" i="5" s="1"/>
  <c r="T250" i="5"/>
  <c r="U250" i="5"/>
  <c r="V250" i="5" s="1"/>
  <c r="T135" i="5"/>
  <c r="U135" i="5"/>
  <c r="V135" i="5" s="1"/>
  <c r="T151" i="5"/>
  <c r="U151" i="5"/>
  <c r="V151" i="5" s="1"/>
  <c r="T70" i="5"/>
  <c r="U70" i="5"/>
  <c r="V70" i="5" s="1"/>
  <c r="T136" i="5"/>
  <c r="U136" i="5"/>
  <c r="V136" i="5" s="1"/>
  <c r="T149" i="5"/>
  <c r="U149" i="5"/>
  <c r="V149" i="5" s="1"/>
  <c r="T166" i="5"/>
  <c r="U166" i="5"/>
  <c r="V166" i="5" s="1"/>
  <c r="T216" i="5"/>
  <c r="U216" i="5"/>
  <c r="V216" i="5" s="1"/>
  <c r="T133" i="5"/>
  <c r="U133" i="5"/>
  <c r="V133" i="5" s="1"/>
  <c r="T214" i="5"/>
  <c r="U214" i="5"/>
  <c r="V214" i="5" s="1"/>
  <c r="T155" i="5"/>
  <c r="U155" i="5"/>
  <c r="V155" i="5" s="1"/>
  <c r="T60" i="5"/>
  <c r="U60" i="5"/>
  <c r="V60" i="5" s="1"/>
  <c r="T116" i="5"/>
  <c r="U116" i="5"/>
  <c r="V116" i="5" s="1"/>
  <c r="T213" i="5"/>
  <c r="U213" i="5"/>
  <c r="V213" i="5" s="1"/>
  <c r="T157" i="5"/>
  <c r="U157" i="5"/>
  <c r="V157" i="5" s="1"/>
  <c r="T150" i="5"/>
  <c r="U150" i="5"/>
  <c r="V150" i="5" s="1"/>
  <c r="T130" i="5"/>
  <c r="U130" i="5"/>
  <c r="V130" i="5" s="1"/>
  <c r="T243" i="5"/>
  <c r="U243" i="5"/>
  <c r="V243" i="5" s="1"/>
  <c r="T6" i="5"/>
  <c r="U6" i="5"/>
  <c r="V6" i="5" s="1"/>
  <c r="T247" i="5"/>
  <c r="U247" i="5"/>
  <c r="V247" i="5" s="1"/>
  <c r="T246" i="5"/>
  <c r="U246" i="5"/>
  <c r="V246" i="5" s="1"/>
  <c r="T244" i="5"/>
  <c r="U244" i="5"/>
  <c r="V244" i="5" s="1"/>
  <c r="N6" i="4"/>
  <c r="M29" i="4"/>
  <c r="T42" i="5"/>
  <c r="U42" i="5"/>
  <c r="V42" i="5" s="1"/>
  <c r="S15" i="2"/>
  <c r="S16" i="2"/>
  <c r="S17" i="2"/>
  <c r="S18" i="2"/>
  <c r="R19" i="2"/>
  <c r="Q15" i="2"/>
  <c r="Q16" i="2"/>
  <c r="Q17" i="2"/>
  <c r="Q18" i="2"/>
  <c r="P19" i="2"/>
  <c r="O15" i="2"/>
  <c r="O16" i="2"/>
  <c r="O17" i="2"/>
  <c r="O18" i="2"/>
  <c r="N19" i="2"/>
  <c r="M15" i="2"/>
  <c r="M16" i="2"/>
  <c r="M17" i="2"/>
  <c r="M18" i="2"/>
  <c r="L19" i="2"/>
  <c r="K15" i="2"/>
  <c r="K16" i="2"/>
  <c r="K17" i="2"/>
  <c r="K18" i="2"/>
  <c r="J19" i="2"/>
  <c r="I15" i="2"/>
  <c r="I16" i="2"/>
  <c r="I17" i="2"/>
  <c r="I18" i="2"/>
  <c r="H19" i="2"/>
  <c r="G15" i="2"/>
  <c r="G16" i="2"/>
  <c r="G17" i="2"/>
  <c r="G18" i="2"/>
  <c r="F19" i="2"/>
  <c r="E15" i="2"/>
  <c r="E16" i="2"/>
  <c r="E17" i="2"/>
  <c r="E18" i="2"/>
  <c r="D19" i="2"/>
  <c r="C15" i="2"/>
  <c r="C16" i="2"/>
  <c r="C17" i="2"/>
  <c r="C18" i="2"/>
  <c r="B19" i="2"/>
  <c r="U270" i="5"/>
  <c r="Q270" i="5" s="1"/>
  <c r="K7" i="7"/>
  <c r="C11" i="8"/>
  <c r="B11" i="8" s="1"/>
  <c r="B4" i="11" s="1"/>
  <c r="B7" i="11" s="1"/>
  <c r="C12" i="8"/>
  <c r="C10" i="8"/>
  <c r="B10" i="8" s="1"/>
  <c r="C4" i="11" s="1"/>
  <c r="C7" i="11" s="1"/>
  <c r="J7" i="7"/>
  <c r="J10" i="7" s="1"/>
  <c r="M34" i="4" l="1"/>
  <c r="S20" i="2"/>
  <c r="S21" i="2"/>
  <c r="S22" i="2"/>
  <c r="S23" i="2"/>
  <c r="S24" i="2"/>
  <c r="S25" i="2"/>
  <c r="R26" i="2"/>
  <c r="Q20" i="2"/>
  <c r="Q21" i="2"/>
  <c r="Q22" i="2"/>
  <c r="Q23" i="2"/>
  <c r="Q24" i="2"/>
  <c r="Q25" i="2"/>
  <c r="P26" i="2"/>
  <c r="O20" i="2"/>
  <c r="O21" i="2"/>
  <c r="O22" i="2"/>
  <c r="O23" i="2"/>
  <c r="O24" i="2"/>
  <c r="O25" i="2"/>
  <c r="N26" i="2"/>
  <c r="M20" i="2"/>
  <c r="M21" i="2"/>
  <c r="M22" i="2"/>
  <c r="M23" i="2"/>
  <c r="M24" i="2"/>
  <c r="M25" i="2"/>
  <c r="L26" i="2"/>
  <c r="K20" i="2"/>
  <c r="K21" i="2"/>
  <c r="K22" i="2"/>
  <c r="K23" i="2"/>
  <c r="K24" i="2"/>
  <c r="K25" i="2"/>
  <c r="J26" i="2"/>
  <c r="I20" i="2"/>
  <c r="I21" i="2"/>
  <c r="I22" i="2"/>
  <c r="I23" i="2"/>
  <c r="I24" i="2"/>
  <c r="I25" i="2"/>
  <c r="H26" i="2"/>
  <c r="G20" i="2"/>
  <c r="G21" i="2"/>
  <c r="G22" i="2"/>
  <c r="G23" i="2"/>
  <c r="G24" i="2"/>
  <c r="G25" i="2"/>
  <c r="F26" i="2"/>
  <c r="E20" i="2"/>
  <c r="E21" i="2"/>
  <c r="E22" i="2"/>
  <c r="E23" i="2"/>
  <c r="E24" i="2"/>
  <c r="E25" i="2"/>
  <c r="D26" i="2"/>
  <c r="C20" i="2"/>
  <c r="C21" i="2"/>
  <c r="C22" i="2"/>
  <c r="C23" i="2"/>
  <c r="C24" i="2"/>
  <c r="C25" i="2"/>
  <c r="B26" i="2"/>
  <c r="K10" i="7"/>
  <c r="B12" i="8"/>
  <c r="S28" i="2" l="1"/>
  <c r="S29" i="2"/>
  <c r="S30" i="2"/>
  <c r="S31" i="2"/>
  <c r="S32" i="2"/>
  <c r="S33" i="2"/>
  <c r="S34" i="2"/>
  <c r="Q28" i="2"/>
  <c r="Q29" i="2"/>
  <c r="Q30" i="2"/>
  <c r="Q31" i="2"/>
  <c r="Q32" i="2"/>
  <c r="Q33" i="2"/>
  <c r="Q34" i="2"/>
  <c r="O28" i="2"/>
  <c r="O29" i="2"/>
  <c r="O30" i="2"/>
  <c r="O31" i="2"/>
  <c r="O32" i="2"/>
  <c r="O33" i="2"/>
  <c r="O34" i="2"/>
  <c r="M28" i="2"/>
  <c r="M29" i="2"/>
  <c r="M30" i="2"/>
  <c r="M31" i="2"/>
  <c r="M32" i="2"/>
  <c r="M33" i="2"/>
  <c r="M34" i="2"/>
  <c r="K28" i="2"/>
  <c r="K29" i="2"/>
  <c r="K30" i="2"/>
  <c r="K31" i="2"/>
  <c r="K32" i="2"/>
  <c r="K33" i="2"/>
  <c r="K34" i="2"/>
  <c r="I28" i="2"/>
  <c r="I29" i="2"/>
  <c r="I30" i="2"/>
  <c r="I31" i="2"/>
  <c r="I32" i="2"/>
  <c r="I33" i="2"/>
  <c r="I34" i="2"/>
  <c r="G28" i="2"/>
  <c r="G29" i="2"/>
  <c r="G30" i="2"/>
  <c r="G31" i="2"/>
  <c r="G32" i="2"/>
  <c r="G33" i="2"/>
  <c r="G34" i="2"/>
  <c r="E28" i="2"/>
  <c r="E29" i="2"/>
  <c r="E30" i="2"/>
  <c r="E31" i="2"/>
  <c r="E32" i="2"/>
  <c r="E33" i="2"/>
  <c r="E34" i="2"/>
  <c r="C28" i="2"/>
  <c r="C29" i="2"/>
  <c r="C30" i="2"/>
  <c r="C31" i="2"/>
  <c r="C32" i="2"/>
  <c r="C33" i="2"/>
  <c r="C34" i="2"/>
  <c r="R35" i="2" l="1"/>
  <c r="P35" i="2"/>
  <c r="N35" i="2"/>
  <c r="L35" i="2"/>
  <c r="J35" i="2"/>
  <c r="H35" i="2"/>
  <c r="F35" i="2"/>
  <c r="D35" i="2"/>
  <c r="B35" i="2"/>
  <c r="S41" i="2" l="1"/>
  <c r="S42" i="2"/>
  <c r="G61" i="2" s="1"/>
  <c r="S43" i="2"/>
  <c r="S37" i="2"/>
  <c r="R39" i="2" s="1"/>
  <c r="Q41" i="2"/>
  <c r="Q42" i="2"/>
  <c r="G59" i="2" s="1"/>
  <c r="Q43" i="2"/>
  <c r="Q37" i="2"/>
  <c r="P39" i="2" s="1"/>
  <c r="O41" i="2"/>
  <c r="O42" i="2"/>
  <c r="G58" i="2" s="1"/>
  <c r="G60" i="2" s="1"/>
  <c r="F62" i="2" s="1"/>
  <c r="G7" i="10" s="1"/>
  <c r="I7" i="10" s="1"/>
  <c r="J7" i="10" s="1"/>
  <c r="K7" i="10" s="1"/>
  <c r="L7" i="10" s="1"/>
  <c r="O43" i="2"/>
  <c r="O37" i="2"/>
  <c r="N39" i="2" s="1"/>
  <c r="M41" i="2"/>
  <c r="M42" i="2"/>
  <c r="G53" i="2" s="1"/>
  <c r="M43" i="2"/>
  <c r="I53" i="2" s="1"/>
  <c r="M37" i="2"/>
  <c r="L39" i="2" s="1"/>
  <c r="K41" i="2"/>
  <c r="K42" i="2"/>
  <c r="G52" i="2" s="1"/>
  <c r="K43" i="2"/>
  <c r="I52" i="2" s="1"/>
  <c r="K37" i="2"/>
  <c r="J39" i="2" s="1"/>
  <c r="I41" i="2"/>
  <c r="I42" i="2"/>
  <c r="G50" i="2" s="1"/>
  <c r="I43" i="2"/>
  <c r="I50" i="2" s="1"/>
  <c r="I37" i="2"/>
  <c r="H39" i="2" s="1"/>
  <c r="G41" i="2"/>
  <c r="G42" i="2"/>
  <c r="G49" i="2" s="1"/>
  <c r="G43" i="2"/>
  <c r="I49" i="2" s="1"/>
  <c r="G37" i="2"/>
  <c r="F39" i="2" s="1"/>
  <c r="E41" i="2"/>
  <c r="E42" i="2"/>
  <c r="G48" i="2" s="1"/>
  <c r="E43" i="2"/>
  <c r="I48" i="2" s="1"/>
  <c r="E37" i="2"/>
  <c r="D39" i="2" s="1"/>
  <c r="C41" i="2"/>
  <c r="C42" i="2"/>
  <c r="G47" i="2" s="1"/>
  <c r="G51" i="2" s="1"/>
  <c r="F54" i="2" s="1"/>
  <c r="C43" i="2"/>
  <c r="I47" i="2" s="1"/>
  <c r="I51" i="2" s="1"/>
  <c r="H54" i="2" s="1"/>
  <c r="C37" i="2"/>
  <c r="B39" i="2" s="1"/>
  <c r="E61" i="2" l="1"/>
  <c r="C61" i="2"/>
  <c r="E59" i="2"/>
  <c r="C59" i="2"/>
  <c r="E58" i="2"/>
  <c r="E60" i="2" s="1"/>
  <c r="D62" i="2" s="1"/>
  <c r="G8" i="10" s="1"/>
  <c r="I8" i="10" s="1"/>
  <c r="J8" i="10" s="1"/>
  <c r="K8" i="10" s="1"/>
  <c r="L8" i="10" s="1"/>
  <c r="C58" i="2"/>
  <c r="C60" i="2" s="1"/>
  <c r="B62" i="2" s="1"/>
  <c r="G6" i="10" s="1"/>
  <c r="I6" i="10" s="1"/>
  <c r="J6" i="10" s="1"/>
  <c r="K6" i="10" s="1"/>
  <c r="E53" i="2"/>
  <c r="C53" i="2"/>
  <c r="E52" i="2"/>
  <c r="C52" i="2"/>
  <c r="E50" i="2"/>
  <c r="C50" i="2"/>
  <c r="E49" i="2"/>
  <c r="C49" i="2"/>
  <c r="E48" i="2"/>
  <c r="C48" i="2"/>
  <c r="E47" i="2"/>
  <c r="E51" i="2" s="1"/>
  <c r="D54" i="2" s="1"/>
  <c r="H44" i="3" s="1"/>
  <c r="J27" i="4" s="1"/>
  <c r="C47" i="2"/>
  <c r="C51" i="2" s="1"/>
  <c r="B54" i="2" s="1"/>
  <c r="K9" i="10" l="1"/>
  <c r="L6" i="10"/>
  <c r="N27" i="4"/>
  <c r="L27" i="4"/>
  <c r="Q91" i="5"/>
  <c r="Q93" i="5"/>
  <c r="Q95" i="5"/>
  <c r="I26" i="6"/>
  <c r="H6" i="3"/>
  <c r="H7" i="3"/>
  <c r="H8" i="3"/>
  <c r="H9" i="3"/>
  <c r="H10" i="3"/>
  <c r="H11" i="3"/>
  <c r="H12" i="3"/>
  <c r="J21" i="4" s="1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J28" i="4"/>
  <c r="L9" i="10" l="1"/>
  <c r="K11" i="10"/>
  <c r="V91" i="5"/>
  <c r="T91" i="5"/>
  <c r="V93" i="5"/>
  <c r="T93" i="5"/>
  <c r="V95" i="5"/>
  <c r="T95" i="5"/>
  <c r="N21" i="4"/>
  <c r="L21" i="4"/>
  <c r="Q57" i="5"/>
  <c r="Q79" i="5"/>
  <c r="Q119" i="5"/>
  <c r="Q180" i="5"/>
  <c r="Q182" i="5"/>
  <c r="Q184" i="5"/>
  <c r="Q229" i="5"/>
  <c r="Q263" i="5"/>
  <c r="I20" i="6"/>
  <c r="N28" i="4"/>
  <c r="J31" i="4" s="1"/>
  <c r="F6" i="7" s="1"/>
  <c r="L28" i="4"/>
  <c r="Q5" i="5"/>
  <c r="I27" i="6"/>
  <c r="L11" i="10" l="1"/>
  <c r="D5" i="11"/>
  <c r="E5" i="11" s="1"/>
  <c r="V57" i="5"/>
  <c r="T57" i="5"/>
  <c r="V79" i="5"/>
  <c r="T79" i="5"/>
  <c r="V119" i="5"/>
  <c r="T119" i="5"/>
  <c r="V180" i="5"/>
  <c r="T180" i="5"/>
  <c r="V182" i="5"/>
  <c r="T182" i="5"/>
  <c r="V184" i="5"/>
  <c r="T184" i="5"/>
  <c r="V229" i="5"/>
  <c r="T229" i="5"/>
  <c r="V263" i="5"/>
  <c r="T263" i="5"/>
  <c r="V5" i="5"/>
  <c r="V270" i="5" s="1"/>
  <c r="T5" i="5"/>
  <c r="T270" i="5" s="1"/>
  <c r="N29" i="4"/>
  <c r="N34" i="4" s="1"/>
  <c r="L29" i="4"/>
  <c r="I6" i="7"/>
  <c r="L6" i="7" s="1"/>
  <c r="M6" i="7" l="1"/>
  <c r="M7" i="7" s="1"/>
  <c r="M10" i="7" s="1"/>
  <c r="M12" i="7" s="1"/>
  <c r="L7" i="7"/>
  <c r="L10" i="7" s="1"/>
  <c r="L12" i="7" s="1"/>
  <c r="C13" i="8"/>
  <c r="C14" i="8" l="1"/>
  <c r="C18" i="8"/>
  <c r="B13" i="8"/>
  <c r="C15" i="8" l="1"/>
  <c r="B15" i="8" s="1"/>
  <c r="B14" i="8"/>
  <c r="B18" i="8"/>
  <c r="D4" i="11"/>
  <c r="E4" i="11" l="1"/>
  <c r="E10" i="11" s="1"/>
  <c r="D7" i="11"/>
  <c r="E7" i="11" s="1"/>
</calcChain>
</file>

<file path=xl/sharedStrings.xml><?xml version="1.0" encoding="utf-8"?>
<sst xmlns="http://schemas.openxmlformats.org/spreadsheetml/2006/main" count="3916" uniqueCount="807">
  <si>
    <t>Blad 'Omreken'</t>
  </si>
  <si>
    <t>Dit blad mag niet worden gewijzigd!</t>
  </si>
  <si>
    <t>Type:</t>
  </si>
  <si>
    <t>Invultabel</t>
  </si>
  <si>
    <t>werkdag</t>
  </si>
  <si>
    <t xml:space="preserve">per jaar: </t>
  </si>
  <si>
    <t xml:space="preserve">per week: </t>
  </si>
  <si>
    <t>FREQ</t>
  </si>
  <si>
    <t>FACTOR</t>
  </si>
  <si>
    <t>205J</t>
  </si>
  <si>
    <t>5W</t>
  </si>
  <si>
    <t>4W</t>
  </si>
  <si>
    <t>123J</t>
  </si>
  <si>
    <t>3W</t>
  </si>
  <si>
    <t>100J</t>
  </si>
  <si>
    <t>2W</t>
  </si>
  <si>
    <t>41J</t>
  </si>
  <si>
    <t>1W</t>
  </si>
  <si>
    <t>26J</t>
  </si>
  <si>
    <t>12J</t>
  </si>
  <si>
    <t>6J</t>
  </si>
  <si>
    <t>4J</t>
  </si>
  <si>
    <t>3J</t>
  </si>
  <si>
    <t>2J</t>
  </si>
  <si>
    <t>1J</t>
  </si>
  <si>
    <t>werkdag extra</t>
  </si>
  <si>
    <t>werkdag vakantie</t>
  </si>
  <si>
    <t>weekenddag</t>
  </si>
  <si>
    <t>Opbouw uurtarief</t>
  </si>
  <si>
    <t>Regulier werk</t>
  </si>
  <si>
    <t>Regie werk</t>
  </si>
  <si>
    <t>Uitvoering</t>
  </si>
  <si>
    <t>Directe leiding</t>
  </si>
  <si>
    <t>ONDERDEEL</t>
  </si>
  <si>
    <t>Vakvolwassene</t>
  </si>
  <si>
    <t>Leiding (meewerkend)</t>
  </si>
  <si>
    <t>Leiding (niet-meewerkend)</t>
  </si>
  <si>
    <t>Vakvolwassene regie</t>
  </si>
  <si>
    <t>Leiding regie</t>
  </si>
  <si>
    <t>Loongroep/ervaring</t>
  </si>
  <si>
    <t>&gt;3 dienstjaren</t>
  </si>
  <si>
    <t/>
  </si>
  <si>
    <t>voorman/vrouw</t>
  </si>
  <si>
    <t>specialist vloeren</t>
  </si>
  <si>
    <t>objectleider</t>
  </si>
  <si>
    <t>specialist</t>
  </si>
  <si>
    <t>Basis uurloon (CAO)</t>
  </si>
  <si>
    <t>Basis toeslagen</t>
  </si>
  <si>
    <t>Totaal basisloon</t>
  </si>
  <si>
    <t>Vakantietoeslag</t>
  </si>
  <si>
    <t>Overige structurele uitkeringen</t>
  </si>
  <si>
    <t>Totaal uurloon inclusief toeslagen</t>
  </si>
  <si>
    <t>Sociale lasten</t>
  </si>
  <si>
    <t>Totaal uurloon inclusief sociale lasten</t>
  </si>
  <si>
    <t>Vakantiedagen</t>
  </si>
  <si>
    <t>Betaalde feestdagen</t>
  </si>
  <si>
    <t>Ziektedagen</t>
  </si>
  <si>
    <t>Overige niet werkbare dagen</t>
  </si>
  <si>
    <t>TOTAAL LOONKOSTEN PER UUR</t>
  </si>
  <si>
    <t>Materialen en middelen</t>
  </si>
  <si>
    <t>Machinekosten</t>
  </si>
  <si>
    <t>Werkkleding en uitrusting</t>
  </si>
  <si>
    <t>Afvalzakken</t>
  </si>
  <si>
    <t>Reiskosten/vervoerskosten/parkeergelden</t>
  </si>
  <si>
    <t>Overige directe kosten</t>
  </si>
  <si>
    <t>TOTAAL DIRECTE KOSTEN</t>
  </si>
  <si>
    <t>Indirecte leiding</t>
  </si>
  <si>
    <t>Managementkosten</t>
  </si>
  <si>
    <t>P.Z. kosten</t>
  </si>
  <si>
    <t>Opleiding</t>
  </si>
  <si>
    <t>Huisvesting</t>
  </si>
  <si>
    <t>Administratiekosten</t>
  </si>
  <si>
    <t>Overige overhead</t>
  </si>
  <si>
    <t>TOTAAL INDIRECTE KOSTEN</t>
  </si>
  <si>
    <t>RISICO EN WINST</t>
  </si>
  <si>
    <t>TOTAAL UURTARIEF (excl. BTW)</t>
  </si>
  <si>
    <t>Onregelmatigheids tijdstip:</t>
  </si>
  <si>
    <t>toeslag</t>
  </si>
  <si>
    <t>tarief</t>
  </si>
  <si>
    <t>- DN: ma-vr nacht</t>
  </si>
  <si>
    <t>- W: weekend</t>
  </si>
  <si>
    <t>- X: feestdag</t>
  </si>
  <si>
    <t>TARIEVEN REGULIER WERK</t>
  </si>
  <si>
    <t>Werkdag</t>
  </si>
  <si>
    <t>Werkdag (specialistisch vloer)</t>
  </si>
  <si>
    <t>Weekend</t>
  </si>
  <si>
    <t>Feestdag</t>
  </si>
  <si>
    <t>Aandeel</t>
  </si>
  <si>
    <t>Tarief</t>
  </si>
  <si>
    <t>Gewogen tarief uitvoering</t>
  </si>
  <si>
    <t>Tarieven regulier werk</t>
  </si>
  <si>
    <t>TARIEVEN REGIE WERK</t>
  </si>
  <si>
    <t>Regie</t>
  </si>
  <si>
    <t>Regie specialist</t>
  </si>
  <si>
    <t>Regie weekend</t>
  </si>
  <si>
    <t>Tarieven regie werk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</si>
  <si>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</si>
  <si>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</si>
  <si>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</si>
  <si>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</si>
  <si>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</si>
  <si>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</si>
  <si>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</si>
  <si>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</si>
  <si>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     </t>
  </si>
  <si>
    <t>GSHB</t>
  </si>
  <si>
    <t xml:space="preserve">G    </t>
  </si>
  <si>
    <t>Gymzalen/sportruimten/toestelberging - harde vloeren (basis)</t>
  </si>
  <si>
    <t>m²/uur</t>
  </si>
  <si>
    <t>GSHV</t>
  </si>
  <si>
    <t>Gymzalen/sportruimten/toestelberging - harde vloeren (volledig)</t>
  </si>
  <si>
    <t>SDHB</t>
  </si>
  <si>
    <t xml:space="preserve">S    </t>
  </si>
  <si>
    <t>Douche/badkamer - harde vloeren (basis)</t>
  </si>
  <si>
    <t>SDHV</t>
  </si>
  <si>
    <t>Douche/badkamer - harde vloeren (volledig)</t>
  </si>
  <si>
    <t>SKHB</t>
  </si>
  <si>
    <t>Kleedruimten - harde vloeren (basis)</t>
  </si>
  <si>
    <t>SKHV</t>
  </si>
  <si>
    <t>Kleedruimten - harde vloeren (volledig)</t>
  </si>
  <si>
    <t>STHB</t>
  </si>
  <si>
    <t>Toiletten - harde vloeren (basis)</t>
  </si>
  <si>
    <t>STHV</t>
  </si>
  <si>
    <t>Toiletten - harde vloeren (volledig)</t>
  </si>
  <si>
    <t>KAHB</t>
  </si>
  <si>
    <t xml:space="preserve">V    </t>
  </si>
  <si>
    <t>Aula/kantine - harde vloeren (basis)</t>
  </si>
  <si>
    <t>KAHV</t>
  </si>
  <si>
    <t>Aula/kantine - harde vloeren (volledig)</t>
  </si>
  <si>
    <t>KDHB</t>
  </si>
  <si>
    <t>Docentenkamer - harde vloeren (basis)</t>
  </si>
  <si>
    <t>KDHV</t>
  </si>
  <si>
    <t>Docentenkamer - harde vloeren (volledig)</t>
  </si>
  <si>
    <t>VAHB</t>
  </si>
  <si>
    <t>Verkeer algemeen - harde vloeren (basis)</t>
  </si>
  <si>
    <t>VAHV</t>
  </si>
  <si>
    <t>Verkeer algemeen - harde vloeren (volledig)</t>
  </si>
  <si>
    <t>VEHB</t>
  </si>
  <si>
    <t>Entree - harde vloeren (basis)</t>
  </si>
  <si>
    <t>VEHV</t>
  </si>
  <si>
    <t>Entree - harde vloeren (volledig)</t>
  </si>
  <si>
    <t>VLHB</t>
  </si>
  <si>
    <t>Liften - harde vloeren (basis)</t>
  </si>
  <si>
    <t>VLHV</t>
  </si>
  <si>
    <t>Liften - harde vloeren (volledig)</t>
  </si>
  <si>
    <t>VOHB</t>
  </si>
  <si>
    <t>Verkeer overigen - harde vloeren (basis)</t>
  </si>
  <si>
    <t>VOHV</t>
  </si>
  <si>
    <t>Verkeer overigen - harde vloeren (volledig)</t>
  </si>
  <si>
    <t>VTHB</t>
  </si>
  <si>
    <t>Trap - harde vloeren (basis)</t>
  </si>
  <si>
    <t>VTHV</t>
  </si>
  <si>
    <t>Trap - harde vloeren (volledig)</t>
  </si>
  <si>
    <t>BKHB</t>
  </si>
  <si>
    <t xml:space="preserve">W    </t>
  </si>
  <si>
    <t>Bureaukamers - harde vloeren (basis)</t>
  </si>
  <si>
    <t>BKHV</t>
  </si>
  <si>
    <t>Bureaukamers - harde vloeren (volledig)</t>
  </si>
  <si>
    <t>BVHB</t>
  </si>
  <si>
    <t>Vergaderruimten - harde vloeren (basis)</t>
  </si>
  <si>
    <t>BVHV</t>
  </si>
  <si>
    <t>Vergaderruimten - harde vloeren (volledig)</t>
  </si>
  <si>
    <t>LLHB</t>
  </si>
  <si>
    <t>Leslokaal - harde vloeren (basis)</t>
  </si>
  <si>
    <t>LLHV</t>
  </si>
  <si>
    <t>Leslokaal - harde vloeren (volledig)</t>
  </si>
  <si>
    <t>LOHB</t>
  </si>
  <si>
    <t>Open leerruimten - harde vloeren (basis)</t>
  </si>
  <si>
    <t>LOHV</t>
  </si>
  <si>
    <t>Open leerruimten - harde vloeren (volledig)</t>
  </si>
  <si>
    <t>MAHB</t>
  </si>
  <si>
    <t>Mediatheek/bibliotheek- harde vloeren (basis)</t>
  </si>
  <si>
    <t>MAHV</t>
  </si>
  <si>
    <t>Mediatheek/bibliotheek- harde vloeren (volledig)</t>
  </si>
  <si>
    <t>PAHB</t>
  </si>
  <si>
    <t>Praktijk atelier - harde vloeren (basis)</t>
  </si>
  <si>
    <t>PAHV</t>
  </si>
  <si>
    <t>Praktijk atelier - harde vloeren (volledig)</t>
  </si>
  <si>
    <t>PLHB</t>
  </si>
  <si>
    <t>Praktijk labs - harde vloeren (basis)</t>
  </si>
  <si>
    <t>PLHV</t>
  </si>
  <si>
    <t>Praktijk labs - harde vloeren (volledig)</t>
  </si>
  <si>
    <t>PSHB</t>
  </si>
  <si>
    <t>Praktijk standaard - harde vloeren (basis)</t>
  </si>
  <si>
    <t>PSHV</t>
  </si>
  <si>
    <t>Praktijk standaard - harde vloeren (volledig)</t>
  </si>
  <si>
    <t>XDGB</t>
  </si>
  <si>
    <t xml:space="preserve">XD   </t>
  </si>
  <si>
    <t>Sportvloeren Dieptereiniging (basis)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</si>
  <si>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</si>
  <si>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</si>
  <si>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</si>
  <si>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</si>
  <si>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</si>
  <si>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</si>
  <si>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</si>
  <si>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</si>
  <si>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BKH</t>
  </si>
  <si>
    <t>interieur</t>
  </si>
  <si>
    <t>Bureaukamers - harde vloeren</t>
  </si>
  <si>
    <t>BVH</t>
  </si>
  <si>
    <t>Vergaderruimten- harde vloeren</t>
  </si>
  <si>
    <t>GSH</t>
  </si>
  <si>
    <t>Gymzaal/sportruimten/toestelberging - harde vloeren</t>
  </si>
  <si>
    <t>KAH</t>
  </si>
  <si>
    <t>Aula/kantine - harde vloeren</t>
  </si>
  <si>
    <t>KDH</t>
  </si>
  <si>
    <t>Docentenkamer - harde vloeren</t>
  </si>
  <si>
    <t>LLH</t>
  </si>
  <si>
    <t>Leslokaal - harde vloeren</t>
  </si>
  <si>
    <t>LOH</t>
  </si>
  <si>
    <t>Open studieruimten - harde vloeren</t>
  </si>
  <si>
    <t>MAH</t>
  </si>
  <si>
    <t>Mediatheek/bibliotheek - harde vloeren</t>
  </si>
  <si>
    <t>PAH</t>
  </si>
  <si>
    <t>Praktijklokaal atelier - harde vloeren</t>
  </si>
  <si>
    <t>PLH</t>
  </si>
  <si>
    <t>Praktijklokaal labs - harde vloeren</t>
  </si>
  <si>
    <t>PSH</t>
  </si>
  <si>
    <t>Praktijklokaal standaard - harde vloeren</t>
  </si>
  <si>
    <t>SDH</t>
  </si>
  <si>
    <t>Douche - harde vloeren</t>
  </si>
  <si>
    <t>SKH</t>
  </si>
  <si>
    <t>Kleedruimte - harde vloeren</t>
  </si>
  <si>
    <t>STH</t>
  </si>
  <si>
    <t>Toilet - harde vloeren</t>
  </si>
  <si>
    <t>STHN</t>
  </si>
  <si>
    <t>Toilet naloop - harde vloeren</t>
  </si>
  <si>
    <t>VAH</t>
  </si>
  <si>
    <t>Verkeer algemeen - harde vloeren</t>
  </si>
  <si>
    <t>VEH</t>
  </si>
  <si>
    <t>Entree - harde vloeren</t>
  </si>
  <si>
    <t>VLH</t>
  </si>
  <si>
    <t>Liften - harde vloeren</t>
  </si>
  <si>
    <t>VOH</t>
  </si>
  <si>
    <t>Verkeer overigen - harde vloeren</t>
  </si>
  <si>
    <t>VTH</t>
  </si>
  <si>
    <t>Trap - harde vloeren</t>
  </si>
  <si>
    <t>XD</t>
  </si>
  <si>
    <t>vloer</t>
  </si>
  <si>
    <t>Dieptereiniging Sportvloeren</t>
  </si>
  <si>
    <t>E15</t>
  </si>
  <si>
    <t>extra</t>
  </si>
  <si>
    <t>Buitensportaccommodatie schoonmaken</t>
  </si>
  <si>
    <t>uur</t>
  </si>
  <si>
    <t xml:space="preserve">Totaal werkdag                  </t>
  </si>
  <si>
    <t xml:space="preserve">Gemiddeld uurtarief werkdag     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</si>
  <si>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</si>
  <si>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</si>
  <si>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</si>
  <si>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</si>
  <si>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</si>
  <si>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</si>
  <si>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</si>
  <si>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</si>
  <si>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TAAK OMSCHRIJVING</t>
  </si>
  <si>
    <t>VSR</t>
  </si>
  <si>
    <t>UREN HOOG-FREQUENT/ DAG</t>
  </si>
  <si>
    <t>169 - Van Maerlantlyceum (nieuwbouw), Jacob van Maerlantlaan 11, Eindhoven</t>
  </si>
  <si>
    <t>169</t>
  </si>
  <si>
    <t>ALGEMENE WERKZAAMHEDEN</t>
  </si>
  <si>
    <t>-1</t>
  </si>
  <si>
    <t>A.-01.01</t>
  </si>
  <si>
    <t>Werkplek facil. Dienst en opslag</t>
  </si>
  <si>
    <t>steen</t>
  </si>
  <si>
    <t>B</t>
  </si>
  <si>
    <t>A.-01.02</t>
  </si>
  <si>
    <t>Algemene berging</t>
  </si>
  <si>
    <t>N.I.O.</t>
  </si>
  <si>
    <t>A.-01.03</t>
  </si>
  <si>
    <t>Afval inzamelpunt</t>
  </si>
  <si>
    <t>A.-01.04</t>
  </si>
  <si>
    <t>Verkeersruimte</t>
  </si>
  <si>
    <t>V</t>
  </si>
  <si>
    <t>A.-01.05</t>
  </si>
  <si>
    <t>Overig</t>
  </si>
  <si>
    <t>A.-01.06</t>
  </si>
  <si>
    <t>Zaagruimte</t>
  </si>
  <si>
    <t>A.-01.07</t>
  </si>
  <si>
    <t>A.-01.08</t>
  </si>
  <si>
    <t>Trappenhuis</t>
  </si>
  <si>
    <t>A.-01.09</t>
  </si>
  <si>
    <t>Fietsenberging</t>
  </si>
  <si>
    <t>beton</t>
  </si>
  <si>
    <t>A.-01.10</t>
  </si>
  <si>
    <t>A.-01.11</t>
  </si>
  <si>
    <t>A.-01.12</t>
  </si>
  <si>
    <t>Archief</t>
  </si>
  <si>
    <t>A.-01.13</t>
  </si>
  <si>
    <t>Kluis examens</t>
  </si>
  <si>
    <t>A.-01.14</t>
  </si>
  <si>
    <t>A.-01.15</t>
  </si>
  <si>
    <t>Tussenopslag leveranciers</t>
  </si>
  <si>
    <t>A.-01.16</t>
  </si>
  <si>
    <t>Douche</t>
  </si>
  <si>
    <t>hard</t>
  </si>
  <si>
    <t>S</t>
  </si>
  <si>
    <t>A.-01.17</t>
  </si>
  <si>
    <t>A.-01.18</t>
  </si>
  <si>
    <t>Garderobe personeel</t>
  </si>
  <si>
    <t>troffelvloer</t>
  </si>
  <si>
    <t>A.-01.19</t>
  </si>
  <si>
    <t>Kluisjes</t>
  </si>
  <si>
    <t>A.-01.21</t>
  </si>
  <si>
    <t>tegels</t>
  </si>
  <si>
    <t>A.-01.24</t>
  </si>
  <si>
    <t>A.-01.25</t>
  </si>
  <si>
    <t>A.-01.26</t>
  </si>
  <si>
    <t>A.-01.28</t>
  </si>
  <si>
    <t>Technische ruimte</t>
  </si>
  <si>
    <t>stofbinder</t>
  </si>
  <si>
    <t>A.-01.29</t>
  </si>
  <si>
    <t>A.-01.30</t>
  </si>
  <si>
    <t>Werpl. Facil. Dienst en opsl.</t>
  </si>
  <si>
    <t>A.-01.31</t>
  </si>
  <si>
    <t>Berging</t>
  </si>
  <si>
    <t>A.-01.32</t>
  </si>
  <si>
    <t>Liftschacht</t>
  </si>
  <si>
    <t>A.-01.33</t>
  </si>
  <si>
    <t>A.-01.34</t>
  </si>
  <si>
    <t>Opslag</t>
  </si>
  <si>
    <t>A.-01.35</t>
  </si>
  <si>
    <t>A.-01.36</t>
  </si>
  <si>
    <t>Fietsenberging docenten</t>
  </si>
  <si>
    <t>A.-01.37</t>
  </si>
  <si>
    <t>Vuilopslag</t>
  </si>
  <si>
    <t>A.-01.38</t>
  </si>
  <si>
    <t>B.-01.01</t>
  </si>
  <si>
    <t>B.-01.02</t>
  </si>
  <si>
    <t>00</t>
  </si>
  <si>
    <t>A'.00.01</t>
  </si>
  <si>
    <t>Receptie (frontoffice)</t>
  </si>
  <si>
    <t>A'.00.02</t>
  </si>
  <si>
    <t>Entree</t>
  </si>
  <si>
    <t>A'.00.03</t>
  </si>
  <si>
    <t>Projectruimte</t>
  </si>
  <si>
    <t>linoleum</t>
  </si>
  <si>
    <t>L</t>
  </si>
  <si>
    <t>A'.00.04</t>
  </si>
  <si>
    <t>Ruimte drama/theater</t>
  </si>
  <si>
    <t>A'.00.05</t>
  </si>
  <si>
    <t>Kleedruimte drama</t>
  </si>
  <si>
    <t>A'.00.06</t>
  </si>
  <si>
    <t>Berging drama</t>
  </si>
  <si>
    <t>A'.00.07</t>
  </si>
  <si>
    <t>A.00.01</t>
  </si>
  <si>
    <t>Spreekruimte(6pers.)</t>
  </si>
  <si>
    <t>A.00.02</t>
  </si>
  <si>
    <t>Multifunctionele ruimte zaakvakken</t>
  </si>
  <si>
    <t>A.00.03</t>
  </si>
  <si>
    <t>Personeelsruimte</t>
  </si>
  <si>
    <t>A.00.04</t>
  </si>
  <si>
    <t>Toiletten leerlingen</t>
  </si>
  <si>
    <t>A.00.05</t>
  </si>
  <si>
    <t>A.00.06</t>
  </si>
  <si>
    <t>A.00.08</t>
  </si>
  <si>
    <t>MIVA</t>
  </si>
  <si>
    <t>A.00.09</t>
  </si>
  <si>
    <t>Toilet docenten</t>
  </si>
  <si>
    <t>A.00.10</t>
  </si>
  <si>
    <t>A.00.11</t>
  </si>
  <si>
    <t>Repro</t>
  </si>
  <si>
    <t>A.00.12</t>
  </si>
  <si>
    <t>Conciërge ruimte</t>
  </si>
  <si>
    <t>A.00.13</t>
  </si>
  <si>
    <t>Trappenhuis / verkeersruimte</t>
  </si>
  <si>
    <t>A.00.14</t>
  </si>
  <si>
    <t>Theorie/instructie ruimte zaakvakken</t>
  </si>
  <si>
    <t>A.00.15</t>
  </si>
  <si>
    <t>A.00.16</t>
  </si>
  <si>
    <t>A.00.17</t>
  </si>
  <si>
    <t>A.00.18</t>
  </si>
  <si>
    <t>A.00.19</t>
  </si>
  <si>
    <t>A.00.20</t>
  </si>
  <si>
    <t>Debatruimte</t>
  </si>
  <si>
    <t>A.00.21</t>
  </si>
  <si>
    <t>Bergingleermiddelen</t>
  </si>
  <si>
    <t>A.00.22</t>
  </si>
  <si>
    <t>Ruimte EHBO/kolfruimte</t>
  </si>
  <si>
    <t>A.00.23</t>
  </si>
  <si>
    <t>SER ruimte</t>
  </si>
  <si>
    <t>A.00.24</t>
  </si>
  <si>
    <t>A.00.26</t>
  </si>
  <si>
    <t>A.00.27</t>
  </si>
  <si>
    <t>A.00.28</t>
  </si>
  <si>
    <t>Kantine/ aula leerlingen</t>
  </si>
  <si>
    <t>A.00.29</t>
  </si>
  <si>
    <t>Verwerkingsruimte</t>
  </si>
  <si>
    <t>A.00.30</t>
  </si>
  <si>
    <t>A.00.31</t>
  </si>
  <si>
    <t>B.00.01</t>
  </si>
  <si>
    <t>Tochtsluis</t>
  </si>
  <si>
    <t>B.00.02</t>
  </si>
  <si>
    <t>B.00.03</t>
  </si>
  <si>
    <t>Spreekruimte(4p)</t>
  </si>
  <si>
    <t>B.00.04</t>
  </si>
  <si>
    <t>B.00.05</t>
  </si>
  <si>
    <t>B.00.06</t>
  </si>
  <si>
    <t>B.00.07</t>
  </si>
  <si>
    <t>Studio muziek</t>
  </si>
  <si>
    <t>B.00.08</t>
  </si>
  <si>
    <t>B.00.09</t>
  </si>
  <si>
    <t>B.00.10</t>
  </si>
  <si>
    <t>Toestellenberging</t>
  </si>
  <si>
    <t>sportvloer</t>
  </si>
  <si>
    <t>B.00.11</t>
  </si>
  <si>
    <t>Gymzaal</t>
  </si>
  <si>
    <t>B.00.12</t>
  </si>
  <si>
    <t>B.00.13</t>
  </si>
  <si>
    <t>B.00.14</t>
  </si>
  <si>
    <t>Schacht</t>
  </si>
  <si>
    <t>B.00.15</t>
  </si>
  <si>
    <t>B.00.17</t>
  </si>
  <si>
    <t>Entreehal</t>
  </si>
  <si>
    <t>B.00.18</t>
  </si>
  <si>
    <t>Opslag toneel (coulissen/stoelen)</t>
  </si>
  <si>
    <t>B.00.19</t>
  </si>
  <si>
    <t>Serverruimte</t>
  </si>
  <si>
    <t>B.00.20</t>
  </si>
  <si>
    <t>Douche- wasruimte</t>
  </si>
  <si>
    <t>B.00.21</t>
  </si>
  <si>
    <t>Kleedruimten</t>
  </si>
  <si>
    <t>B.00.22</t>
  </si>
  <si>
    <t>B.00.23</t>
  </si>
  <si>
    <t>B.00.24</t>
  </si>
  <si>
    <t>B.00.25</t>
  </si>
  <si>
    <t>B.00.26</t>
  </si>
  <si>
    <t>B.00.27</t>
  </si>
  <si>
    <t>B.00.28</t>
  </si>
  <si>
    <t>B.00.29</t>
  </si>
  <si>
    <t>B.00.30</t>
  </si>
  <si>
    <t>B.00.31</t>
  </si>
  <si>
    <t>B.00.32</t>
  </si>
  <si>
    <t>B.00.34</t>
  </si>
  <si>
    <t>Ruimte rondom keuken/uitgifte/berging</t>
  </si>
  <si>
    <t>B.00.35</t>
  </si>
  <si>
    <t>Genderneutrale toiletten</t>
  </si>
  <si>
    <t>B.00.36</t>
  </si>
  <si>
    <t>Werkruimte doc/ehbo</t>
  </si>
  <si>
    <t>B.00.37</t>
  </si>
  <si>
    <t>Voorruimte muzieklokaal</t>
  </si>
  <si>
    <t>B.00.38</t>
  </si>
  <si>
    <t>B.00.42</t>
  </si>
  <si>
    <t>B.00.43</t>
  </si>
  <si>
    <t>Aula / kantine leerlingen</t>
  </si>
  <si>
    <t>B.00.44</t>
  </si>
  <si>
    <t>B.00.48</t>
  </si>
  <si>
    <t>Ruimte muziek</t>
  </si>
  <si>
    <t>01</t>
  </si>
  <si>
    <t>A'.01.01</t>
  </si>
  <si>
    <t>Mediatheek</t>
  </si>
  <si>
    <t>A.01.01</t>
  </si>
  <si>
    <t>Spreekruimte (6pers.)</t>
  </si>
  <si>
    <t>A.01.02</t>
  </si>
  <si>
    <t>Multifunctionele ruimte</t>
  </si>
  <si>
    <t>A.01.03</t>
  </si>
  <si>
    <t>A.01.04</t>
  </si>
  <si>
    <t>A.01.05</t>
  </si>
  <si>
    <t>A.01.06</t>
  </si>
  <si>
    <t>Kantoor</t>
  </si>
  <si>
    <t>A.01.07</t>
  </si>
  <si>
    <t>A.01.08</t>
  </si>
  <si>
    <t>A.01.10</t>
  </si>
  <si>
    <t>Kantoor afdelingsleiders</t>
  </si>
  <si>
    <t>A.01.11</t>
  </si>
  <si>
    <t>A.01.12</t>
  </si>
  <si>
    <t>SK alg. (4 pers.)</t>
  </si>
  <si>
    <t>A.01.13</t>
  </si>
  <si>
    <t>A.01.14</t>
  </si>
  <si>
    <t>Kantoor onderst. Afdelingen</t>
  </si>
  <si>
    <t>A.01.15</t>
  </si>
  <si>
    <t>A.01.16</t>
  </si>
  <si>
    <t>A.01.17</t>
  </si>
  <si>
    <t>A.01.18</t>
  </si>
  <si>
    <t>A.01.19</t>
  </si>
  <si>
    <t>A.01.20</t>
  </si>
  <si>
    <t>A.01.21</t>
  </si>
  <si>
    <t>A.01.25</t>
  </si>
  <si>
    <t>A.01.26</t>
  </si>
  <si>
    <t>Lift</t>
  </si>
  <si>
    <t>A.01.27</t>
  </si>
  <si>
    <t>A.01.28</t>
  </si>
  <si>
    <t>A.01.29</t>
  </si>
  <si>
    <t>Docentenwerkplek</t>
  </si>
  <si>
    <t>A.01.30</t>
  </si>
  <si>
    <t>A.01.31</t>
  </si>
  <si>
    <t>B.01.01</t>
  </si>
  <si>
    <t>Art &amp; Technology ruimte</t>
  </si>
  <si>
    <t>B.01.02</t>
  </si>
  <si>
    <t>Machineruimte</t>
  </si>
  <si>
    <t>B.01.03</t>
  </si>
  <si>
    <t>Berging A&amp;T</t>
  </si>
  <si>
    <t>B.01.04</t>
  </si>
  <si>
    <t>Kantoor ICT beheerders</t>
  </si>
  <si>
    <t>B.01.05</t>
  </si>
  <si>
    <t>Opslag ICT</t>
  </si>
  <si>
    <t>B.01.06</t>
  </si>
  <si>
    <t>ICT w.pl/helpdesk (baliefunct.)</t>
  </si>
  <si>
    <t>B.01.07</t>
  </si>
  <si>
    <t>B.01.08</t>
  </si>
  <si>
    <t>B.01.09</t>
  </si>
  <si>
    <t>B.01.10</t>
  </si>
  <si>
    <t>Toiletten leerl.</t>
  </si>
  <si>
    <t>B.01.11</t>
  </si>
  <si>
    <t>Spreekkamer alg 4p</t>
  </si>
  <si>
    <t>B.01.12</t>
  </si>
  <si>
    <t>B.01.13</t>
  </si>
  <si>
    <t>wk schoonmaak</t>
  </si>
  <si>
    <t>B.01.14</t>
  </si>
  <si>
    <t>Kantoor decanen</t>
  </si>
  <si>
    <t>B.01.15</t>
  </si>
  <si>
    <t>Leerlingenruimte</t>
  </si>
  <si>
    <t>B.01.16</t>
  </si>
  <si>
    <t>Aula / kantine</t>
  </si>
  <si>
    <t>B.01.17</t>
  </si>
  <si>
    <t>Berging werkstukken leerlingen</t>
  </si>
  <si>
    <t>B.01.19</t>
  </si>
  <si>
    <t>B.01.20</t>
  </si>
  <si>
    <t>Opslag drama</t>
  </si>
  <si>
    <t>B.01.21</t>
  </si>
  <si>
    <t>B.01.22</t>
  </si>
  <si>
    <t>B.01.23</t>
  </si>
  <si>
    <t>02</t>
  </si>
  <si>
    <t>A.02.01</t>
  </si>
  <si>
    <t>Spreekruimte 6p</t>
  </si>
  <si>
    <t>A.02.02</t>
  </si>
  <si>
    <t>A.02.03</t>
  </si>
  <si>
    <t>A.02.04</t>
  </si>
  <si>
    <t>Gen. Neutr. WC</t>
  </si>
  <si>
    <t>A.02.05</t>
  </si>
  <si>
    <t>Daktrap</t>
  </si>
  <si>
    <t>A.02.06</t>
  </si>
  <si>
    <t>*</t>
  </si>
  <si>
    <t>A.02.07</t>
  </si>
  <si>
    <t>A.02.08</t>
  </si>
  <si>
    <t>A.02.09</t>
  </si>
  <si>
    <t>A.02.11</t>
  </si>
  <si>
    <t>A.02.12</t>
  </si>
  <si>
    <t>Theorie/instructie ruimte</t>
  </si>
  <si>
    <t>A.02.13</t>
  </si>
  <si>
    <t>A.02.14</t>
  </si>
  <si>
    <t>A.02.15</t>
  </si>
  <si>
    <t>A.02.16</t>
  </si>
  <si>
    <t>A.02.17</t>
  </si>
  <si>
    <t>A.02.18</t>
  </si>
  <si>
    <t>A.02.19</t>
  </si>
  <si>
    <t>A.02.20</t>
  </si>
  <si>
    <t>A.02.21</t>
  </si>
  <si>
    <t>A.02.22</t>
  </si>
  <si>
    <t>A.02.23</t>
  </si>
  <si>
    <t>A.02.24</t>
  </si>
  <si>
    <t>A.02.25</t>
  </si>
  <si>
    <t>A.02.26</t>
  </si>
  <si>
    <t>A.02.27</t>
  </si>
  <si>
    <t>A.02.28</t>
  </si>
  <si>
    <t>A.02.29</t>
  </si>
  <si>
    <t>A.02.30</t>
  </si>
  <si>
    <t>B.02.01</t>
  </si>
  <si>
    <t>B.02.02</t>
  </si>
  <si>
    <t>B.02.03</t>
  </si>
  <si>
    <t>B.02.04</t>
  </si>
  <si>
    <t>B.02.05</t>
  </si>
  <si>
    <t>B.02.06</t>
  </si>
  <si>
    <t>B.02.07</t>
  </si>
  <si>
    <t>B.02.08</t>
  </si>
  <si>
    <t>Kantoor rector</t>
  </si>
  <si>
    <t>B.02.10</t>
  </si>
  <si>
    <t>Kantoor conrector</t>
  </si>
  <si>
    <t>B.02.11</t>
  </si>
  <si>
    <t>B.02.12</t>
  </si>
  <si>
    <t>Kantoor onderwijsadministratie</t>
  </si>
  <si>
    <t>B.02.13</t>
  </si>
  <si>
    <t>B.02.14</t>
  </si>
  <si>
    <t>B.02.15</t>
  </si>
  <si>
    <t>Berging tekenen</t>
  </si>
  <si>
    <t>B.02.16</t>
  </si>
  <si>
    <t>Ruimte tekenen</t>
  </si>
  <si>
    <t>B.02.17</t>
  </si>
  <si>
    <t>B.02.19</t>
  </si>
  <si>
    <t>B.02.20</t>
  </si>
  <si>
    <t>B.02.21</t>
  </si>
  <si>
    <t>B.02.22</t>
  </si>
  <si>
    <t>B.02.23</t>
  </si>
  <si>
    <t>B.02.24</t>
  </si>
  <si>
    <t>B.02.25</t>
  </si>
  <si>
    <t>B.02.26</t>
  </si>
  <si>
    <t>Voorruimte toilet</t>
  </si>
  <si>
    <t>B.02.27</t>
  </si>
  <si>
    <t>B.02.28</t>
  </si>
  <si>
    <t>B.02.29</t>
  </si>
  <si>
    <t>B.02.30</t>
  </si>
  <si>
    <t>B.02.33</t>
  </si>
  <si>
    <t>B.02.34</t>
  </si>
  <si>
    <t>03</t>
  </si>
  <si>
    <t>B.03.01</t>
  </si>
  <si>
    <t>B.03.02</t>
  </si>
  <si>
    <t>BiNaSk theorielokaal</t>
  </si>
  <si>
    <t>B.03.03</t>
  </si>
  <si>
    <t>B.03.04</t>
  </si>
  <si>
    <t>B.03.05</t>
  </si>
  <si>
    <t>Multifunctionele werkruimte</t>
  </si>
  <si>
    <t>B.03.06</t>
  </si>
  <si>
    <t>B.03.07</t>
  </si>
  <si>
    <t>Kantoor leerlingenbegeleiding</t>
  </si>
  <si>
    <t>B.03.08</t>
  </si>
  <si>
    <t>Kantoor ortho. (zorg)</t>
  </si>
  <si>
    <t>B.03.09</t>
  </si>
  <si>
    <t>Vergaderruimte alg (12p)</t>
  </si>
  <si>
    <t>B.03.10</t>
  </si>
  <si>
    <t>Kantoor flex &amp; A.O.S.</t>
  </si>
  <si>
    <t>B.03.11</t>
  </si>
  <si>
    <t>Kantoor financieel en personeel</t>
  </si>
  <si>
    <t>B.03.12</t>
  </si>
  <si>
    <t>B.03.13</t>
  </si>
  <si>
    <t>B.03.14</t>
  </si>
  <si>
    <t>Kantoor roostermaker/appl. beh.</t>
  </si>
  <si>
    <t>B.03.15</t>
  </si>
  <si>
    <t>Lab 1</t>
  </si>
  <si>
    <t>B.03.16</t>
  </si>
  <si>
    <t>Lab 2</t>
  </si>
  <si>
    <t>B.03.17</t>
  </si>
  <si>
    <t>B.03.18</t>
  </si>
  <si>
    <t>Berging/TOA/Kabinet</t>
  </si>
  <si>
    <t>B.03.19</t>
  </si>
  <si>
    <t>B.03.20</t>
  </si>
  <si>
    <t>B.03.21</t>
  </si>
  <si>
    <t>B.03.22</t>
  </si>
  <si>
    <t>B.03.23</t>
  </si>
  <si>
    <t>B.03.24</t>
  </si>
  <si>
    <t>W.K.</t>
  </si>
  <si>
    <t>B.03.25</t>
  </si>
  <si>
    <t>B.03.26</t>
  </si>
  <si>
    <t>B.03.27</t>
  </si>
  <si>
    <t>B.03.28</t>
  </si>
  <si>
    <t>B.03.29</t>
  </si>
  <si>
    <t>Leerlingenlab/PWS/Plate leeringen</t>
  </si>
  <si>
    <t>B.03.30</t>
  </si>
  <si>
    <t>Opslag chemicaliën</t>
  </si>
  <si>
    <t>B.03.32</t>
  </si>
  <si>
    <t>B.03.34</t>
  </si>
  <si>
    <t>Totaal werkdag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</si>
  <si>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</si>
  <si>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</si>
  <si>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</si>
  <si>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</si>
  <si>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</si>
  <si>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</si>
  <si>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 xml:space="preserve">% HOOG-FREQUENT </t>
  </si>
  <si>
    <t>TARIEF</t>
  </si>
  <si>
    <t xml:space="preserve">     169</t>
  </si>
  <si>
    <t>NAAM</t>
  </si>
  <si>
    <t>ADRES</t>
  </si>
  <si>
    <t>PLAATS</t>
  </si>
  <si>
    <t>BASIS UUR- TARIEF</t>
  </si>
  <si>
    <t>UREN/ UITVOERING</t>
  </si>
  <si>
    <t>UREN HOOG-FREQUENT/ UITVOERING</t>
  </si>
  <si>
    <t>PRIJS/ UITVOERING</t>
  </si>
  <si>
    <t>UREN HOOG-FREQUENT/ JAAR</t>
  </si>
  <si>
    <t>PRIJS/ MAAND (EURO)</t>
  </si>
  <si>
    <t>Van Maerlantlyceum (nieuwbouw)</t>
  </si>
  <si>
    <t>Jacob van Maerlantlaan 11</t>
  </si>
  <si>
    <t>Eindhoven</t>
  </si>
  <si>
    <t>Totaal regulier werk incl. suppleties (excl. BTW)</t>
  </si>
  <si>
    <t>Totaal regulier werk incl. suppleties (incl. BTW)</t>
  </si>
  <si>
    <t>Object</t>
  </si>
  <si>
    <t>Kostenplaats</t>
  </si>
  <si>
    <t>Naam</t>
  </si>
  <si>
    <t>Adres</t>
  </si>
  <si>
    <t>Plaats</t>
  </si>
  <si>
    <t>Oppervlakte in onderhoud</t>
  </si>
  <si>
    <t>Uren hoog-frequent/ jaar</t>
  </si>
  <si>
    <t xml:space="preserve">Uren/ jaar werkdag                  </t>
  </si>
  <si>
    <t xml:space="preserve">Gemiddelde productienorm werkdag                  </t>
  </si>
  <si>
    <t>Prijs/ jaar</t>
  </si>
  <si>
    <t>Prijs/ maand excl.BTW</t>
  </si>
  <si>
    <t>Prijs/ maand incl.BTW</t>
  </si>
  <si>
    <t>Prijs per m² per jaar</t>
  </si>
  <si>
    <t>TOTAAL</t>
  </si>
  <si>
    <t>BEURT</t>
  </si>
  <si>
    <t>STAFFEL</t>
  </si>
  <si>
    <t>PRIJS/ EENHEID (EURO)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</si>
  <si>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</si>
  <si>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</si>
  <si>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</si>
  <si>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</si>
  <si>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</si>
  <si>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</si>
  <si>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</si>
  <si>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</si>
  <si>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</si>
  <si>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</si>
  <si>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</si>
  <si>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</si>
  <si>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</si>
  <si>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</si>
  <si>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</si>
  <si>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</si>
  <si>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</si>
  <si>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</si>
  <si>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</si>
  <si>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</si>
  <si>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</si>
  <si>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</si>
  <si>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</si>
  <si>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</si>
  <si>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</si>
  <si>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</si>
  <si>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</si>
  <si>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</si>
  <si>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</si>
  <si>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</si>
  <si>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3010A</t>
  </si>
  <si>
    <t>Lamellen (verticaal) reinigen (alumin)</t>
  </si>
  <si>
    <t>3010B</t>
  </si>
  <si>
    <t>3010C</t>
  </si>
  <si>
    <t>3010D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</si>
  <si>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</si>
  <si>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</si>
  <si>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</si>
  <si>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</si>
  <si>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</si>
  <si>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</si>
  <si>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</si>
  <si>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</si>
  <si>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</si>
  <si>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prijs per uur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</si>
  <si>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</si>
  <si>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</si>
  <si>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</si>
  <si>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</si>
  <si>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</si>
  <si>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</si>
  <si>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</si>
  <si>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</si>
  <si>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</si>
  <si>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</si>
  <si>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</si>
  <si>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</si>
  <si>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</si>
  <si>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</si>
  <si>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</si>
  <si>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</si>
  <si>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</si>
  <si>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</si>
  <si>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</si>
  <si>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</si>
  <si>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 excl. uitruimen/inruimen</t>
  </si>
  <si>
    <t>4030B</t>
  </si>
  <si>
    <t>4030C</t>
  </si>
  <si>
    <t>4030D</t>
  </si>
  <si>
    <t>4031A</t>
  </si>
  <si>
    <t>Linoleum vloeren strippen/conserveren incl. uitruimen/inruimen</t>
  </si>
  <si>
    <t>4031B</t>
  </si>
  <si>
    <t>4031C</t>
  </si>
  <si>
    <t>4031D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</si>
  <si>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</si>
  <si>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</si>
  <si>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</si>
  <si>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</si>
  <si>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</si>
  <si>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</si>
  <si>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</si>
  <si>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</si>
  <si>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</si>
  <si>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</si>
  <si>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</si>
  <si>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 excl. uitruimen/inruimen</t>
  </si>
  <si>
    <t>4060B</t>
  </si>
  <si>
    <t>4060C</t>
  </si>
  <si>
    <t>4060D</t>
  </si>
  <si>
    <t>4061A</t>
  </si>
  <si>
    <t>Tapijt reinigen sproei/extractie methode incl. uitruimen/inruimen</t>
  </si>
  <si>
    <t>4061B</t>
  </si>
  <si>
    <t>4061C</t>
  </si>
  <si>
    <t>4061D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</si>
  <si>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</si>
  <si>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</si>
  <si>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</si>
  <si>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</si>
  <si>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</si>
  <si>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</si>
  <si>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</si>
  <si>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</si>
  <si>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</si>
  <si>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</si>
  <si>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Totaal afroep incidenteel excl. BTW</t>
  </si>
  <si>
    <t>FREQ (DAGEN)</t>
  </si>
  <si>
    <t>HOEVEELHEID /KEER</t>
  </si>
  <si>
    <t>UURTARIEF (EURO)</t>
  </si>
  <si>
    <t>NORM</t>
  </si>
  <si>
    <t>PRIJS/ KEER</t>
  </si>
  <si>
    <t>9000</t>
  </si>
  <si>
    <t>Medewerker regiewerkzaamheden</t>
  </si>
  <si>
    <t>9050</t>
  </si>
  <si>
    <t>Medewerker regiewerkzaamheden weekend</t>
  </si>
  <si>
    <t>9100</t>
  </si>
  <si>
    <t>Medewerker specialistische werkzaamheden</t>
  </si>
  <si>
    <t>Totaal regiewerk excl. BTW</t>
  </si>
  <si>
    <t>Soort werk</t>
  </si>
  <si>
    <t>Uren per jaar uitvoering</t>
  </si>
  <si>
    <t>Uren hoogfrequent per jaar uitvoering</t>
  </si>
  <si>
    <t>Bedrag per jaar excl. BTW (euro)</t>
  </si>
  <si>
    <t>Bedrag per jaar incl. BTW (euro)</t>
  </si>
  <si>
    <t xml:space="preserve">Regulier werk </t>
  </si>
  <si>
    <t>Regie (geschat)</t>
  </si>
  <si>
    <t>Totaal generaal</t>
  </si>
  <si>
    <t>VERGELIJKINGSPRIJS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</si>
</sst>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1" fillId="3" borderId="12" xfId="0" applyNumberFormat="1" applyFont="1" applyFill="1" applyBorder="1"/>
    <xf numFmtId="49" fontId="1" fillId="3" borderId="13" xfId="0" applyNumberFormat="1" applyFont="1" applyFill="1" applyBorder="1"/>
    <xf numFmtId="49" fontId="1" fillId="3" borderId="14" xfId="0" applyNumberFormat="1" applyFont="1" applyFill="1" applyBorder="1"/>
    <xf numFmtId="49" fontId="1" fillId="3" borderId="15" xfId="0" applyNumberFormat="1" applyFont="1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49" fontId="1" fillId="3" borderId="15" xfId="0" applyNumberFormat="1" applyFont="1" applyFill="1" applyBorder="1" applyAlignment="1">
      <alignment wrapText="1"/>
    </xf>
    <xf numFmtId="49" fontId="1" fillId="4" borderId="16" xfId="0" applyNumberFormat="1" applyFont="1" applyFill="1" applyBorder="1" applyAlignment="1">
      <alignment wrapText="1"/>
    </xf>
    <xf numFmtId="49" fontId="1" fillId="4" borderId="17" xfId="0" applyNumberFormat="1" applyFon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1" fillId="0" borderId="16" xfId="0" applyNumberFormat="1" applyFont="1" applyBorder="1" applyAlignment="1" applyProtection="1">
      <alignment wrapText="1"/>
      <protection locked="0"/>
    </xf>
    <xf numFmtId="49" fontId="1" fillId="0" borderId="17" xfId="0" applyNumberFormat="1" applyFont="1" applyBorder="1" applyAlignment="1" applyProtection="1">
      <alignment wrapText="1"/>
      <protection locked="0"/>
    </xf>
    <xf numFmtId="49" fontId="0" fillId="3" borderId="15" xfId="0" applyNumberFormat="1" applyFill="1" applyBorder="1"/>
    <xf numFmtId="164" fontId="0" fillId="0" borderId="16" xfId="0" applyNumberFormat="1" applyBorder="1" applyProtection="1">
      <protection locked="0"/>
    </xf>
    <xf numFmtId="164" fontId="0" fillId="0" borderId="17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10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10" fontId="0" fillId="4" borderId="16" xfId="0" applyNumberFormat="1" applyFill="1" applyBorder="1" applyProtection="1">
      <protection locked="0"/>
    </xf>
    <xf numFmtId="49" fontId="1" fillId="3" borderId="18" xfId="0" applyNumberFormat="1" applyFont="1" applyFill="1" applyBorder="1"/>
    <xf numFmtId="10" fontId="0" fillId="4" borderId="19" xfId="0" applyNumberFormat="1" applyFill="1" applyBorder="1" applyProtection="1">
      <protection locked="0"/>
    </xf>
    <xf numFmtId="164" fontId="0" fillId="2" borderId="19" xfId="0" applyNumberFormat="1" applyFill="1" applyBorder="1"/>
    <xf numFmtId="164" fontId="0" fillId="2" borderId="20" xfId="0" applyNumberFormat="1" applyFill="1" applyBorder="1"/>
    <xf numFmtId="49" fontId="1" fillId="3" borderId="13" xfId="0" applyNumberFormat="1" applyFont="1" applyFill="1" applyBorder="1" applyAlignment="1">
      <alignment wrapText="1"/>
    </xf>
    <xf numFmtId="49" fontId="1" fillId="3" borderId="14" xfId="0" applyNumberFormat="1" applyFont="1" applyFill="1" applyBorder="1" applyAlignment="1">
      <alignment wrapText="1"/>
    </xf>
    <xf numFmtId="0" fontId="0" fillId="2" borderId="15" xfId="0" applyFill="1" applyBorder="1" applyAlignment="1">
      <alignment wrapText="1"/>
    </xf>
    <xf numFmtId="10" fontId="0" fillId="2" borderId="16" xfId="0" applyNumberFormat="1" applyFill="1" applyBorder="1"/>
    <xf numFmtId="164" fontId="1" fillId="2" borderId="19" xfId="0" applyNumberFormat="1" applyFont="1" applyFill="1" applyBorder="1"/>
    <xf numFmtId="164" fontId="1" fillId="2" borderId="20" xfId="0" applyNumberFormat="1" applyFont="1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8" xfId="0" applyFill="1" applyBorder="1"/>
    <xf numFmtId="49" fontId="0" fillId="2" borderId="24" xfId="0" applyNumberFormat="1" applyFill="1" applyBorder="1"/>
    <xf numFmtId="1" fontId="0" fillId="2" borderId="24" xfId="0" applyNumberFormat="1" applyFill="1" applyBorder="1"/>
    <xf numFmtId="4" fontId="0" fillId="0" borderId="24" xfId="0" applyNumberFormat="1" applyBorder="1" applyProtection="1">
      <protection locked="0"/>
    </xf>
    <xf numFmtId="10" fontId="0" fillId="0" borderId="24" xfId="0" applyNumberFormat="1" applyBorder="1" applyProtection="1">
      <protection locked="0"/>
    </xf>
    <xf numFmtId="164" fontId="0" fillId="2" borderId="24" xfId="0" applyNumberFormat="1" applyFill="1" applyBorder="1"/>
    <xf numFmtId="49" fontId="0" fillId="2" borderId="25" xfId="0" applyNumberFormat="1" applyFill="1" applyBorder="1"/>
    <xf numFmtId="1" fontId="0" fillId="2" borderId="25" xfId="0" applyNumberFormat="1" applyFill="1" applyBorder="1"/>
    <xf numFmtId="4" fontId="0" fillId="0" borderId="25" xfId="0" applyNumberFormat="1" applyBorder="1" applyProtection="1">
      <protection locked="0"/>
    </xf>
    <xf numFmtId="10" fontId="0" fillId="0" borderId="25" xfId="0" applyNumberFormat="1" applyBorder="1" applyProtection="1">
      <protection locked="0"/>
    </xf>
    <xf numFmtId="164" fontId="0" fillId="2" borderId="25" xfId="0" applyNumberFormat="1" applyFill="1" applyBorder="1"/>
    <xf numFmtId="49" fontId="0" fillId="2" borderId="26" xfId="0" applyNumberFormat="1" applyFill="1" applyBorder="1"/>
    <xf numFmtId="1" fontId="0" fillId="2" borderId="26" xfId="0" applyNumberFormat="1" applyFill="1" applyBorder="1"/>
    <xf numFmtId="4" fontId="0" fillId="0" borderId="26" xfId="0" applyNumberFormat="1" applyBorder="1" applyProtection="1">
      <protection locked="0"/>
    </xf>
    <xf numFmtId="10" fontId="0" fillId="0" borderId="26" xfId="0" applyNumberFormat="1" applyBorder="1" applyProtection="1">
      <protection locked="0"/>
    </xf>
    <xf numFmtId="164" fontId="0" fillId="2" borderId="26" xfId="0" applyNumberFormat="1" applyFill="1" applyBorder="1"/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4" fontId="0" fillId="2" borderId="25" xfId="0" applyNumberFormat="1" applyFill="1" applyBorder="1"/>
    <xf numFmtId="165" fontId="0" fillId="2" borderId="25" xfId="0" applyNumberFormat="1" applyFill="1" applyBorder="1"/>
    <xf numFmtId="10" fontId="0" fillId="2" borderId="25" xfId="0" applyNumberFormat="1" applyFill="1" applyBorder="1"/>
    <xf numFmtId="4" fontId="0" fillId="2" borderId="26" xfId="0" applyNumberFormat="1" applyFill="1" applyBorder="1"/>
    <xf numFmtId="165" fontId="0" fillId="2" borderId="26" xfId="0" applyNumberFormat="1" applyFill="1" applyBorder="1"/>
    <xf numFmtId="0" fontId="0" fillId="3" borderId="28" xfId="0" applyFill="1" applyBorder="1"/>
    <xf numFmtId="49" fontId="0" fillId="3" borderId="21" xfId="0" applyNumberFormat="1" applyFill="1" applyBorder="1"/>
    <xf numFmtId="0" fontId="0" fillId="3" borderId="22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27" xfId="0" applyNumberFormat="1" applyFill="1" applyBorder="1"/>
    <xf numFmtId="0" fontId="0" fillId="3" borderId="21" xfId="0" applyFill="1" applyBorder="1"/>
    <xf numFmtId="0" fontId="0" fillId="3" borderId="29" xfId="0" applyFill="1" applyBorder="1"/>
    <xf numFmtId="49" fontId="0" fillId="3" borderId="30" xfId="0" applyNumberFormat="1" applyFill="1" applyBorder="1" applyAlignment="1">
      <alignment wrapText="1"/>
    </xf>
    <xf numFmtId="49" fontId="0" fillId="3" borderId="27" xfId="0" applyNumberFormat="1" applyFill="1" applyBorder="1" applyAlignment="1">
      <alignment wrapText="1"/>
    </xf>
    <xf numFmtId="0" fontId="0" fillId="3" borderId="31" xfId="0" applyFill="1" applyBorder="1"/>
    <xf numFmtId="49" fontId="0" fillId="2" borderId="12" xfId="0" applyNumberFormat="1" applyFill="1" applyBorder="1"/>
    <xf numFmtId="49" fontId="0" fillId="2" borderId="13" xfId="0" applyNumberFormat="1" applyFill="1" applyBorder="1"/>
    <xf numFmtId="49" fontId="0" fillId="2" borderId="13" xfId="0" applyNumberFormat="1" applyFill="1" applyBorder="1" applyAlignment="1">
      <alignment wrapText="1"/>
    </xf>
    <xf numFmtId="4" fontId="0" fillId="2" borderId="13" xfId="0" applyNumberFormat="1" applyFill="1" applyBorder="1"/>
    <xf numFmtId="165" fontId="0" fillId="2" borderId="13" xfId="0" applyNumberFormat="1" applyFill="1" applyBorder="1"/>
    <xf numFmtId="10" fontId="0" fillId="2" borderId="13" xfId="0" applyNumberFormat="1" applyFill="1" applyBorder="1"/>
    <xf numFmtId="164" fontId="0" fillId="2" borderId="13" xfId="0" applyNumberFormat="1" applyFill="1" applyBorder="1"/>
    <xf numFmtId="164" fontId="0" fillId="2" borderId="14" xfId="0" applyNumberFormat="1" applyFill="1" applyBorder="1"/>
    <xf numFmtId="49" fontId="0" fillId="2" borderId="15" xfId="0" applyNumberFormat="1" applyFill="1" applyBorder="1"/>
    <xf numFmtId="49" fontId="0" fillId="2" borderId="16" xfId="0" applyNumberFormat="1" applyFill="1" applyBorder="1"/>
    <xf numFmtId="49" fontId="0" fillId="2" borderId="16" xfId="0" applyNumberFormat="1" applyFill="1" applyBorder="1" applyAlignment="1">
      <alignment wrapText="1"/>
    </xf>
    <xf numFmtId="4" fontId="0" fillId="2" borderId="16" xfId="0" applyNumberFormat="1" applyFill="1" applyBorder="1"/>
    <xf numFmtId="165" fontId="0" fillId="2" borderId="16" xfId="0" applyNumberFormat="1" applyFill="1" applyBorder="1"/>
    <xf numFmtId="0" fontId="0" fillId="2" borderId="16" xfId="0" applyFill="1" applyBorder="1"/>
    <xf numFmtId="49" fontId="0" fillId="2" borderId="18" xfId="0" applyNumberFormat="1" applyFill="1" applyBorder="1"/>
    <xf numFmtId="49" fontId="0" fillId="2" borderId="19" xfId="0" applyNumberFormat="1" applyFill="1" applyBorder="1"/>
    <xf numFmtId="49" fontId="0" fillId="2" borderId="19" xfId="0" applyNumberFormat="1" applyFill="1" applyBorder="1" applyAlignment="1">
      <alignment wrapText="1"/>
    </xf>
    <xf numFmtId="4" fontId="0" fillId="2" borderId="19" xfId="0" applyNumberFormat="1" applyFill="1" applyBorder="1"/>
    <xf numFmtId="165" fontId="0" fillId="2" borderId="19" xfId="0" applyNumberFormat="1" applyFill="1" applyBorder="1"/>
    <xf numFmtId="10" fontId="0" fillId="2" borderId="19" xfId="0" applyNumberFormat="1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11" xfId="0" applyFill="1" applyBorder="1"/>
    <xf numFmtId="49" fontId="0" fillId="3" borderId="11" xfId="0" applyNumberFormat="1" applyFill="1" applyBorder="1"/>
    <xf numFmtId="10" fontId="0" fillId="2" borderId="26" xfId="0" applyNumberFormat="1" applyFill="1" applyBorder="1"/>
    <xf numFmtId="0" fontId="0" fillId="3" borderId="6" xfId="0" applyFill="1" applyBorder="1"/>
    <xf numFmtId="49" fontId="0" fillId="2" borderId="6" xfId="0" applyNumberFormat="1" applyFill="1" applyBorder="1"/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" fontId="0" fillId="2" borderId="6" xfId="0" applyNumberFormat="1" applyFill="1" applyBorder="1"/>
    <xf numFmtId="164" fontId="0" fillId="2" borderId="6" xfId="0" applyNumberFormat="1" applyFill="1" applyBorder="1"/>
    <xf numFmtId="49" fontId="0" fillId="3" borderId="24" xfId="0" applyNumberFormat="1" applyFill="1" applyBorder="1" applyAlignment="1">
      <alignment wrapText="1"/>
    </xf>
    <xf numFmtId="49" fontId="0" fillId="3" borderId="25" xfId="0" applyNumberFormat="1" applyFill="1" applyBorder="1" applyAlignment="1">
      <alignment wrapText="1"/>
    </xf>
    <xf numFmtId="49" fontId="0" fillId="3" borderId="26" xfId="0" applyNumberFormat="1" applyFill="1" applyBorder="1" applyAlignment="1">
      <alignment wrapText="1"/>
    </xf>
    <xf numFmtId="0" fontId="0" fillId="3" borderId="23" xfId="0" applyFill="1" applyBorder="1"/>
    <xf numFmtId="49" fontId="0" fillId="3" borderId="24" xfId="0" applyNumberFormat="1" applyFill="1" applyBorder="1"/>
    <xf numFmtId="49" fontId="0" fillId="3" borderId="25" xfId="0" applyNumberFormat="1" applyFill="1" applyBorder="1"/>
    <xf numFmtId="4" fontId="0" fillId="3" borderId="25" xfId="0" applyNumberFormat="1" applyFill="1" applyBorder="1"/>
    <xf numFmtId="0" fontId="0" fillId="3" borderId="25" xfId="0" applyFill="1" applyBorder="1"/>
    <xf numFmtId="164" fontId="0" fillId="0" borderId="24" xfId="0" applyNumberFormat="1" applyBorder="1" applyProtection="1">
      <protection locked="0"/>
    </xf>
    <xf numFmtId="164" fontId="0" fillId="0" borderId="25" xfId="0" applyNumberFormat="1" applyBorder="1" applyProtection="1">
      <protection locked="0"/>
    </xf>
    <xf numFmtId="164" fontId="0" fillId="0" borderId="26" xfId="0" applyNumberFormat="1" applyBorder="1" applyProtection="1">
      <protection locked="0"/>
    </xf>
    <xf numFmtId="4" fontId="0" fillId="4" borderId="24" xfId="0" applyNumberFormat="1" applyFill="1" applyBorder="1"/>
    <xf numFmtId="164" fontId="0" fillId="2" borderId="24" xfId="0" applyNumberFormat="1" applyFill="1" applyBorder="1" applyProtection="1"/>
    <xf numFmtId="4" fontId="0" fillId="3" borderId="24" xfId="0" applyNumberFormat="1" applyFill="1" applyBorder="1" applyProtection="1"/>
    <xf numFmtId="4" fontId="0" fillId="4" borderId="25" xfId="0" applyNumberFormat="1" applyFill="1" applyBorder="1"/>
    <xf numFmtId="164" fontId="0" fillId="2" borderId="25" xfId="0" applyNumberFormat="1" applyFill="1" applyBorder="1" applyProtection="1"/>
    <xf numFmtId="4" fontId="0" fillId="3" borderId="25" xfId="0" applyNumberFormat="1" applyFill="1" applyBorder="1" applyProtection="1"/>
    <xf numFmtId="4" fontId="0" fillId="4" borderId="26" xfId="0" applyNumberFormat="1" applyFill="1" applyBorder="1"/>
    <xf numFmtId="164" fontId="0" fillId="2" borderId="26" xfId="0" applyNumberFormat="1" applyFill="1" applyBorder="1" applyProtection="1"/>
    <xf numFmtId="4" fontId="0" fillId="3" borderId="26" xfId="0" applyNumberFormat="1" applyFill="1" applyBorder="1" applyProtection="1"/>
    <xf numFmtId="164" fontId="0" fillId="3" borderId="23" xfId="0" applyNumberFormat="1" applyFill="1" applyBorder="1"/>
    <xf numFmtId="4" fontId="0" fillId="3" borderId="26" xfId="0" applyNumberFormat="1" applyFill="1" applyBorder="1"/>
    <xf numFmtId="49" fontId="1" fillId="3" borderId="6" xfId="0" applyNumberFormat="1" applyFont="1" applyFill="1" applyBorder="1"/>
    <xf numFmtId="164" fontId="1" fillId="2" borderId="6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0C075-6E14-414D-BA26-7F6AAA06A061}">
  <dimension ref="A1:K28"/>
  <sheetViews>
    <sheetView workbookViewId="0"/>
  </sheetViews>
  <sheetFormatPr defaultRowHeight="11.5" x14ac:dyDescent="0.25"/>
  <sheetData>
    <row r="1" spans="1:11" x14ac:dyDescent="0.25">
      <c r="A1" s="1" t="s">
        <v>0</v>
      </c>
    </row>
    <row r="3" spans="1:11" x14ac:dyDescent="0.25">
      <c r="A3" t="s">
        <v>1</v>
      </c>
    </row>
    <row r="5" spans="1:11" x14ac:dyDescent="0.25">
      <c r="A5" t="s">
        <v>2</v>
      </c>
      <c r="B5" t="s">
        <v>3</v>
      </c>
    </row>
    <row r="7" spans="1:11" x14ac:dyDescent="0.25">
      <c r="A7" s="4" t="s">
        <v>4</v>
      </c>
      <c r="B7" s="5"/>
      <c r="D7" s="4" t="s">
        <v>25</v>
      </c>
      <c r="E7" s="5"/>
      <c r="G7" s="4" t="s">
        <v>26</v>
      </c>
      <c r="H7" s="5"/>
      <c r="J7" s="4" t="s">
        <v>27</v>
      </c>
      <c r="K7" s="5"/>
    </row>
    <row r="8" spans="1:11" x14ac:dyDescent="0.25">
      <c r="A8" s="2"/>
      <c r="B8" s="3"/>
      <c r="D8" s="2"/>
      <c r="E8" s="3"/>
      <c r="G8" s="2"/>
      <c r="H8" s="3"/>
      <c r="J8" s="2"/>
      <c r="K8" s="3"/>
    </row>
    <row r="9" spans="1:11" x14ac:dyDescent="0.25">
      <c r="A9" s="2" t="s">
        <v>5</v>
      </c>
      <c r="B9" s="3">
        <v>200</v>
      </c>
      <c r="D9" s="2" t="s">
        <v>5</v>
      </c>
      <c r="E9" s="3">
        <v>200</v>
      </c>
      <c r="G9" s="2" t="s">
        <v>5</v>
      </c>
      <c r="H9" s="3">
        <v>63</v>
      </c>
      <c r="J9" s="2" t="s">
        <v>5</v>
      </c>
      <c r="K9" s="3">
        <v>102</v>
      </c>
    </row>
    <row r="10" spans="1:11" x14ac:dyDescent="0.25">
      <c r="A10" s="2" t="s">
        <v>6</v>
      </c>
      <c r="B10" s="3">
        <v>5</v>
      </c>
      <c r="D10" s="2" t="s">
        <v>6</v>
      </c>
      <c r="E10" s="3">
        <v>5</v>
      </c>
      <c r="G10" s="2" t="s">
        <v>6</v>
      </c>
      <c r="H10" s="3">
        <v>1</v>
      </c>
      <c r="J10" s="2" t="s">
        <v>6</v>
      </c>
      <c r="K10" s="3">
        <v>2</v>
      </c>
    </row>
    <row r="11" spans="1:11" x14ac:dyDescent="0.25">
      <c r="A11" s="2"/>
      <c r="B11" s="3"/>
      <c r="D11" s="2"/>
      <c r="E11" s="3"/>
      <c r="G11" s="2"/>
      <c r="H11" s="3"/>
      <c r="J11" s="2"/>
      <c r="K11" s="3"/>
    </row>
    <row r="12" spans="1:11" x14ac:dyDescent="0.25">
      <c r="A12" s="2" t="s">
        <v>7</v>
      </c>
      <c r="B12" s="3" t="s">
        <v>8</v>
      </c>
      <c r="D12" s="2" t="s">
        <v>7</v>
      </c>
      <c r="E12" s="3" t="s">
        <v>8</v>
      </c>
      <c r="G12" s="2" t="s">
        <v>7</v>
      </c>
      <c r="H12" s="3" t="s">
        <v>8</v>
      </c>
      <c r="J12" s="2" t="s">
        <v>7</v>
      </c>
      <c r="K12" s="3" t="s">
        <v>8</v>
      </c>
    </row>
    <row r="13" spans="1:11" x14ac:dyDescent="0.25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1.0249999999999999</v>
      </c>
      <c r="D13" s="2" t="s">
        <v>10</v>
      </c>
      <c r="E13" s="3">
        <f>IF(D13="2½W",2.5/dagenperweek2,IF(RIGHT(D13,1)="W",VALUE(LEFT(D13,LEN(D13)-1))/dagenperweek2,IF(RIGHT(D13,1)="J",VALUE(LEFT(D13,LEN(D13)-1))/dagenperjaar2,"handmatig!")))</f>
        <v>1</v>
      </c>
      <c r="G13" s="2" t="s">
        <v>10</v>
      </c>
      <c r="H13" s="3">
        <f>IF(G13="2½W",2.5/dagenperweek3,IF(RIGHT(G13,1)="W",VALUE(LEFT(G13,LEN(G13)-1))/dagenperweek3,IF(RIGHT(G13,1)="J",VALUE(LEFT(G13,LEN(G13)-1))/dagenperjaar3,"handmatig!")))</f>
        <v>5</v>
      </c>
      <c r="J13" s="2" t="s">
        <v>15</v>
      </c>
      <c r="K13" s="3">
        <f>IF(J13="2½W",2.5/dagenperweek4,IF(RIGHT(J13,1)="W",VALUE(LEFT(J13,LEN(J13)-1))/dagenperweek4,IF(RIGHT(J13,1)="J",VALUE(LEFT(J13,LEN(J13)-1))/dagenperjaar4,"handmatig!")))</f>
        <v>1</v>
      </c>
    </row>
    <row r="14" spans="1:11" x14ac:dyDescent="0.25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1</v>
      </c>
      <c r="D14" s="2" t="s">
        <v>11</v>
      </c>
      <c r="E14" s="3">
        <f>IF(D14="2½W",2.5/dagenperweek2,IF(RIGHT(D14,1)="W",VALUE(LEFT(D14,LEN(D14)-1))/dagenperweek2,IF(RIGHT(D14,1)="J",VALUE(LEFT(D14,LEN(D14)-1))/dagenperjaar2,"handmatig!")))</f>
        <v>0.8</v>
      </c>
      <c r="G14" s="2" t="s">
        <v>11</v>
      </c>
      <c r="H14" s="3">
        <f>IF(G14="2½W",2.5/dagenperweek3,IF(RIGHT(G14,1)="W",VALUE(LEFT(G14,LEN(G14)-1))/dagenperweek3,IF(RIGHT(G14,1)="J",VALUE(LEFT(G14,LEN(G14)-1))/dagenperjaar3,"handmatig!")))</f>
        <v>4</v>
      </c>
      <c r="J14" s="2" t="s">
        <v>17</v>
      </c>
      <c r="K14" s="3">
        <f>IF(J14="2½W",2.5/dagenperweek4,IF(RIGHT(J14,1)="W",VALUE(LEFT(J14,LEN(J14)-1))/dagenperweek4,IF(RIGHT(J14,1)="J",VALUE(LEFT(J14,LEN(J14)-1))/dagenperjaar4,"handmatig!")))</f>
        <v>0.5</v>
      </c>
    </row>
    <row r="15" spans="1:11" x14ac:dyDescent="0.25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0.8</v>
      </c>
      <c r="D15" s="2" t="s">
        <v>13</v>
      </c>
      <c r="E15" s="3">
        <f>IF(D15="2½W",2.5/dagenperweek2,IF(RIGHT(D15,1)="W",VALUE(LEFT(D15,LEN(D15)-1))/dagenperweek2,IF(RIGHT(D15,1)="J",VALUE(LEFT(D15,LEN(D15)-1))/dagenperjaar2,"handmatig!")))</f>
        <v>0.6</v>
      </c>
      <c r="G15" s="2" t="s">
        <v>13</v>
      </c>
      <c r="H15" s="3">
        <f>IF(G15="2½W",2.5/dagenperweek3,IF(RIGHT(G15,1)="W",VALUE(LEFT(G15,LEN(G15)-1))/dagenperweek3,IF(RIGHT(G15,1)="J",VALUE(LEFT(G15,LEN(G15)-1))/dagenperjaar3,"handmatig!")))</f>
        <v>3</v>
      </c>
      <c r="J15" s="6" t="s">
        <v>24</v>
      </c>
      <c r="K15" s="7">
        <f>IF(J15="2½W",2.5/dagenperweek4,IF(RIGHT(J15,1)="W",VALUE(LEFT(J15,LEN(J15)-1))/dagenperweek4,IF(RIGHT(J15,1)="J",VALUE(LEFT(J15,LEN(J15)-1))/dagenperjaar4,"handmatig!")))</f>
        <v>9.8039215686274508E-3</v>
      </c>
    </row>
    <row r="16" spans="1:11" x14ac:dyDescent="0.25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0.61499999999999999</v>
      </c>
      <c r="D16" s="2" t="s">
        <v>15</v>
      </c>
      <c r="E16" s="3">
        <f>IF(D16="2½W",2.5/dagenperweek2,IF(RIGHT(D16,1)="W",VALUE(LEFT(D16,LEN(D16)-1))/dagenperweek2,IF(RIGHT(D16,1)="J",VALUE(LEFT(D16,LEN(D16)-1))/dagenperjaar2,"handmatig!")))</f>
        <v>0.4</v>
      </c>
      <c r="G16" s="2" t="s">
        <v>15</v>
      </c>
      <c r="H16" s="3">
        <f>IF(G16="2½W",2.5/dagenperweek3,IF(RIGHT(G16,1)="W",VALUE(LEFT(G16,LEN(G16)-1))/dagenperweek3,IF(RIGHT(G16,1)="J",VALUE(LEFT(G16,LEN(G16)-1))/dagenperjaar3,"handmatig!")))</f>
        <v>2</v>
      </c>
    </row>
    <row r="17" spans="1:8" x14ac:dyDescent="0.25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0.6</v>
      </c>
      <c r="D17" s="2" t="s">
        <v>17</v>
      </c>
      <c r="E17" s="3">
        <f>IF(D17="2½W",2.5/dagenperweek2,IF(RIGHT(D17,1)="W",VALUE(LEFT(D17,LEN(D17)-1))/dagenperweek2,IF(RIGHT(D17,1)="J",VALUE(LEFT(D17,LEN(D17)-1))/dagenperjaar2,"handmatig!")))</f>
        <v>0.2</v>
      </c>
      <c r="G17" s="2" t="s">
        <v>17</v>
      </c>
      <c r="H17" s="3">
        <f>IF(G17="2½W",2.5/dagenperweek3,IF(RIGHT(G17,1)="W",VALUE(LEFT(G17,LEN(G17)-1))/dagenperweek3,IF(RIGHT(G17,1)="J",VALUE(LEFT(G17,LEN(G17)-1))/dagenperjaar3,"handmatig!")))</f>
        <v>1</v>
      </c>
    </row>
    <row r="18" spans="1:8" x14ac:dyDescent="0.25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0.5</v>
      </c>
      <c r="D18" s="2" t="s">
        <v>18</v>
      </c>
      <c r="E18" s="3">
        <f>IF(D18="2½W",2.5/dagenperweek2,IF(RIGHT(D18,1)="W",VALUE(LEFT(D18,LEN(D18)-1))/dagenperweek2,IF(RIGHT(D18,1)="J",VALUE(LEFT(D18,LEN(D18)-1))/dagenperjaar2,"handmatig!")))</f>
        <v>0.13</v>
      </c>
      <c r="G18" s="2" t="s">
        <v>18</v>
      </c>
      <c r="H18" s="3">
        <f>IF(G18="2½W",2.5/dagenperweek3,IF(RIGHT(G18,1)="W",VALUE(LEFT(G18,LEN(G18)-1))/dagenperweek3,IF(RIGHT(G18,1)="J",VALUE(LEFT(G18,LEN(G18)-1))/dagenperjaar3,"handmatig!")))</f>
        <v>0.41269841269841268</v>
      </c>
    </row>
    <row r="19" spans="1:8" x14ac:dyDescent="0.25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0.4</v>
      </c>
      <c r="D19" s="2" t="s">
        <v>19</v>
      </c>
      <c r="E19" s="3">
        <f>IF(D19="2½W",2.5/dagenperweek2,IF(RIGHT(D19,1)="W",VALUE(LEFT(D19,LEN(D19)-1))/dagenperweek2,IF(RIGHT(D19,1)="J",VALUE(LEFT(D19,LEN(D19)-1))/dagenperjaar2,"handmatig!")))</f>
        <v>0.06</v>
      </c>
      <c r="G19" s="2" t="s">
        <v>19</v>
      </c>
      <c r="H19" s="3">
        <f>IF(G19="2½W",2.5/dagenperweek3,IF(RIGHT(G19,1)="W",VALUE(LEFT(G19,LEN(G19)-1))/dagenperweek3,IF(RIGHT(G19,1)="J",VALUE(LEFT(G19,LEN(G19)-1))/dagenperjaar3,"handmatig!")))</f>
        <v>0.19047619047619047</v>
      </c>
    </row>
    <row r="20" spans="1:8" x14ac:dyDescent="0.25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0.20499999999999999</v>
      </c>
      <c r="D20" s="2" t="s">
        <v>20</v>
      </c>
      <c r="E20" s="3">
        <f>IF(D20="2½W",2.5/dagenperweek2,IF(RIGHT(D20,1)="W",VALUE(LEFT(D20,LEN(D20)-1))/dagenperweek2,IF(RIGHT(D20,1)="J",VALUE(LEFT(D20,LEN(D20)-1))/dagenperjaar2,"handmatig!")))</f>
        <v>0.03</v>
      </c>
      <c r="G20" s="2" t="s">
        <v>20</v>
      </c>
      <c r="H20" s="3">
        <f>IF(G20="2½W",2.5/dagenperweek3,IF(RIGHT(G20,1)="W",VALUE(LEFT(G20,LEN(G20)-1))/dagenperweek3,IF(RIGHT(G20,1)="J",VALUE(LEFT(G20,LEN(G20)-1))/dagenperjaar3,"handmatig!")))</f>
        <v>9.5238095238095233E-2</v>
      </c>
    </row>
    <row r="21" spans="1:8" x14ac:dyDescent="0.25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0.2</v>
      </c>
      <c r="D21" s="2" t="s">
        <v>21</v>
      </c>
      <c r="E21" s="3">
        <f>IF(D21="2½W",2.5/dagenperweek2,IF(RIGHT(D21,1)="W",VALUE(LEFT(D21,LEN(D21)-1))/dagenperweek2,IF(RIGHT(D21,1)="J",VALUE(LEFT(D21,LEN(D21)-1))/dagenperjaar2,"handmatig!")))</f>
        <v>0.02</v>
      </c>
      <c r="G21" s="2" t="s">
        <v>21</v>
      </c>
      <c r="H21" s="3">
        <f>IF(G21="2½W",2.5/dagenperweek3,IF(RIGHT(G21,1)="W",VALUE(LEFT(G21,LEN(G21)-1))/dagenperweek3,IF(RIGHT(G21,1)="J",VALUE(LEFT(G21,LEN(G21)-1))/dagenperjaar3,"handmatig!")))</f>
        <v>6.3492063492063489E-2</v>
      </c>
    </row>
    <row r="22" spans="1:8" x14ac:dyDescent="0.25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0.13</v>
      </c>
      <c r="D22" s="2" t="s">
        <v>22</v>
      </c>
      <c r="E22" s="3">
        <f>IF(D22="2½W",2.5/dagenperweek2,IF(RIGHT(D22,1)="W",VALUE(LEFT(D22,LEN(D22)-1))/dagenperweek2,IF(RIGHT(D22,1)="J",VALUE(LEFT(D22,LEN(D22)-1))/dagenperjaar2,"handmatig!")))</f>
        <v>1.4999999999999999E-2</v>
      </c>
      <c r="G22" s="2" t="s">
        <v>22</v>
      </c>
      <c r="H22" s="3">
        <f>IF(G22="2½W",2.5/dagenperweek3,IF(RIGHT(G22,1)="W",VALUE(LEFT(G22,LEN(G22)-1))/dagenperweek3,IF(RIGHT(G22,1)="J",VALUE(LEFT(G22,LEN(G22)-1))/dagenperjaar3,"handmatig!")))</f>
        <v>4.7619047619047616E-2</v>
      </c>
    </row>
    <row r="23" spans="1:8" x14ac:dyDescent="0.25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0.06</v>
      </c>
      <c r="D23" s="2" t="s">
        <v>23</v>
      </c>
      <c r="E23" s="3">
        <f>IF(D23="2½W",2.5/dagenperweek2,IF(RIGHT(D23,1)="W",VALUE(LEFT(D23,LEN(D23)-1))/dagenperweek2,IF(RIGHT(D23,1)="J",VALUE(LEFT(D23,LEN(D23)-1))/dagenperjaar2,"handmatig!")))</f>
        <v>0.01</v>
      </c>
      <c r="G23" s="2" t="s">
        <v>23</v>
      </c>
      <c r="H23" s="3">
        <f>IF(G23="2½W",2.5/dagenperweek3,IF(RIGHT(G23,1)="W",VALUE(LEFT(G23,LEN(G23)-1))/dagenperweek3,IF(RIGHT(G23,1)="J",VALUE(LEFT(G23,LEN(G23)-1))/dagenperjaar3,"handmatig!")))</f>
        <v>3.1746031746031744E-2</v>
      </c>
    </row>
    <row r="24" spans="1:8" x14ac:dyDescent="0.25">
      <c r="A24" s="2" t="s">
        <v>20</v>
      </c>
      <c r="B24" s="3">
        <f>IF(A24="2½W",2.5/dagenperweek1,IF(RIGHT(A24,1)="W",VALUE(LEFT(A24,LEN(A24)-1))/dagenperweek1,IF(RIGHT(A24,1)="J",VALUE(LEFT(A24,LEN(A24)-1))/dagenperjaar1,"handmatig!")))</f>
        <v>0.03</v>
      </c>
      <c r="D24" s="6" t="s">
        <v>24</v>
      </c>
      <c r="E24" s="7">
        <f>IF(D24="2½W",2.5/dagenperweek2,IF(RIGHT(D24,1)="W",VALUE(LEFT(D24,LEN(D24)-1))/dagenperweek2,IF(RIGHT(D24,1)="J",VALUE(LEFT(D24,LEN(D24)-1))/dagenperjaar2,"handmatig!")))</f>
        <v>5.0000000000000001E-3</v>
      </c>
      <c r="G24" s="6" t="s">
        <v>24</v>
      </c>
      <c r="H24" s="7">
        <f>IF(G24="2½W",2.5/dagenperweek3,IF(RIGHT(G24,1)="W",VALUE(LEFT(G24,LEN(G24)-1))/dagenperweek3,IF(RIGHT(G24,1)="J",VALUE(LEFT(G24,LEN(G24)-1))/dagenperjaar3,"handmatig!")))</f>
        <v>1.5873015873015872E-2</v>
      </c>
    </row>
    <row r="25" spans="1:8" x14ac:dyDescent="0.25">
      <c r="A25" s="2" t="s">
        <v>21</v>
      </c>
      <c r="B25" s="3">
        <f>IF(A25="2½W",2.5/dagenperweek1,IF(RIGHT(A25,1)="W",VALUE(LEFT(A25,LEN(A25)-1))/dagenperweek1,IF(RIGHT(A25,1)="J",VALUE(LEFT(A25,LEN(A25)-1))/dagenperjaar1,"handmatig!")))</f>
        <v>0.02</v>
      </c>
    </row>
    <row r="26" spans="1:8" x14ac:dyDescent="0.25">
      <c r="A26" s="2" t="s">
        <v>22</v>
      </c>
      <c r="B26" s="3">
        <f>IF(A26="2½W",2.5/dagenperweek1,IF(RIGHT(A26,1)="W",VALUE(LEFT(A26,LEN(A26)-1))/dagenperweek1,IF(RIGHT(A26,1)="J",VALUE(LEFT(A26,LEN(A26)-1))/dagenperjaar1,"handmatig!")))</f>
        <v>1.4999999999999999E-2</v>
      </c>
    </row>
    <row r="27" spans="1:8" x14ac:dyDescent="0.25">
      <c r="A27" s="2" t="s">
        <v>23</v>
      </c>
      <c r="B27" s="3">
        <f>IF(A27="2½W",2.5/dagenperweek1,IF(RIGHT(A27,1)="W",VALUE(LEFT(A27,LEN(A27)-1))/dagenperweek1,IF(RIGHT(A27,1)="J",VALUE(LEFT(A27,LEN(A27)-1))/dagenperjaar1,"handmatig!")))</f>
        <v>0.01</v>
      </c>
    </row>
    <row r="28" spans="1:8" x14ac:dyDescent="0.25">
      <c r="A28" s="6" t="s">
        <v>24</v>
      </c>
      <c r="B28" s="7">
        <f>IF(A28="2½W",2.5/dagenperweek1,IF(RIGHT(A28,1)="W",VALUE(LEFT(A28,LEN(A28)-1))/dagenperweek1,IF(RIGHT(A28,1)="J",VALUE(LEFT(A28,LEN(A28)-1))/dagenperjaar1,"handmatig!")))</f>
        <v>5.0000000000000001E-3</v>
      </c>
    </row>
  </sheetData>
  <sheetProtection algorithmName="SHA-512" hashValue="KfBEObSWwywGj9Ju6Bfv7m3Re2y4egi1MDGvbZFAQrqiyXlfoSrRCRGAy903m0fEEkBoN6B7fhGfwwYFjd6Hqw==" saltValue="ccW42M3fvcp3SZIoJ/kXQA==" spinCount="100000" sheet="1" objects="1" scenarios="1" autoFilter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D9191-9FE4-4B61-9D06-7A6A73F13F15}">
  <dimension ref="A1:L11"/>
  <sheetViews>
    <sheetView workbookViewId="0"/>
  </sheetViews>
  <sheetFormatPr defaultRowHeight="11.5" x14ac:dyDescent="0.25"/>
  <cols>
    <col min="1" max="1" width="7.6328125" customWidth="1"/>
    <col min="2" max="2" width="6.6328125" customWidth="1"/>
    <col min="3" max="3" width="7.6328125" customWidth="1"/>
    <col min="4" max="4" width="50.6328125" customWidth="1"/>
    <col min="5" max="6" width="14.6328125" customWidth="1"/>
    <col min="7" max="9" width="11.6328125" customWidth="1"/>
    <col min="10" max="10" width="12.6328125" customWidth="1"/>
    <col min="11" max="11" width="14.6328125" customWidth="1"/>
    <col min="12" max="12" width="13.6328125" customWidth="1"/>
  </cols>
  <sheetData>
    <row r="1" spans="1:12" x14ac:dyDescent="0.25">
      <c r="A1" s="1" t="str">
        <f>CONCATENATE("Bijlage 7.5.7: ",tabeltype," regiewerk")</f>
        <v>Bijlage 7.5.7: Invultabel regiewerk</v>
      </c>
    </row>
    <row r="3" spans="1:12" ht="34.5" x14ac:dyDescent="0.25">
      <c r="A3" s="44" t="s">
        <v>678</v>
      </c>
      <c r="B3" s="44" t="s">
        <v>7</v>
      </c>
      <c r="C3" s="44" t="s">
        <v>786</v>
      </c>
      <c r="D3" s="44" t="s">
        <v>99</v>
      </c>
      <c r="E3" s="44" t="s">
        <v>102</v>
      </c>
      <c r="F3" s="44" t="s">
        <v>787</v>
      </c>
      <c r="G3" s="44" t="s">
        <v>788</v>
      </c>
      <c r="H3" s="44" t="s">
        <v>789</v>
      </c>
      <c r="I3" s="44" t="s">
        <v>680</v>
      </c>
      <c r="J3" s="44" t="s">
        <v>790</v>
      </c>
      <c r="K3" s="44" t="s">
        <v>196</v>
      </c>
      <c r="L3" s="44" t="s">
        <v>658</v>
      </c>
    </row>
    <row r="4" spans="1:12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5">
      <c r="A5" s="48" t="s">
        <v>104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5">
      <c r="A6" s="51" t="s">
        <v>791</v>
      </c>
      <c r="B6" s="51" t="s">
        <v>24</v>
      </c>
      <c r="C6" s="52">
        <f>IF(ISBLANK(B6),0,IF(ISERROR(VALUE(B6)),VLOOKUP(B6,dagsoorttabel1,2,FALSE)*dagenperjaar1,VALUE(B6)))</f>
        <v>1</v>
      </c>
      <c r="D6" s="51" t="s">
        <v>792</v>
      </c>
      <c r="E6" s="51" t="s">
        <v>725</v>
      </c>
      <c r="F6" s="127">
        <v>15</v>
      </c>
      <c r="G6" s="128">
        <f>Tariefopbouw3</f>
        <v>0</v>
      </c>
      <c r="H6" s="129"/>
      <c r="I6" s="128">
        <f>G6</f>
        <v>0</v>
      </c>
      <c r="J6" s="55">
        <f>IF(ISBLANK(F6),0,F6)*ROUND(I6,2)</f>
        <v>0</v>
      </c>
      <c r="K6" s="55">
        <f>C6*J6</f>
        <v>0</v>
      </c>
      <c r="L6" s="55">
        <f>K6/12</f>
        <v>0</v>
      </c>
    </row>
    <row r="7" spans="1:12" x14ac:dyDescent="0.25">
      <c r="A7" s="56" t="s">
        <v>793</v>
      </c>
      <c r="B7" s="56" t="s">
        <v>24</v>
      </c>
      <c r="C7" s="57">
        <f>IF(ISBLANK(B7),0,IF(ISERROR(VALUE(B7)),VLOOKUP(B7,dagsoorttabel1,2,FALSE)*dagenperjaar1,VALUE(B7)))</f>
        <v>1</v>
      </c>
      <c r="D7" s="56" t="s">
        <v>794</v>
      </c>
      <c r="E7" s="56" t="s">
        <v>725</v>
      </c>
      <c r="F7" s="130">
        <v>4</v>
      </c>
      <c r="G7" s="131">
        <f>Tariefopbouw5</f>
        <v>0</v>
      </c>
      <c r="H7" s="132"/>
      <c r="I7" s="131">
        <f>G7</f>
        <v>0</v>
      </c>
      <c r="J7" s="60">
        <f>IF(ISBLANK(F7),0,F7)*ROUND(I7,2)</f>
        <v>0</v>
      </c>
      <c r="K7" s="60">
        <f>C7*J7</f>
        <v>0</v>
      </c>
      <c r="L7" s="60">
        <f>K7/12</f>
        <v>0</v>
      </c>
    </row>
    <row r="8" spans="1:12" x14ac:dyDescent="0.25">
      <c r="A8" s="61" t="s">
        <v>795</v>
      </c>
      <c r="B8" s="61" t="s">
        <v>24</v>
      </c>
      <c r="C8" s="62">
        <f>IF(ISBLANK(B8),0,IF(ISERROR(VALUE(B8)),VLOOKUP(B8,dagsoorttabel1,2,FALSE)*dagenperjaar1,VALUE(B8)))</f>
        <v>1</v>
      </c>
      <c r="D8" s="61" t="s">
        <v>796</v>
      </c>
      <c r="E8" s="61" t="s">
        <v>725</v>
      </c>
      <c r="F8" s="133">
        <v>5</v>
      </c>
      <c r="G8" s="134">
        <f>Tariefopbouw4</f>
        <v>0</v>
      </c>
      <c r="H8" s="135"/>
      <c r="I8" s="134">
        <f>G8</f>
        <v>0</v>
      </c>
      <c r="J8" s="65">
        <f>IF(ISBLANK(F8),0,F8)*ROUND(I8,2)</f>
        <v>0</v>
      </c>
      <c r="K8" s="65">
        <f>C8*J8</f>
        <v>0</v>
      </c>
      <c r="L8" s="65">
        <f>K8/12</f>
        <v>0</v>
      </c>
    </row>
    <row r="9" spans="1:12" x14ac:dyDescent="0.25">
      <c r="A9" s="75" t="s">
        <v>245</v>
      </c>
      <c r="B9" s="76"/>
      <c r="C9" s="76"/>
      <c r="D9" s="76"/>
      <c r="E9" s="76"/>
      <c r="F9" s="76"/>
      <c r="G9" s="76"/>
      <c r="H9" s="76"/>
      <c r="I9" s="76"/>
      <c r="J9" s="76"/>
      <c r="K9" s="78">
        <f>SUM(K6:K8)</f>
        <v>0</v>
      </c>
      <c r="L9" s="136">
        <f>K9/12</f>
        <v>0</v>
      </c>
    </row>
    <row r="11" spans="1:12" x14ac:dyDescent="0.25">
      <c r="A11" s="75" t="s">
        <v>797</v>
      </c>
      <c r="B11" s="76"/>
      <c r="C11" s="76"/>
      <c r="D11" s="76"/>
      <c r="E11" s="76"/>
      <c r="F11" s="76"/>
      <c r="G11" s="76"/>
      <c r="H11" s="76"/>
      <c r="I11" s="76"/>
      <c r="J11" s="76"/>
      <c r="K11" s="78">
        <f>prijsjaarregie1</f>
        <v>0</v>
      </c>
      <c r="L11" s="136">
        <f>K11/12</f>
        <v>0</v>
      </c>
    </row>
  </sheetData>
  <sheetProtection algorithmName="SHA-512" hashValue="eapKywzKhHd14lk6iTLRVtcAmw4KCxwoy0ICrzkRso/C80H5tcr52bik0PhRMRailhAq+nd36R6VjYrnPvhstA==" saltValue="hwW1d6JaEHmQ3pwzwWLFqw==" spinCount="100000" sheet="1" objects="1" scenarios="1" autoFilter="0"/>
  <pageMargins left="0.7" right="0.7" top="0.75" bottom="0.75" header="0.3" footer="0.3"/>
  <pageSetup scale="65" orientation="landscape" horizontalDpi="300" verticalDpi="300" r:id="rId1"/>
  <headerFooter>
    <oddFooter>&amp;LOns Middelbaar Onderwijs                                    
CONCEPT PER 01-08-2026&amp;ROpmaakdatum: 15-01-2026
Intexso - Plantageweg 23E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AD079-E4F5-4F2C-B15C-9AE4E9932349}">
  <dimension ref="A1:E10"/>
  <sheetViews>
    <sheetView tabSelected="1" workbookViewId="0"/>
  </sheetViews>
  <sheetFormatPr defaultRowHeight="11.5" x14ac:dyDescent="0.25"/>
  <cols>
    <col min="1" max="1" width="30.6328125" customWidth="1"/>
    <col min="2" max="5" width="20.6328125" customWidth="1"/>
  </cols>
  <sheetData>
    <row r="1" spans="1:5" x14ac:dyDescent="0.25">
      <c r="A1" s="1" t="str">
        <f>CONCATENATE("Bijlage 7.5.8: ",tabeltype," totaalblad schoonmaakwerk")</f>
        <v>Bijlage 7.5.8: Invultabel totaalblad schoonmaakwerk</v>
      </c>
    </row>
    <row r="3" spans="1:5" ht="23" x14ac:dyDescent="0.25">
      <c r="A3" s="44" t="s">
        <v>798</v>
      </c>
      <c r="B3" s="44" t="s">
        <v>799</v>
      </c>
      <c r="C3" s="44" t="s">
        <v>800</v>
      </c>
      <c r="D3" s="44" t="s">
        <v>801</v>
      </c>
      <c r="E3" s="44" t="s">
        <v>802</v>
      </c>
    </row>
    <row r="4" spans="1:5" x14ac:dyDescent="0.25">
      <c r="A4" s="116" t="s">
        <v>803</v>
      </c>
      <c r="B4" s="66">
        <f>urenjaartotaaloverzicht</f>
        <v>100.00000000000001</v>
      </c>
      <c r="C4" s="66">
        <f>urenjaartotaaloverzichthf</f>
        <v>0</v>
      </c>
      <c r="D4" s="55">
        <f>prijsjaartotaaloverzicht</f>
        <v>0</v>
      </c>
      <c r="E4" s="55">
        <f>D4*1.21</f>
        <v>0</v>
      </c>
    </row>
    <row r="5" spans="1:5" x14ac:dyDescent="0.25">
      <c r="A5" s="118" t="s">
        <v>804</v>
      </c>
      <c r="B5" s="137"/>
      <c r="C5" s="137"/>
      <c r="D5" s="65">
        <f>prijsjaarregie</f>
        <v>0</v>
      </c>
      <c r="E5" s="65">
        <f>D5*1.21</f>
        <v>0</v>
      </c>
    </row>
    <row r="7" spans="1:5" x14ac:dyDescent="0.25">
      <c r="A7" s="44" t="s">
        <v>805</v>
      </c>
      <c r="B7" s="77">
        <f>SUM(B4:B5)</f>
        <v>100.00000000000001</v>
      </c>
      <c r="C7" s="77">
        <f>SUM(C4:C5)</f>
        <v>0</v>
      </c>
      <c r="D7" s="78">
        <f>SUM(D4:D5)</f>
        <v>0</v>
      </c>
      <c r="E7" s="78">
        <f>D7*1.21</f>
        <v>0</v>
      </c>
    </row>
    <row r="10" spans="1:5" x14ac:dyDescent="0.25">
      <c r="A10" s="138" t="s">
        <v>806</v>
      </c>
      <c r="B10" s="77"/>
      <c r="C10" s="110"/>
      <c r="D10" s="110"/>
      <c r="E10" s="139">
        <f>ROUND(SUM(vp_regulier,vp_regie),2)</f>
        <v>0</v>
      </c>
    </row>
  </sheetData>
  <sheetProtection algorithmName="SHA-512" hashValue="cMIetZOyBIgYUwjHouJfpKk38Ot0kkPJqaNu8gMVQ2VxmKOmFtOgJaTl+XBPBeCQVcIUbhDxQXF72Dw+RJ/iGw==" saltValue="RN6pua9YLvef3qqdUg9QYA==" spinCount="100000" sheet="1" objects="1" scenarios="1" autoFilter="0"/>
  <pageMargins left="0.7" right="0.7" top="0.75" bottom="0.75" header="0.3" footer="0.3"/>
  <pageSetup scale="70" orientation="landscape" horizontalDpi="300" verticalDpi="300" r:id="rId1"/>
  <headerFooter>
    <oddFooter>&amp;LOns Middelbaar Onderwijs                                    
CONCEPT PER 01-08-2026&amp;ROpmaakdatum: 15-01-2026
Intexso - Plantageweg 23E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4A775-96E3-44AA-8D08-D530BA1F0873}">
  <dimension ref="A1:S62"/>
  <sheetViews>
    <sheetView workbookViewId="0"/>
  </sheetViews>
  <sheetFormatPr defaultRowHeight="11.5" x14ac:dyDescent="0.25"/>
  <cols>
    <col min="1" max="1" width="40.6328125" customWidth="1"/>
    <col min="2" max="2" width="8.1796875" customWidth="1"/>
    <col min="3" max="3" width="10.6328125" customWidth="1"/>
    <col min="4" max="4" width="8.1796875" customWidth="1"/>
    <col min="5" max="5" width="10.6328125" customWidth="1"/>
    <col min="6" max="6" width="8.1796875" customWidth="1"/>
    <col min="7" max="7" width="10.6328125" customWidth="1"/>
    <col min="8" max="8" width="8.1796875" customWidth="1"/>
    <col min="9" max="9" width="10.6328125" customWidth="1"/>
    <col min="10" max="10" width="8.1796875" customWidth="1"/>
    <col min="11" max="11" width="10.6328125" customWidth="1"/>
    <col min="12" max="12" width="8.1796875" customWidth="1"/>
    <col min="13" max="13" width="10.6328125" customWidth="1"/>
    <col min="14" max="14" width="8.1796875" customWidth="1"/>
    <col min="15" max="15" width="10.6328125" customWidth="1"/>
    <col min="16" max="16" width="8.1796875" customWidth="1"/>
    <col min="17" max="17" width="10.6328125" customWidth="1"/>
    <col min="18" max="18" width="8.1796875" customWidth="1"/>
    <col min="19" max="19" width="10.6328125" customWidth="1"/>
  </cols>
  <sheetData>
    <row r="1" spans="1:19" x14ac:dyDescent="0.25">
      <c r="A1" s="1" t="s">
        <v>28</v>
      </c>
    </row>
    <row r="3" spans="1:19" x14ac:dyDescent="0.25">
      <c r="A3" s="8"/>
      <c r="B3" s="9" t="s">
        <v>29</v>
      </c>
      <c r="C3" s="9"/>
      <c r="D3" s="9" t="s">
        <v>29</v>
      </c>
      <c r="E3" s="9"/>
      <c r="F3" s="9" t="s">
        <v>29</v>
      </c>
      <c r="G3" s="9"/>
      <c r="H3" s="9" t="s">
        <v>29</v>
      </c>
      <c r="I3" s="9"/>
      <c r="J3" s="9" t="s">
        <v>29</v>
      </c>
      <c r="K3" s="9"/>
      <c r="L3" s="9" t="s">
        <v>29</v>
      </c>
      <c r="M3" s="9"/>
      <c r="N3" s="9" t="s">
        <v>30</v>
      </c>
      <c r="O3" s="9"/>
      <c r="P3" s="9" t="s">
        <v>30</v>
      </c>
      <c r="Q3" s="9"/>
      <c r="R3" s="9" t="s">
        <v>30</v>
      </c>
      <c r="S3" s="10"/>
    </row>
    <row r="4" spans="1:19" x14ac:dyDescent="0.25">
      <c r="A4" s="11"/>
      <c r="B4" s="12" t="s">
        <v>31</v>
      </c>
      <c r="C4" s="12"/>
      <c r="D4" s="12" t="s">
        <v>31</v>
      </c>
      <c r="E4" s="12"/>
      <c r="F4" s="12" t="s">
        <v>31</v>
      </c>
      <c r="G4" s="12"/>
      <c r="H4" s="12" t="s">
        <v>31</v>
      </c>
      <c r="I4" s="12"/>
      <c r="J4" s="12" t="s">
        <v>32</v>
      </c>
      <c r="K4" s="12"/>
      <c r="L4" s="12" t="s">
        <v>32</v>
      </c>
      <c r="M4" s="12"/>
      <c r="N4" s="12" t="s">
        <v>31</v>
      </c>
      <c r="O4" s="12"/>
      <c r="P4" s="12" t="s">
        <v>31</v>
      </c>
      <c r="Q4" s="12"/>
      <c r="R4" s="12" t="s">
        <v>32</v>
      </c>
      <c r="S4" s="13"/>
    </row>
    <row r="5" spans="1:19" ht="34.5" customHeight="1" x14ac:dyDescent="0.25">
      <c r="A5" s="14" t="s">
        <v>33</v>
      </c>
      <c r="B5" s="15" t="s">
        <v>34</v>
      </c>
      <c r="C5" s="15"/>
      <c r="D5" s="15" t="s">
        <v>34</v>
      </c>
      <c r="E5" s="15"/>
      <c r="F5" s="15" t="s">
        <v>35</v>
      </c>
      <c r="G5" s="15"/>
      <c r="H5" s="15" t="s">
        <v>34</v>
      </c>
      <c r="I5" s="15"/>
      <c r="J5" s="15" t="s">
        <v>36</v>
      </c>
      <c r="K5" s="15"/>
      <c r="L5" s="15" t="s">
        <v>36</v>
      </c>
      <c r="M5" s="15"/>
      <c r="N5" s="15" t="s">
        <v>37</v>
      </c>
      <c r="O5" s="15"/>
      <c r="P5" s="15" t="s">
        <v>37</v>
      </c>
      <c r="Q5" s="15"/>
      <c r="R5" s="15" t="s">
        <v>38</v>
      </c>
      <c r="S5" s="16"/>
    </row>
    <row r="6" spans="1:19" ht="34.5" customHeight="1" x14ac:dyDescent="0.25">
      <c r="A6" s="17" t="s">
        <v>39</v>
      </c>
      <c r="B6" s="15" t="s">
        <v>40</v>
      </c>
      <c r="C6" s="15"/>
      <c r="D6" s="18" t="s">
        <v>41</v>
      </c>
      <c r="E6" s="18"/>
      <c r="F6" s="15" t="s">
        <v>42</v>
      </c>
      <c r="G6" s="15"/>
      <c r="H6" s="15" t="s">
        <v>43</v>
      </c>
      <c r="I6" s="15"/>
      <c r="J6" s="15" t="s">
        <v>42</v>
      </c>
      <c r="K6" s="15"/>
      <c r="L6" s="15" t="s">
        <v>44</v>
      </c>
      <c r="M6" s="15"/>
      <c r="N6" s="18" t="s">
        <v>41</v>
      </c>
      <c r="O6" s="18"/>
      <c r="P6" s="15" t="s">
        <v>45</v>
      </c>
      <c r="Q6" s="15"/>
      <c r="R6" s="18" t="s">
        <v>41</v>
      </c>
      <c r="S6" s="19"/>
    </row>
    <row r="7" spans="1:19" x14ac:dyDescent="0.25">
      <c r="A7" s="20" t="s">
        <v>46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2"/>
    </row>
    <row r="8" spans="1:19" x14ac:dyDescent="0.25">
      <c r="A8" s="20" t="s">
        <v>47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2"/>
    </row>
    <row r="9" spans="1:19" x14ac:dyDescent="0.25">
      <c r="A9" s="11" t="s">
        <v>48</v>
      </c>
      <c r="B9" s="23">
        <f>SUM(B7:B8)</f>
        <v>0</v>
      </c>
      <c r="C9" s="23"/>
      <c r="D9" s="23">
        <f>SUM(D7:D8)</f>
        <v>0</v>
      </c>
      <c r="E9" s="23"/>
      <c r="F9" s="23">
        <f>SUM(F7:F8)</f>
        <v>0</v>
      </c>
      <c r="G9" s="23"/>
      <c r="H9" s="23">
        <f>SUM(H7:H8)</f>
        <v>0</v>
      </c>
      <c r="I9" s="23"/>
      <c r="J9" s="23">
        <f>SUM(J7:J8)</f>
        <v>0</v>
      </c>
      <c r="K9" s="23"/>
      <c r="L9" s="23">
        <f>SUM(L7:L8)</f>
        <v>0</v>
      </c>
      <c r="M9" s="23"/>
      <c r="N9" s="23">
        <f>SUM(N7:N8)</f>
        <v>0</v>
      </c>
      <c r="O9" s="23"/>
      <c r="P9" s="23">
        <f>SUM(P7:P8)</f>
        <v>0</v>
      </c>
      <c r="Q9" s="23"/>
      <c r="R9" s="23">
        <f>SUM(R7:R8)</f>
        <v>0</v>
      </c>
      <c r="S9" s="24"/>
    </row>
    <row r="10" spans="1:19" x14ac:dyDescent="0.25">
      <c r="A10" s="20" t="s">
        <v>49</v>
      </c>
      <c r="B10" s="25"/>
      <c r="C10" s="26">
        <f>TariefOpbouwBasisloon1*B10</f>
        <v>0</v>
      </c>
      <c r="D10" s="25"/>
      <c r="E10" s="26">
        <f>TariefOpbouwBasisloon2*D10</f>
        <v>0</v>
      </c>
      <c r="F10" s="25"/>
      <c r="G10" s="26">
        <f>TariefOpbouwBasisloon3*F10</f>
        <v>0</v>
      </c>
      <c r="H10" s="25"/>
      <c r="I10" s="26">
        <f>TariefOpbouwBasisloon4*H10</f>
        <v>0</v>
      </c>
      <c r="J10" s="25"/>
      <c r="K10" s="26">
        <f>TariefOpbouwBasisloon5*J10</f>
        <v>0</v>
      </c>
      <c r="L10" s="25"/>
      <c r="M10" s="26">
        <f>TariefOpbouwBasisloon6*L10</f>
        <v>0</v>
      </c>
      <c r="N10" s="25"/>
      <c r="O10" s="26">
        <f>TariefOpbouwBasisloon7*N10</f>
        <v>0</v>
      </c>
      <c r="P10" s="25"/>
      <c r="Q10" s="26">
        <f>TariefOpbouwBasisloon8*P10</f>
        <v>0</v>
      </c>
      <c r="R10" s="25"/>
      <c r="S10" s="27">
        <f>TariefOpbouwBasisloon9*R10</f>
        <v>0</v>
      </c>
    </row>
    <row r="11" spans="1:19" x14ac:dyDescent="0.25">
      <c r="A11" s="20" t="s">
        <v>50</v>
      </c>
      <c r="B11" s="25"/>
      <c r="C11" s="26">
        <f>TariefOpbouwBasisloon1*B11</f>
        <v>0</v>
      </c>
      <c r="D11" s="25"/>
      <c r="E11" s="26">
        <f>TariefOpbouwBasisloon2*D11</f>
        <v>0</v>
      </c>
      <c r="F11" s="25"/>
      <c r="G11" s="26">
        <f>TariefOpbouwBasisloon3*F11</f>
        <v>0</v>
      </c>
      <c r="H11" s="25"/>
      <c r="I11" s="26">
        <f>TariefOpbouwBasisloon4*H11</f>
        <v>0</v>
      </c>
      <c r="J11" s="25"/>
      <c r="K11" s="26">
        <f>TariefOpbouwBasisloon5*J11</f>
        <v>0</v>
      </c>
      <c r="L11" s="25"/>
      <c r="M11" s="26">
        <f>TariefOpbouwBasisloon6*L11</f>
        <v>0</v>
      </c>
      <c r="N11" s="25"/>
      <c r="O11" s="26">
        <f>TariefOpbouwBasisloon7*N11</f>
        <v>0</v>
      </c>
      <c r="P11" s="25"/>
      <c r="Q11" s="26">
        <f>TariefOpbouwBasisloon8*P11</f>
        <v>0</v>
      </c>
      <c r="R11" s="25"/>
      <c r="S11" s="27">
        <f>TariefOpbouwBasisloon9*R11</f>
        <v>0</v>
      </c>
    </row>
    <row r="12" spans="1:19" x14ac:dyDescent="0.25">
      <c r="A12" s="11" t="s">
        <v>51</v>
      </c>
      <c r="B12" s="23">
        <f>SUM(TariefOpbouwBasisloon1,C10:C11)</f>
        <v>0</v>
      </c>
      <c r="C12" s="23"/>
      <c r="D12" s="23">
        <f>SUM(TariefOpbouwBasisloon2,E10:E11)</f>
        <v>0</v>
      </c>
      <c r="E12" s="23"/>
      <c r="F12" s="23">
        <f>SUM(TariefOpbouwBasisloon3,G10:G11)</f>
        <v>0</v>
      </c>
      <c r="G12" s="23"/>
      <c r="H12" s="23">
        <f>SUM(TariefOpbouwBasisloon4,I10:I11)</f>
        <v>0</v>
      </c>
      <c r="I12" s="23"/>
      <c r="J12" s="23">
        <f>SUM(TariefOpbouwBasisloon5,K10:K11)</f>
        <v>0</v>
      </c>
      <c r="K12" s="23"/>
      <c r="L12" s="23">
        <f>SUM(TariefOpbouwBasisloon6,M10:M11)</f>
        <v>0</v>
      </c>
      <c r="M12" s="23"/>
      <c r="N12" s="23">
        <f>SUM(TariefOpbouwBasisloon7,O10:O11)</f>
        <v>0</v>
      </c>
      <c r="O12" s="23"/>
      <c r="P12" s="23">
        <f>SUM(TariefOpbouwBasisloon8,Q10:Q11)</f>
        <v>0</v>
      </c>
      <c r="Q12" s="23"/>
      <c r="R12" s="23">
        <f>SUM(TariefOpbouwBasisloon9,S10:S11)</f>
        <v>0</v>
      </c>
      <c r="S12" s="24"/>
    </row>
    <row r="13" spans="1:19" x14ac:dyDescent="0.25">
      <c r="A13" s="20" t="s">
        <v>52</v>
      </c>
      <c r="B13" s="25"/>
      <c r="C13" s="26">
        <f>TariefOpbouwUurloon1*B13</f>
        <v>0</v>
      </c>
      <c r="D13" s="25"/>
      <c r="E13" s="26">
        <f>TariefOpbouwUurloon2*D13</f>
        <v>0</v>
      </c>
      <c r="F13" s="25"/>
      <c r="G13" s="26">
        <f>TariefOpbouwUurloon3*F13</f>
        <v>0</v>
      </c>
      <c r="H13" s="25"/>
      <c r="I13" s="26">
        <f>TariefOpbouwUurloon4*H13</f>
        <v>0</v>
      </c>
      <c r="J13" s="25"/>
      <c r="K13" s="26">
        <f>TariefOpbouwUurloon5*J13</f>
        <v>0</v>
      </c>
      <c r="L13" s="25"/>
      <c r="M13" s="26">
        <f>TariefOpbouwUurloon6*L13</f>
        <v>0</v>
      </c>
      <c r="N13" s="25"/>
      <c r="O13" s="26">
        <f>TariefOpbouwUurloon7*N13</f>
        <v>0</v>
      </c>
      <c r="P13" s="25"/>
      <c r="Q13" s="26">
        <f>TariefOpbouwUurloon8*P13</f>
        <v>0</v>
      </c>
      <c r="R13" s="25"/>
      <c r="S13" s="27">
        <f>TariefOpbouwUurloon9*R13</f>
        <v>0</v>
      </c>
    </row>
    <row r="14" spans="1:19" x14ac:dyDescent="0.25">
      <c r="A14" s="11" t="s">
        <v>53</v>
      </c>
      <c r="B14" s="23">
        <f>SUM(TariefOpbouwUurloon1,C13:C13)</f>
        <v>0</v>
      </c>
      <c r="C14" s="23"/>
      <c r="D14" s="23">
        <f>SUM(TariefOpbouwUurloon2,E13:E13)</f>
        <v>0</v>
      </c>
      <c r="E14" s="23"/>
      <c r="F14" s="23">
        <f>SUM(TariefOpbouwUurloon3,G13:G13)</f>
        <v>0</v>
      </c>
      <c r="G14" s="23"/>
      <c r="H14" s="23">
        <f>SUM(TariefOpbouwUurloon4,I13:I13)</f>
        <v>0</v>
      </c>
      <c r="I14" s="23"/>
      <c r="J14" s="23">
        <f>SUM(TariefOpbouwUurloon5,K13:K13)</f>
        <v>0</v>
      </c>
      <c r="K14" s="23"/>
      <c r="L14" s="23">
        <f>SUM(TariefOpbouwUurloon6,M13:M13)</f>
        <v>0</v>
      </c>
      <c r="M14" s="23"/>
      <c r="N14" s="23">
        <f>SUM(TariefOpbouwUurloon7,O13:O13)</f>
        <v>0</v>
      </c>
      <c r="O14" s="23"/>
      <c r="P14" s="23">
        <f>SUM(TariefOpbouwUurloon8,Q13:Q13)</f>
        <v>0</v>
      </c>
      <c r="Q14" s="23"/>
      <c r="R14" s="23">
        <f>SUM(TariefOpbouwUurloon9,S13:S13)</f>
        <v>0</v>
      </c>
      <c r="S14" s="24"/>
    </row>
    <row r="15" spans="1:19" x14ac:dyDescent="0.25">
      <c r="A15" s="20" t="s">
        <v>54</v>
      </c>
      <c r="B15" s="25"/>
      <c r="C15" s="26">
        <f>TariefOpbouwUurloonkosten1*B15</f>
        <v>0</v>
      </c>
      <c r="D15" s="25"/>
      <c r="E15" s="26">
        <f>TariefOpbouwUurloonkosten2*D15</f>
        <v>0</v>
      </c>
      <c r="F15" s="25"/>
      <c r="G15" s="26">
        <f>TariefOpbouwUurloonkosten3*F15</f>
        <v>0</v>
      </c>
      <c r="H15" s="25"/>
      <c r="I15" s="26">
        <f>TariefOpbouwUurloonkosten4*H15</f>
        <v>0</v>
      </c>
      <c r="J15" s="25"/>
      <c r="K15" s="26">
        <f>TariefOpbouwUurloonkosten5*J15</f>
        <v>0</v>
      </c>
      <c r="L15" s="25"/>
      <c r="M15" s="26">
        <f>TariefOpbouwUurloonkosten6*L15</f>
        <v>0</v>
      </c>
      <c r="N15" s="25"/>
      <c r="O15" s="26">
        <f>TariefOpbouwUurloonkosten7*N15</f>
        <v>0</v>
      </c>
      <c r="P15" s="25"/>
      <c r="Q15" s="26">
        <f>TariefOpbouwUurloonkosten8*P15</f>
        <v>0</v>
      </c>
      <c r="R15" s="25"/>
      <c r="S15" s="27">
        <f>TariefOpbouwUurloonkosten9*R15</f>
        <v>0</v>
      </c>
    </row>
    <row r="16" spans="1:19" x14ac:dyDescent="0.25">
      <c r="A16" s="20" t="s">
        <v>55</v>
      </c>
      <c r="B16" s="25"/>
      <c r="C16" s="26">
        <f>TariefOpbouwUurloonkosten1*B16</f>
        <v>0</v>
      </c>
      <c r="D16" s="25"/>
      <c r="E16" s="26">
        <f>TariefOpbouwUurloonkosten2*D16</f>
        <v>0</v>
      </c>
      <c r="F16" s="25"/>
      <c r="G16" s="26">
        <f>TariefOpbouwUurloonkosten3*F16</f>
        <v>0</v>
      </c>
      <c r="H16" s="25"/>
      <c r="I16" s="26">
        <f>TariefOpbouwUurloonkosten4*H16</f>
        <v>0</v>
      </c>
      <c r="J16" s="25"/>
      <c r="K16" s="26">
        <f>TariefOpbouwUurloonkosten5*J16</f>
        <v>0</v>
      </c>
      <c r="L16" s="25"/>
      <c r="M16" s="26">
        <f>TariefOpbouwUurloonkosten6*L16</f>
        <v>0</v>
      </c>
      <c r="N16" s="25"/>
      <c r="O16" s="26">
        <f>TariefOpbouwUurloonkosten7*N16</f>
        <v>0</v>
      </c>
      <c r="P16" s="25"/>
      <c r="Q16" s="26">
        <f>TariefOpbouwUurloonkosten8*P16</f>
        <v>0</v>
      </c>
      <c r="R16" s="25"/>
      <c r="S16" s="27">
        <f>TariefOpbouwUurloonkosten9*R16</f>
        <v>0</v>
      </c>
    </row>
    <row r="17" spans="1:19" x14ac:dyDescent="0.25">
      <c r="A17" s="20" t="s">
        <v>56</v>
      </c>
      <c r="B17" s="25"/>
      <c r="C17" s="26">
        <f>TariefOpbouwUurloonkosten1*B17</f>
        <v>0</v>
      </c>
      <c r="D17" s="25"/>
      <c r="E17" s="26">
        <f>TariefOpbouwUurloonkosten2*D17</f>
        <v>0</v>
      </c>
      <c r="F17" s="25"/>
      <c r="G17" s="26">
        <f>TariefOpbouwUurloonkosten3*F17</f>
        <v>0</v>
      </c>
      <c r="H17" s="25"/>
      <c r="I17" s="26">
        <f>TariefOpbouwUurloonkosten4*H17</f>
        <v>0</v>
      </c>
      <c r="J17" s="25"/>
      <c r="K17" s="26">
        <f>TariefOpbouwUurloonkosten5*J17</f>
        <v>0</v>
      </c>
      <c r="L17" s="25"/>
      <c r="M17" s="26">
        <f>TariefOpbouwUurloonkosten6*L17</f>
        <v>0</v>
      </c>
      <c r="N17" s="25"/>
      <c r="O17" s="26">
        <f>TariefOpbouwUurloonkosten7*N17</f>
        <v>0</v>
      </c>
      <c r="P17" s="25"/>
      <c r="Q17" s="26">
        <f>TariefOpbouwUurloonkosten8*P17</f>
        <v>0</v>
      </c>
      <c r="R17" s="25"/>
      <c r="S17" s="27">
        <f>TariefOpbouwUurloonkosten9*R17</f>
        <v>0</v>
      </c>
    </row>
    <row r="18" spans="1:19" x14ac:dyDescent="0.25">
      <c r="A18" s="20" t="s">
        <v>57</v>
      </c>
      <c r="B18" s="25"/>
      <c r="C18" s="26">
        <f>TariefOpbouwUurloonkosten1*B18</f>
        <v>0</v>
      </c>
      <c r="D18" s="25"/>
      <c r="E18" s="26">
        <f>TariefOpbouwUurloonkosten2*D18</f>
        <v>0</v>
      </c>
      <c r="F18" s="25"/>
      <c r="G18" s="26">
        <f>TariefOpbouwUurloonkosten3*F18</f>
        <v>0</v>
      </c>
      <c r="H18" s="25"/>
      <c r="I18" s="26">
        <f>TariefOpbouwUurloonkosten4*H18</f>
        <v>0</v>
      </c>
      <c r="J18" s="25"/>
      <c r="K18" s="26">
        <f>TariefOpbouwUurloonkosten5*J18</f>
        <v>0</v>
      </c>
      <c r="L18" s="25"/>
      <c r="M18" s="26">
        <f>TariefOpbouwUurloonkosten6*L18</f>
        <v>0</v>
      </c>
      <c r="N18" s="25"/>
      <c r="O18" s="26">
        <f>TariefOpbouwUurloonkosten7*N18</f>
        <v>0</v>
      </c>
      <c r="P18" s="25"/>
      <c r="Q18" s="26">
        <f>TariefOpbouwUurloonkosten8*P18</f>
        <v>0</v>
      </c>
      <c r="R18" s="25"/>
      <c r="S18" s="27">
        <f>TariefOpbouwUurloonkosten9*R18</f>
        <v>0</v>
      </c>
    </row>
    <row r="19" spans="1:19" x14ac:dyDescent="0.25">
      <c r="A19" s="11" t="s">
        <v>58</v>
      </c>
      <c r="B19" s="23">
        <f>SUM(TariefOpbouwUurloonkosten1,C15:C18)</f>
        <v>0</v>
      </c>
      <c r="C19" s="23"/>
      <c r="D19" s="23">
        <f>SUM(TariefOpbouwUurloonkosten2,E15:E18)</f>
        <v>0</v>
      </c>
      <c r="E19" s="23"/>
      <c r="F19" s="23">
        <f>SUM(TariefOpbouwUurloonkosten3,G15:G18)</f>
        <v>0</v>
      </c>
      <c r="G19" s="23"/>
      <c r="H19" s="23">
        <f>SUM(TariefOpbouwUurloonkosten4,I15:I18)</f>
        <v>0</v>
      </c>
      <c r="I19" s="23"/>
      <c r="J19" s="23">
        <f>SUM(TariefOpbouwUurloonkosten5,K15:K18)</f>
        <v>0</v>
      </c>
      <c r="K19" s="23"/>
      <c r="L19" s="23">
        <f>SUM(TariefOpbouwUurloonkosten6,M15:M18)</f>
        <v>0</v>
      </c>
      <c r="M19" s="23"/>
      <c r="N19" s="23">
        <f>SUM(TariefOpbouwUurloonkosten7,O15:O18)</f>
        <v>0</v>
      </c>
      <c r="O19" s="23"/>
      <c r="P19" s="23">
        <f>SUM(TariefOpbouwUurloonkosten8,Q15:Q18)</f>
        <v>0</v>
      </c>
      <c r="Q19" s="23"/>
      <c r="R19" s="23">
        <f>SUM(TariefOpbouwUurloonkosten9,S15:S18)</f>
        <v>0</v>
      </c>
      <c r="S19" s="24"/>
    </row>
    <row r="20" spans="1:19" x14ac:dyDescent="0.25">
      <c r="A20" s="20" t="s">
        <v>59</v>
      </c>
      <c r="B20" s="25"/>
      <c r="C20" s="26">
        <f>TariefOpbouwTotaalLoonkosten1*B20</f>
        <v>0</v>
      </c>
      <c r="D20" s="25"/>
      <c r="E20" s="26">
        <f>TariefOpbouwTotaalLoonkosten2*D20</f>
        <v>0</v>
      </c>
      <c r="F20" s="25"/>
      <c r="G20" s="26">
        <f>TariefOpbouwTotaalLoonkosten3*F20</f>
        <v>0</v>
      </c>
      <c r="H20" s="25"/>
      <c r="I20" s="26">
        <f>TariefOpbouwTotaalLoonkosten4*H20</f>
        <v>0</v>
      </c>
      <c r="J20" s="25"/>
      <c r="K20" s="26">
        <f>TariefOpbouwTotaalLoonkosten5*J20</f>
        <v>0</v>
      </c>
      <c r="L20" s="25"/>
      <c r="M20" s="26">
        <f>TariefOpbouwTotaalLoonkosten6*L20</f>
        <v>0</v>
      </c>
      <c r="N20" s="25"/>
      <c r="O20" s="26">
        <f>TariefOpbouwTotaalLoonkosten7*N20</f>
        <v>0</v>
      </c>
      <c r="P20" s="25"/>
      <c r="Q20" s="26">
        <f>TariefOpbouwTotaalLoonkosten8*P20</f>
        <v>0</v>
      </c>
      <c r="R20" s="25"/>
      <c r="S20" s="27">
        <f>TariefOpbouwTotaalLoonkosten9*R20</f>
        <v>0</v>
      </c>
    </row>
    <row r="21" spans="1:19" x14ac:dyDescent="0.25">
      <c r="A21" s="20" t="s">
        <v>60</v>
      </c>
      <c r="B21" s="25"/>
      <c r="C21" s="26">
        <f>TariefOpbouwTotaalLoonkosten1*B21</f>
        <v>0</v>
      </c>
      <c r="D21" s="25"/>
      <c r="E21" s="26">
        <f>TariefOpbouwTotaalLoonkosten2*D21</f>
        <v>0</v>
      </c>
      <c r="F21" s="25"/>
      <c r="G21" s="26">
        <f>TariefOpbouwTotaalLoonkosten3*F21</f>
        <v>0</v>
      </c>
      <c r="H21" s="25"/>
      <c r="I21" s="26">
        <f>TariefOpbouwTotaalLoonkosten4*H21</f>
        <v>0</v>
      </c>
      <c r="J21" s="25"/>
      <c r="K21" s="26">
        <f>TariefOpbouwTotaalLoonkosten5*J21</f>
        <v>0</v>
      </c>
      <c r="L21" s="25"/>
      <c r="M21" s="26">
        <f>TariefOpbouwTotaalLoonkosten6*L21</f>
        <v>0</v>
      </c>
      <c r="N21" s="25"/>
      <c r="O21" s="26">
        <f>TariefOpbouwTotaalLoonkosten7*N21</f>
        <v>0</v>
      </c>
      <c r="P21" s="25"/>
      <c r="Q21" s="26">
        <f>TariefOpbouwTotaalLoonkosten8*P21</f>
        <v>0</v>
      </c>
      <c r="R21" s="25"/>
      <c r="S21" s="27">
        <f>TariefOpbouwTotaalLoonkosten9*R21</f>
        <v>0</v>
      </c>
    </row>
    <row r="22" spans="1:19" x14ac:dyDescent="0.25">
      <c r="A22" s="20" t="s">
        <v>61</v>
      </c>
      <c r="B22" s="25"/>
      <c r="C22" s="26">
        <f>TariefOpbouwTotaalLoonkosten1*B22</f>
        <v>0</v>
      </c>
      <c r="D22" s="25"/>
      <c r="E22" s="26">
        <f>TariefOpbouwTotaalLoonkosten2*D22</f>
        <v>0</v>
      </c>
      <c r="F22" s="25"/>
      <c r="G22" s="26">
        <f>TariefOpbouwTotaalLoonkosten3*F22</f>
        <v>0</v>
      </c>
      <c r="H22" s="25"/>
      <c r="I22" s="26">
        <f>TariefOpbouwTotaalLoonkosten4*H22</f>
        <v>0</v>
      </c>
      <c r="J22" s="25"/>
      <c r="K22" s="26">
        <f>TariefOpbouwTotaalLoonkosten5*J22</f>
        <v>0</v>
      </c>
      <c r="L22" s="25"/>
      <c r="M22" s="26">
        <f>TariefOpbouwTotaalLoonkosten6*L22</f>
        <v>0</v>
      </c>
      <c r="N22" s="25"/>
      <c r="O22" s="26">
        <f>TariefOpbouwTotaalLoonkosten7*N22</f>
        <v>0</v>
      </c>
      <c r="P22" s="25"/>
      <c r="Q22" s="26">
        <f>TariefOpbouwTotaalLoonkosten8*P22</f>
        <v>0</v>
      </c>
      <c r="R22" s="25"/>
      <c r="S22" s="27">
        <f>TariefOpbouwTotaalLoonkosten9*R22</f>
        <v>0</v>
      </c>
    </row>
    <row r="23" spans="1:19" x14ac:dyDescent="0.25">
      <c r="A23" s="20" t="s">
        <v>62</v>
      </c>
      <c r="B23" s="25"/>
      <c r="C23" s="26">
        <f>TariefOpbouwTotaalLoonkosten1*B23</f>
        <v>0</v>
      </c>
      <c r="D23" s="25"/>
      <c r="E23" s="26">
        <f>TariefOpbouwTotaalLoonkosten2*D23</f>
        <v>0</v>
      </c>
      <c r="F23" s="25"/>
      <c r="G23" s="26">
        <f>TariefOpbouwTotaalLoonkosten3*F23</f>
        <v>0</v>
      </c>
      <c r="H23" s="25"/>
      <c r="I23" s="26">
        <f>TariefOpbouwTotaalLoonkosten4*H23</f>
        <v>0</v>
      </c>
      <c r="J23" s="25"/>
      <c r="K23" s="26">
        <f>TariefOpbouwTotaalLoonkosten5*J23</f>
        <v>0</v>
      </c>
      <c r="L23" s="25"/>
      <c r="M23" s="26">
        <f>TariefOpbouwTotaalLoonkosten6*L23</f>
        <v>0</v>
      </c>
      <c r="N23" s="25"/>
      <c r="O23" s="26">
        <f>TariefOpbouwTotaalLoonkosten7*N23</f>
        <v>0</v>
      </c>
      <c r="P23" s="25"/>
      <c r="Q23" s="26">
        <f>TariefOpbouwTotaalLoonkosten8*P23</f>
        <v>0</v>
      </c>
      <c r="R23" s="25"/>
      <c r="S23" s="27">
        <f>TariefOpbouwTotaalLoonkosten9*R23</f>
        <v>0</v>
      </c>
    </row>
    <row r="24" spans="1:19" x14ac:dyDescent="0.25">
      <c r="A24" s="20" t="s">
        <v>63</v>
      </c>
      <c r="B24" s="25"/>
      <c r="C24" s="26">
        <f>TariefOpbouwTotaalLoonkosten1*B24</f>
        <v>0</v>
      </c>
      <c r="D24" s="25"/>
      <c r="E24" s="26">
        <f>TariefOpbouwTotaalLoonkosten2*D24</f>
        <v>0</v>
      </c>
      <c r="F24" s="25"/>
      <c r="G24" s="26">
        <f>TariefOpbouwTotaalLoonkosten3*F24</f>
        <v>0</v>
      </c>
      <c r="H24" s="25"/>
      <c r="I24" s="26">
        <f>TariefOpbouwTotaalLoonkosten4*H24</f>
        <v>0</v>
      </c>
      <c r="J24" s="25"/>
      <c r="K24" s="26">
        <f>TariefOpbouwTotaalLoonkosten5*J24</f>
        <v>0</v>
      </c>
      <c r="L24" s="25"/>
      <c r="M24" s="26">
        <f>TariefOpbouwTotaalLoonkosten6*L24</f>
        <v>0</v>
      </c>
      <c r="N24" s="25"/>
      <c r="O24" s="26">
        <f>TariefOpbouwTotaalLoonkosten7*N24</f>
        <v>0</v>
      </c>
      <c r="P24" s="25"/>
      <c r="Q24" s="26">
        <f>TariefOpbouwTotaalLoonkosten8*P24</f>
        <v>0</v>
      </c>
      <c r="R24" s="25"/>
      <c r="S24" s="27">
        <f>TariefOpbouwTotaalLoonkosten9*R24</f>
        <v>0</v>
      </c>
    </row>
    <row r="25" spans="1:19" x14ac:dyDescent="0.25">
      <c r="A25" s="20" t="s">
        <v>64</v>
      </c>
      <c r="B25" s="25"/>
      <c r="C25" s="26">
        <f>TariefOpbouwTotaalLoonkosten1*B25</f>
        <v>0</v>
      </c>
      <c r="D25" s="25"/>
      <c r="E25" s="26">
        <f>TariefOpbouwTotaalLoonkosten2*D25</f>
        <v>0</v>
      </c>
      <c r="F25" s="25"/>
      <c r="G25" s="26">
        <f>TariefOpbouwTotaalLoonkosten3*F25</f>
        <v>0</v>
      </c>
      <c r="H25" s="25"/>
      <c r="I25" s="26">
        <f>TariefOpbouwTotaalLoonkosten4*H25</f>
        <v>0</v>
      </c>
      <c r="J25" s="25"/>
      <c r="K25" s="26">
        <f>TariefOpbouwTotaalLoonkosten5*J25</f>
        <v>0</v>
      </c>
      <c r="L25" s="25"/>
      <c r="M25" s="26">
        <f>TariefOpbouwTotaalLoonkosten6*L25</f>
        <v>0</v>
      </c>
      <c r="N25" s="25"/>
      <c r="O25" s="26">
        <f>TariefOpbouwTotaalLoonkosten7*N25</f>
        <v>0</v>
      </c>
      <c r="P25" s="25"/>
      <c r="Q25" s="26">
        <f>TariefOpbouwTotaalLoonkosten8*P25</f>
        <v>0</v>
      </c>
      <c r="R25" s="25"/>
      <c r="S25" s="27">
        <f>TariefOpbouwTotaalLoonkosten9*R25</f>
        <v>0</v>
      </c>
    </row>
    <row r="26" spans="1:19" x14ac:dyDescent="0.25">
      <c r="A26" s="11" t="s">
        <v>65</v>
      </c>
      <c r="B26" s="23">
        <f>SUM(TariefOpbouwTotaalLoonkosten1,C20:C25)</f>
        <v>0</v>
      </c>
      <c r="C26" s="23"/>
      <c r="D26" s="23">
        <f>SUM(TariefOpbouwTotaalLoonkosten2,E20:E25)</f>
        <v>0</v>
      </c>
      <c r="E26" s="23"/>
      <c r="F26" s="23">
        <f>SUM(TariefOpbouwTotaalLoonkosten3,G20:G25)</f>
        <v>0</v>
      </c>
      <c r="G26" s="23"/>
      <c r="H26" s="23">
        <f>SUM(TariefOpbouwTotaalLoonkosten4,I20:I25)</f>
        <v>0</v>
      </c>
      <c r="I26" s="23"/>
      <c r="J26" s="23">
        <f>SUM(TariefOpbouwTotaalLoonkosten5,K20:K25)</f>
        <v>0</v>
      </c>
      <c r="K26" s="23"/>
      <c r="L26" s="23">
        <f>SUM(TariefOpbouwTotaalLoonkosten6,M20:M25)</f>
        <v>0</v>
      </c>
      <c r="M26" s="23"/>
      <c r="N26" s="23">
        <f>SUM(TariefOpbouwTotaalLoonkosten7,O20:O25)</f>
        <v>0</v>
      </c>
      <c r="O26" s="23"/>
      <c r="P26" s="23">
        <f>SUM(TariefOpbouwTotaalLoonkosten8,Q20:Q25)</f>
        <v>0</v>
      </c>
      <c r="Q26" s="23"/>
      <c r="R26" s="23">
        <f>SUM(TariefOpbouwTotaalLoonkosten9,S20:S25)</f>
        <v>0</v>
      </c>
      <c r="S26" s="24"/>
    </row>
    <row r="27" spans="1:19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30"/>
    </row>
    <row r="28" spans="1:19" x14ac:dyDescent="0.25">
      <c r="A28" s="20" t="s">
        <v>66</v>
      </c>
      <c r="B28" s="25"/>
      <c r="C28" s="26">
        <f>TariefOpbouwDirecteKosten1*B28</f>
        <v>0</v>
      </c>
      <c r="D28" s="25"/>
      <c r="E28" s="26">
        <f>TariefOpbouwDirecteKosten2*D28</f>
        <v>0</v>
      </c>
      <c r="F28" s="25"/>
      <c r="G28" s="26">
        <f>TariefOpbouwDirecteKosten3*F28</f>
        <v>0</v>
      </c>
      <c r="H28" s="25"/>
      <c r="I28" s="26">
        <f>TariefOpbouwDirecteKosten4*H28</f>
        <v>0</v>
      </c>
      <c r="J28" s="25"/>
      <c r="K28" s="26">
        <f>TariefOpbouwDirecteKosten5*J28</f>
        <v>0</v>
      </c>
      <c r="L28" s="25"/>
      <c r="M28" s="26">
        <f>TariefOpbouwDirecteKosten6*L28</f>
        <v>0</v>
      </c>
      <c r="N28" s="25"/>
      <c r="O28" s="26">
        <f>TariefOpbouwDirecteKosten7*N28</f>
        <v>0</v>
      </c>
      <c r="P28" s="25"/>
      <c r="Q28" s="26">
        <f>TariefOpbouwDirecteKosten8*P28</f>
        <v>0</v>
      </c>
      <c r="R28" s="25"/>
      <c r="S28" s="27">
        <f>TariefOpbouwDirecteKosten9*R28</f>
        <v>0</v>
      </c>
    </row>
    <row r="29" spans="1:19" x14ac:dyDescent="0.25">
      <c r="A29" s="20" t="s">
        <v>67</v>
      </c>
      <c r="B29" s="25"/>
      <c r="C29" s="26">
        <f>TariefOpbouwDirecteKosten1*B29</f>
        <v>0</v>
      </c>
      <c r="D29" s="25"/>
      <c r="E29" s="26">
        <f>TariefOpbouwDirecteKosten2*D29</f>
        <v>0</v>
      </c>
      <c r="F29" s="25"/>
      <c r="G29" s="26">
        <f>TariefOpbouwDirecteKosten3*F29</f>
        <v>0</v>
      </c>
      <c r="H29" s="25"/>
      <c r="I29" s="26">
        <f>TariefOpbouwDirecteKosten4*H29</f>
        <v>0</v>
      </c>
      <c r="J29" s="25"/>
      <c r="K29" s="26">
        <f>TariefOpbouwDirecteKosten5*J29</f>
        <v>0</v>
      </c>
      <c r="L29" s="25"/>
      <c r="M29" s="26">
        <f>TariefOpbouwDirecteKosten6*L29</f>
        <v>0</v>
      </c>
      <c r="N29" s="25"/>
      <c r="O29" s="26">
        <f>TariefOpbouwDirecteKosten7*N29</f>
        <v>0</v>
      </c>
      <c r="P29" s="25"/>
      <c r="Q29" s="26">
        <f>TariefOpbouwDirecteKosten8*P29</f>
        <v>0</v>
      </c>
      <c r="R29" s="25"/>
      <c r="S29" s="27">
        <f>TariefOpbouwDirecteKosten9*R29</f>
        <v>0</v>
      </c>
    </row>
    <row r="30" spans="1:19" x14ac:dyDescent="0.25">
      <c r="A30" s="20" t="s">
        <v>68</v>
      </c>
      <c r="B30" s="25"/>
      <c r="C30" s="26">
        <f>TariefOpbouwDirecteKosten1*B30</f>
        <v>0</v>
      </c>
      <c r="D30" s="25"/>
      <c r="E30" s="26">
        <f>TariefOpbouwDirecteKosten2*D30</f>
        <v>0</v>
      </c>
      <c r="F30" s="25"/>
      <c r="G30" s="26">
        <f>TariefOpbouwDirecteKosten3*F30</f>
        <v>0</v>
      </c>
      <c r="H30" s="25"/>
      <c r="I30" s="26">
        <f>TariefOpbouwDirecteKosten4*H30</f>
        <v>0</v>
      </c>
      <c r="J30" s="25"/>
      <c r="K30" s="26">
        <f>TariefOpbouwDirecteKosten5*J30</f>
        <v>0</v>
      </c>
      <c r="L30" s="25"/>
      <c r="M30" s="26">
        <f>TariefOpbouwDirecteKosten6*L30</f>
        <v>0</v>
      </c>
      <c r="N30" s="25"/>
      <c r="O30" s="26">
        <f>TariefOpbouwDirecteKosten7*N30</f>
        <v>0</v>
      </c>
      <c r="P30" s="25"/>
      <c r="Q30" s="26">
        <f>TariefOpbouwDirecteKosten8*P30</f>
        <v>0</v>
      </c>
      <c r="R30" s="25"/>
      <c r="S30" s="27">
        <f>TariefOpbouwDirecteKosten9*R30</f>
        <v>0</v>
      </c>
    </row>
    <row r="31" spans="1:19" x14ac:dyDescent="0.25">
      <c r="A31" s="20" t="s">
        <v>69</v>
      </c>
      <c r="B31" s="25"/>
      <c r="C31" s="26">
        <f>TariefOpbouwDirecteKosten1*B31</f>
        <v>0</v>
      </c>
      <c r="D31" s="25"/>
      <c r="E31" s="26">
        <f>TariefOpbouwDirecteKosten2*D31</f>
        <v>0</v>
      </c>
      <c r="F31" s="25"/>
      <c r="G31" s="26">
        <f>TariefOpbouwDirecteKosten3*F31</f>
        <v>0</v>
      </c>
      <c r="H31" s="25"/>
      <c r="I31" s="26">
        <f>TariefOpbouwDirecteKosten4*H31</f>
        <v>0</v>
      </c>
      <c r="J31" s="25"/>
      <c r="K31" s="26">
        <f>TariefOpbouwDirecteKosten5*J31</f>
        <v>0</v>
      </c>
      <c r="L31" s="25"/>
      <c r="M31" s="26">
        <f>TariefOpbouwDirecteKosten6*L31</f>
        <v>0</v>
      </c>
      <c r="N31" s="25"/>
      <c r="O31" s="26">
        <f>TariefOpbouwDirecteKosten7*N31</f>
        <v>0</v>
      </c>
      <c r="P31" s="25"/>
      <c r="Q31" s="26">
        <f>TariefOpbouwDirecteKosten8*P31</f>
        <v>0</v>
      </c>
      <c r="R31" s="25"/>
      <c r="S31" s="27">
        <f>TariefOpbouwDirecteKosten9*R31</f>
        <v>0</v>
      </c>
    </row>
    <row r="32" spans="1:19" x14ac:dyDescent="0.25">
      <c r="A32" s="20" t="s">
        <v>70</v>
      </c>
      <c r="B32" s="25"/>
      <c r="C32" s="26">
        <f>TariefOpbouwDirecteKosten1*B32</f>
        <v>0</v>
      </c>
      <c r="D32" s="25"/>
      <c r="E32" s="26">
        <f>TariefOpbouwDirecteKosten2*D32</f>
        <v>0</v>
      </c>
      <c r="F32" s="25"/>
      <c r="G32" s="26">
        <f>TariefOpbouwDirecteKosten3*F32</f>
        <v>0</v>
      </c>
      <c r="H32" s="25"/>
      <c r="I32" s="26">
        <f>TariefOpbouwDirecteKosten4*H32</f>
        <v>0</v>
      </c>
      <c r="J32" s="25"/>
      <c r="K32" s="26">
        <f>TariefOpbouwDirecteKosten5*J32</f>
        <v>0</v>
      </c>
      <c r="L32" s="25"/>
      <c r="M32" s="26">
        <f>TariefOpbouwDirecteKosten6*L32</f>
        <v>0</v>
      </c>
      <c r="N32" s="25"/>
      <c r="O32" s="26">
        <f>TariefOpbouwDirecteKosten7*N32</f>
        <v>0</v>
      </c>
      <c r="P32" s="25"/>
      <c r="Q32" s="26">
        <f>TariefOpbouwDirecteKosten8*P32</f>
        <v>0</v>
      </c>
      <c r="R32" s="25"/>
      <c r="S32" s="27">
        <f>TariefOpbouwDirecteKosten9*R32</f>
        <v>0</v>
      </c>
    </row>
    <row r="33" spans="1:19" x14ac:dyDescent="0.25">
      <c r="A33" s="20" t="s">
        <v>71</v>
      </c>
      <c r="B33" s="25"/>
      <c r="C33" s="26">
        <f>TariefOpbouwDirecteKosten1*B33</f>
        <v>0</v>
      </c>
      <c r="D33" s="25"/>
      <c r="E33" s="26">
        <f>TariefOpbouwDirecteKosten2*D33</f>
        <v>0</v>
      </c>
      <c r="F33" s="25"/>
      <c r="G33" s="26">
        <f>TariefOpbouwDirecteKosten3*F33</f>
        <v>0</v>
      </c>
      <c r="H33" s="25"/>
      <c r="I33" s="26">
        <f>TariefOpbouwDirecteKosten4*H33</f>
        <v>0</v>
      </c>
      <c r="J33" s="25"/>
      <c r="K33" s="26">
        <f>TariefOpbouwDirecteKosten5*J33</f>
        <v>0</v>
      </c>
      <c r="L33" s="25"/>
      <c r="M33" s="26">
        <f>TariefOpbouwDirecteKosten6*L33</f>
        <v>0</v>
      </c>
      <c r="N33" s="25"/>
      <c r="O33" s="26">
        <f>TariefOpbouwDirecteKosten7*N33</f>
        <v>0</v>
      </c>
      <c r="P33" s="25"/>
      <c r="Q33" s="26">
        <f>TariefOpbouwDirecteKosten8*P33</f>
        <v>0</v>
      </c>
      <c r="R33" s="25"/>
      <c r="S33" s="27">
        <f>TariefOpbouwDirecteKosten9*R33</f>
        <v>0</v>
      </c>
    </row>
    <row r="34" spans="1:19" x14ac:dyDescent="0.25">
      <c r="A34" s="20" t="s">
        <v>72</v>
      </c>
      <c r="B34" s="25"/>
      <c r="C34" s="26">
        <f>TariefOpbouwDirecteKosten1*B34</f>
        <v>0</v>
      </c>
      <c r="D34" s="25"/>
      <c r="E34" s="26">
        <f>TariefOpbouwDirecteKosten2*D34</f>
        <v>0</v>
      </c>
      <c r="F34" s="25"/>
      <c r="G34" s="26">
        <f>TariefOpbouwDirecteKosten3*F34</f>
        <v>0</v>
      </c>
      <c r="H34" s="25"/>
      <c r="I34" s="26">
        <f>TariefOpbouwDirecteKosten4*H34</f>
        <v>0</v>
      </c>
      <c r="J34" s="25"/>
      <c r="K34" s="26">
        <f>TariefOpbouwDirecteKosten5*J34</f>
        <v>0</v>
      </c>
      <c r="L34" s="25"/>
      <c r="M34" s="26">
        <f>TariefOpbouwDirecteKosten6*L34</f>
        <v>0</v>
      </c>
      <c r="N34" s="25"/>
      <c r="O34" s="26">
        <f>TariefOpbouwDirecteKosten7*N34</f>
        <v>0</v>
      </c>
      <c r="P34" s="25"/>
      <c r="Q34" s="26">
        <f>TariefOpbouwDirecteKosten8*P34</f>
        <v>0</v>
      </c>
      <c r="R34" s="25"/>
      <c r="S34" s="27">
        <f>TariefOpbouwDirecteKosten9*R34</f>
        <v>0</v>
      </c>
    </row>
    <row r="35" spans="1:19" x14ac:dyDescent="0.25">
      <c r="A35" s="11" t="s">
        <v>73</v>
      </c>
      <c r="B35" s="23">
        <f>SUM(C28:C34)</f>
        <v>0</v>
      </c>
      <c r="C35" s="23"/>
      <c r="D35" s="23">
        <f>SUM(E28:E34)</f>
        <v>0</v>
      </c>
      <c r="E35" s="23"/>
      <c r="F35" s="23">
        <f>SUM(G28:G34)</f>
        <v>0</v>
      </c>
      <c r="G35" s="23"/>
      <c r="H35" s="23">
        <f>SUM(I28:I34)</f>
        <v>0</v>
      </c>
      <c r="I35" s="23"/>
      <c r="J35" s="23">
        <f>SUM(K28:K34)</f>
        <v>0</v>
      </c>
      <c r="K35" s="23"/>
      <c r="L35" s="23">
        <f>SUM(M28:M34)</f>
        <v>0</v>
      </c>
      <c r="M35" s="23"/>
      <c r="N35" s="23">
        <f>SUM(O28:O34)</f>
        <v>0</v>
      </c>
      <c r="O35" s="23"/>
      <c r="P35" s="23">
        <f>SUM(Q28:Q34)</f>
        <v>0</v>
      </c>
      <c r="Q35" s="23"/>
      <c r="R35" s="23">
        <f>SUM(S28:S34)</f>
        <v>0</v>
      </c>
      <c r="S35" s="24"/>
    </row>
    <row r="36" spans="1:19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30"/>
    </row>
    <row r="37" spans="1:19" x14ac:dyDescent="0.25">
      <c r="A37" s="11" t="s">
        <v>74</v>
      </c>
      <c r="B37" s="25"/>
      <c r="C37" s="26">
        <f>(TariefOpbouwDirecteKosten1+TariefOpbouwIndirecteKosten1)*B37</f>
        <v>0</v>
      </c>
      <c r="D37" s="25"/>
      <c r="E37" s="26">
        <f>(TariefOpbouwDirecteKosten2+TariefOpbouwIndirecteKosten2)*D37</f>
        <v>0</v>
      </c>
      <c r="F37" s="25"/>
      <c r="G37" s="26">
        <f>(TariefOpbouwDirecteKosten3+TariefOpbouwIndirecteKosten3)*F37</f>
        <v>0</v>
      </c>
      <c r="H37" s="25"/>
      <c r="I37" s="26">
        <f>(TariefOpbouwDirecteKosten4+TariefOpbouwIndirecteKosten4)*H37</f>
        <v>0</v>
      </c>
      <c r="J37" s="25"/>
      <c r="K37" s="26">
        <f>(TariefOpbouwDirecteKosten5+TariefOpbouwIndirecteKosten5)*J37</f>
        <v>0</v>
      </c>
      <c r="L37" s="25"/>
      <c r="M37" s="26">
        <f>(TariefOpbouwDirecteKosten6+TariefOpbouwIndirecteKosten6)*L37</f>
        <v>0</v>
      </c>
      <c r="N37" s="25"/>
      <c r="O37" s="26">
        <f>(TariefOpbouwDirecteKosten7+TariefOpbouwIndirecteKosten7)*N37</f>
        <v>0</v>
      </c>
      <c r="P37" s="25"/>
      <c r="Q37" s="26">
        <f>(TariefOpbouwDirecteKosten8+TariefOpbouwIndirecteKosten8)*P37</f>
        <v>0</v>
      </c>
      <c r="R37" s="25"/>
      <c r="S37" s="27">
        <f>(TariefOpbouwDirecteKosten9+TariefOpbouwIndirecteKosten9)*R37</f>
        <v>0</v>
      </c>
    </row>
    <row r="38" spans="1:19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30"/>
    </row>
    <row r="39" spans="1:19" x14ac:dyDescent="0.25">
      <c r="A39" s="11" t="s">
        <v>75</v>
      </c>
      <c r="B39" s="23">
        <f>TariefOpbouwDirecteKosten1+TariefOpbouwIndirecteKosten1+TariefOpbouwRisicoWinst1</f>
        <v>0</v>
      </c>
      <c r="C39" s="23"/>
      <c r="D39" s="23">
        <f>TariefOpbouwDirecteKosten2+TariefOpbouwIndirecteKosten2+TariefOpbouwRisicoWinst2</f>
        <v>0</v>
      </c>
      <c r="E39" s="23"/>
      <c r="F39" s="23">
        <f>TariefOpbouwDirecteKosten3+TariefOpbouwIndirecteKosten3+TariefOpbouwRisicoWinst3</f>
        <v>0</v>
      </c>
      <c r="G39" s="23"/>
      <c r="H39" s="23">
        <f>TariefOpbouwDirecteKosten4+TariefOpbouwIndirecteKosten4+TariefOpbouwRisicoWinst4</f>
        <v>0</v>
      </c>
      <c r="I39" s="23"/>
      <c r="J39" s="23">
        <f>TariefOpbouwDirecteKosten5+TariefOpbouwIndirecteKosten5+TariefOpbouwRisicoWinst5</f>
        <v>0</v>
      </c>
      <c r="K39" s="23"/>
      <c r="L39" s="23">
        <f>TariefOpbouwDirecteKosten6+TariefOpbouwIndirecteKosten6+TariefOpbouwRisicoWinst6</f>
        <v>0</v>
      </c>
      <c r="M39" s="23"/>
      <c r="N39" s="23">
        <f>TariefOpbouwDirecteKosten7+TariefOpbouwIndirecteKosten7+TariefOpbouwRisicoWinst7</f>
        <v>0</v>
      </c>
      <c r="O39" s="23"/>
      <c r="P39" s="23">
        <f>TariefOpbouwDirecteKosten8+TariefOpbouwIndirecteKosten8+TariefOpbouwRisicoWinst8</f>
        <v>0</v>
      </c>
      <c r="Q39" s="23"/>
      <c r="R39" s="23">
        <f>TariefOpbouwDirecteKosten9+TariefOpbouwIndirecteKosten9+TariefOpbouwRisicoWinst9</f>
        <v>0</v>
      </c>
      <c r="S39" s="24"/>
    </row>
    <row r="40" spans="1:19" x14ac:dyDescent="0.25">
      <c r="A40" s="11" t="s">
        <v>76</v>
      </c>
      <c r="B40" s="31" t="s">
        <v>77</v>
      </c>
      <c r="C40" s="31" t="s">
        <v>78</v>
      </c>
      <c r="D40" s="31" t="s">
        <v>77</v>
      </c>
      <c r="E40" s="31" t="s">
        <v>78</v>
      </c>
      <c r="F40" s="31" t="s">
        <v>77</v>
      </c>
      <c r="G40" s="31" t="s">
        <v>78</v>
      </c>
      <c r="H40" s="31" t="s">
        <v>77</v>
      </c>
      <c r="I40" s="31" t="s">
        <v>78</v>
      </c>
      <c r="J40" s="31" t="s">
        <v>77</v>
      </c>
      <c r="K40" s="31" t="s">
        <v>78</v>
      </c>
      <c r="L40" s="31" t="s">
        <v>77</v>
      </c>
      <c r="M40" s="31" t="s">
        <v>78</v>
      </c>
      <c r="N40" s="31" t="s">
        <v>77</v>
      </c>
      <c r="O40" s="31" t="s">
        <v>78</v>
      </c>
      <c r="P40" s="31" t="s">
        <v>77</v>
      </c>
      <c r="Q40" s="31" t="s">
        <v>78</v>
      </c>
      <c r="R40" s="31" t="s">
        <v>77</v>
      </c>
      <c r="S40" s="32" t="s">
        <v>78</v>
      </c>
    </row>
    <row r="41" spans="1:19" x14ac:dyDescent="0.25">
      <c r="A41" s="11" t="s">
        <v>79</v>
      </c>
      <c r="B41" s="33">
        <v>0.3</v>
      </c>
      <c r="C41" s="26">
        <f>((1+B41)*TariefOpbouwTotaalLoonkosten1+TariefOpbouwDirecteKosten1-TariefOpbouwTotaalLoonkosten1+TariefOpbouwIndirecteKosten1)*(1+TariefOpbouwRisicoWinstPercentage1)</f>
        <v>0</v>
      </c>
      <c r="D41" s="33">
        <v>0.3</v>
      </c>
      <c r="E41" s="26">
        <f>((1+D41)*TariefOpbouwTotaalLoonkosten2+TariefOpbouwDirecteKosten2-TariefOpbouwTotaalLoonkosten2+TariefOpbouwIndirecteKosten2)*(1+TariefOpbouwRisicoWinstPercentage2)</f>
        <v>0</v>
      </c>
      <c r="F41" s="33">
        <v>0.3</v>
      </c>
      <c r="G41" s="26">
        <f>((1+F41)*TariefOpbouwTotaalLoonkosten3+TariefOpbouwDirecteKosten3-TariefOpbouwTotaalLoonkosten3+TariefOpbouwIndirecteKosten3)*(1+TariefOpbouwRisicoWinstPercentage3)</f>
        <v>0</v>
      </c>
      <c r="H41" s="33">
        <v>0.3</v>
      </c>
      <c r="I41" s="26">
        <f>((1+H41)*TariefOpbouwTotaalLoonkosten4+TariefOpbouwDirecteKosten4-TariefOpbouwTotaalLoonkosten4+TariefOpbouwIndirecteKosten4)*(1+TariefOpbouwRisicoWinstPercentage4)</f>
        <v>0</v>
      </c>
      <c r="J41" s="33">
        <v>0.3</v>
      </c>
      <c r="K41" s="26">
        <f>((1+J41)*TariefOpbouwTotaalLoonkosten5+TariefOpbouwDirecteKosten5-TariefOpbouwTotaalLoonkosten5+TariefOpbouwIndirecteKosten5)*(1+TariefOpbouwRisicoWinstPercentage5)</f>
        <v>0</v>
      </c>
      <c r="L41" s="33">
        <v>0.3</v>
      </c>
      <c r="M41" s="26">
        <f>((1+L41)*TariefOpbouwTotaalLoonkosten6+TariefOpbouwDirecteKosten6-TariefOpbouwTotaalLoonkosten6+TariefOpbouwIndirecteKosten6)*(1+TariefOpbouwRisicoWinstPercentage6)</f>
        <v>0</v>
      </c>
      <c r="N41" s="33">
        <v>0.3</v>
      </c>
      <c r="O41" s="26">
        <f>((1+N41)*TariefOpbouwTotaalLoonkosten7+TariefOpbouwDirecteKosten7-TariefOpbouwTotaalLoonkosten7+TariefOpbouwIndirecteKosten7)*(1+TariefOpbouwRisicoWinstPercentage7)</f>
        <v>0</v>
      </c>
      <c r="P41" s="33">
        <v>0.3</v>
      </c>
      <c r="Q41" s="26">
        <f>((1+P41)*TariefOpbouwTotaalLoonkosten8+TariefOpbouwDirecteKosten8-TariefOpbouwTotaalLoonkosten8+TariefOpbouwIndirecteKosten8)*(1+TariefOpbouwRisicoWinstPercentage8)</f>
        <v>0</v>
      </c>
      <c r="R41" s="33">
        <v>0.3</v>
      </c>
      <c r="S41" s="27">
        <f>((1+R41)*TariefOpbouwTotaalLoonkosten9+TariefOpbouwDirecteKosten9-TariefOpbouwTotaalLoonkosten9+TariefOpbouwIndirecteKosten9)*(1+TariefOpbouwRisicoWinstPercentage9)</f>
        <v>0</v>
      </c>
    </row>
    <row r="42" spans="1:19" x14ac:dyDescent="0.25">
      <c r="A42" s="11" t="s">
        <v>80</v>
      </c>
      <c r="B42" s="33">
        <v>0.5</v>
      </c>
      <c r="C42" s="26">
        <f>((1+B42)*TariefOpbouwTotaalLoonkosten1+TariefOpbouwDirecteKosten1-TariefOpbouwTotaalLoonkosten1+TariefOpbouwIndirecteKosten1)*(1+TariefOpbouwRisicoWinstPercentage1)</f>
        <v>0</v>
      </c>
      <c r="D42" s="33">
        <v>0.5</v>
      </c>
      <c r="E42" s="26">
        <f>((1+D42)*TariefOpbouwTotaalLoonkosten2+TariefOpbouwDirecteKosten2-TariefOpbouwTotaalLoonkosten2+TariefOpbouwIndirecteKosten2)*(1+TariefOpbouwRisicoWinstPercentage2)</f>
        <v>0</v>
      </c>
      <c r="F42" s="33">
        <v>0.5</v>
      </c>
      <c r="G42" s="26">
        <f>((1+F42)*TariefOpbouwTotaalLoonkosten3+TariefOpbouwDirecteKosten3-TariefOpbouwTotaalLoonkosten3+TariefOpbouwIndirecteKosten3)*(1+TariefOpbouwRisicoWinstPercentage3)</f>
        <v>0</v>
      </c>
      <c r="H42" s="33">
        <v>0.5</v>
      </c>
      <c r="I42" s="26">
        <f>((1+H42)*TariefOpbouwTotaalLoonkosten4+TariefOpbouwDirecteKosten4-TariefOpbouwTotaalLoonkosten4+TariefOpbouwIndirecteKosten4)*(1+TariefOpbouwRisicoWinstPercentage4)</f>
        <v>0</v>
      </c>
      <c r="J42" s="33">
        <v>0.5</v>
      </c>
      <c r="K42" s="26">
        <f>((1+J42)*TariefOpbouwTotaalLoonkosten5+TariefOpbouwDirecteKosten5-TariefOpbouwTotaalLoonkosten5+TariefOpbouwIndirecteKosten5)*(1+TariefOpbouwRisicoWinstPercentage5)</f>
        <v>0</v>
      </c>
      <c r="L42" s="33">
        <v>0.5</v>
      </c>
      <c r="M42" s="26">
        <f>((1+L42)*TariefOpbouwTotaalLoonkosten6+TariefOpbouwDirecteKosten6-TariefOpbouwTotaalLoonkosten6+TariefOpbouwIndirecteKosten6)*(1+TariefOpbouwRisicoWinstPercentage6)</f>
        <v>0</v>
      </c>
      <c r="N42" s="33">
        <v>0.5</v>
      </c>
      <c r="O42" s="26">
        <f>((1+N42)*TariefOpbouwTotaalLoonkosten7+TariefOpbouwDirecteKosten7-TariefOpbouwTotaalLoonkosten7+TariefOpbouwIndirecteKosten7)*(1+TariefOpbouwRisicoWinstPercentage7)</f>
        <v>0</v>
      </c>
      <c r="P42" s="33">
        <v>0.5</v>
      </c>
      <c r="Q42" s="26">
        <f>((1+P42)*TariefOpbouwTotaalLoonkosten8+TariefOpbouwDirecteKosten8-TariefOpbouwTotaalLoonkosten8+TariefOpbouwIndirecteKosten8)*(1+TariefOpbouwRisicoWinstPercentage8)</f>
        <v>0</v>
      </c>
      <c r="R42" s="33">
        <v>0.5</v>
      </c>
      <c r="S42" s="27">
        <f>((1+R42)*TariefOpbouwTotaalLoonkosten9+TariefOpbouwDirecteKosten9-TariefOpbouwTotaalLoonkosten9+TariefOpbouwIndirecteKosten9)*(1+TariefOpbouwRisicoWinstPercentage9)</f>
        <v>0</v>
      </c>
    </row>
    <row r="43" spans="1:19" x14ac:dyDescent="0.25">
      <c r="A43" s="34" t="s">
        <v>81</v>
      </c>
      <c r="B43" s="35">
        <v>1.5</v>
      </c>
      <c r="C43" s="36">
        <f>((1+B43)*TariefOpbouwTotaalLoonkosten1+TariefOpbouwDirecteKosten1-TariefOpbouwTotaalLoonkosten1+TariefOpbouwIndirecteKosten1)*(1+TariefOpbouwRisicoWinstPercentage1)</f>
        <v>0</v>
      </c>
      <c r="D43" s="35">
        <v>1.5</v>
      </c>
      <c r="E43" s="36">
        <f>((1+D43)*TariefOpbouwTotaalLoonkosten2+TariefOpbouwDirecteKosten2-TariefOpbouwTotaalLoonkosten2+TariefOpbouwIndirecteKosten2)*(1+TariefOpbouwRisicoWinstPercentage2)</f>
        <v>0</v>
      </c>
      <c r="F43" s="35">
        <v>1.5</v>
      </c>
      <c r="G43" s="36">
        <f>((1+F43)*TariefOpbouwTotaalLoonkosten3+TariefOpbouwDirecteKosten3-TariefOpbouwTotaalLoonkosten3+TariefOpbouwIndirecteKosten3)*(1+TariefOpbouwRisicoWinstPercentage3)</f>
        <v>0</v>
      </c>
      <c r="H43" s="35">
        <v>1.5</v>
      </c>
      <c r="I43" s="36">
        <f>((1+H43)*TariefOpbouwTotaalLoonkosten4+TariefOpbouwDirecteKosten4-TariefOpbouwTotaalLoonkosten4+TariefOpbouwIndirecteKosten4)*(1+TariefOpbouwRisicoWinstPercentage4)</f>
        <v>0</v>
      </c>
      <c r="J43" s="35">
        <v>1.5</v>
      </c>
      <c r="K43" s="36">
        <f>((1+J43)*TariefOpbouwTotaalLoonkosten5+TariefOpbouwDirecteKosten5-TariefOpbouwTotaalLoonkosten5+TariefOpbouwIndirecteKosten5)*(1+TariefOpbouwRisicoWinstPercentage5)</f>
        <v>0</v>
      </c>
      <c r="L43" s="35">
        <v>1.5</v>
      </c>
      <c r="M43" s="36">
        <f>((1+L43)*TariefOpbouwTotaalLoonkosten6+TariefOpbouwDirecteKosten6-TariefOpbouwTotaalLoonkosten6+TariefOpbouwIndirecteKosten6)*(1+TariefOpbouwRisicoWinstPercentage6)</f>
        <v>0</v>
      </c>
      <c r="N43" s="35">
        <v>1.5</v>
      </c>
      <c r="O43" s="36">
        <f>((1+N43)*TariefOpbouwTotaalLoonkosten7+TariefOpbouwDirecteKosten7-TariefOpbouwTotaalLoonkosten7+TariefOpbouwIndirecteKosten7)*(1+TariefOpbouwRisicoWinstPercentage7)</f>
        <v>0</v>
      </c>
      <c r="P43" s="35">
        <v>1.5</v>
      </c>
      <c r="Q43" s="36">
        <f>((1+P43)*TariefOpbouwTotaalLoonkosten8+TariefOpbouwDirecteKosten8-TariefOpbouwTotaalLoonkosten8+TariefOpbouwIndirecteKosten8)*(1+TariefOpbouwRisicoWinstPercentage8)</f>
        <v>0</v>
      </c>
      <c r="R43" s="35">
        <v>1.5</v>
      </c>
      <c r="S43" s="37">
        <f>((1+R43)*TariefOpbouwTotaalLoonkosten9+TariefOpbouwDirecteKosten9-TariefOpbouwTotaalLoonkosten9+TariefOpbouwIndirecteKosten9)*(1+TariefOpbouwRisicoWinstPercentage9)</f>
        <v>0</v>
      </c>
    </row>
    <row r="45" spans="1:19" ht="23" customHeight="1" x14ac:dyDescent="0.25">
      <c r="A45" s="8" t="s">
        <v>82</v>
      </c>
      <c r="B45" s="38" t="s">
        <v>83</v>
      </c>
      <c r="C45" s="38"/>
      <c r="D45" s="38" t="s">
        <v>84</v>
      </c>
      <c r="E45" s="38"/>
      <c r="F45" s="38" t="s">
        <v>85</v>
      </c>
      <c r="G45" s="38"/>
      <c r="H45" s="38" t="s">
        <v>86</v>
      </c>
      <c r="I45" s="39"/>
    </row>
    <row r="46" spans="1:19" x14ac:dyDescent="0.25">
      <c r="A46" s="28"/>
      <c r="B46" s="31" t="s">
        <v>87</v>
      </c>
      <c r="C46" s="31" t="s">
        <v>88</v>
      </c>
      <c r="D46" s="31" t="s">
        <v>87</v>
      </c>
      <c r="E46" s="31" t="s">
        <v>88</v>
      </c>
      <c r="F46" s="31" t="s">
        <v>87</v>
      </c>
      <c r="G46" s="31" t="s">
        <v>88</v>
      </c>
      <c r="H46" s="31" t="s">
        <v>87</v>
      </c>
      <c r="I46" s="32" t="s">
        <v>88</v>
      </c>
    </row>
    <row r="47" spans="1:19" x14ac:dyDescent="0.25">
      <c r="A47" s="40" t="str">
        <f>TariefOpbouwNaam1&amp;" "&amp;TariefOpbouwErvaring1</f>
        <v>Vakvolwassene &gt;3 dienstjaren</v>
      </c>
      <c r="B47" s="25"/>
      <c r="C47" s="26">
        <f>TariefOpbouwTarief1</f>
        <v>0</v>
      </c>
      <c r="D47" s="25"/>
      <c r="E47" s="26">
        <f>TariefOpbouwTarief1</f>
        <v>0</v>
      </c>
      <c r="F47" s="25"/>
      <c r="G47" s="26">
        <f>TariefOpbouwTarief1W</f>
        <v>0</v>
      </c>
      <c r="H47" s="25"/>
      <c r="I47" s="27">
        <f>TariefOpbouwTarief1X</f>
        <v>0</v>
      </c>
    </row>
    <row r="48" spans="1:19" x14ac:dyDescent="0.25">
      <c r="A48" s="40" t="str">
        <f>TariefOpbouwNaam2&amp;" "&amp;TariefOpbouwErvaring2</f>
        <v xml:space="preserve">Vakvolwassene </v>
      </c>
      <c r="B48" s="25"/>
      <c r="C48" s="26">
        <f>TariefOpbouwTarief2</f>
        <v>0</v>
      </c>
      <c r="D48" s="25"/>
      <c r="E48" s="26">
        <f>TariefOpbouwTarief2</f>
        <v>0</v>
      </c>
      <c r="F48" s="25"/>
      <c r="G48" s="26">
        <f>TariefOpbouwTarief2W</f>
        <v>0</v>
      </c>
      <c r="H48" s="25"/>
      <c r="I48" s="27">
        <f>TariefOpbouwTarief2X</f>
        <v>0</v>
      </c>
    </row>
    <row r="49" spans="1:9" x14ac:dyDescent="0.25">
      <c r="A49" s="40" t="str">
        <f>TariefOpbouwNaam3&amp;" "&amp;TariefOpbouwErvaring3</f>
        <v>Leiding (meewerkend) voorman/vrouw</v>
      </c>
      <c r="B49" s="25"/>
      <c r="C49" s="26">
        <f>TariefOpbouwTarief3</f>
        <v>0</v>
      </c>
      <c r="D49" s="25"/>
      <c r="E49" s="26">
        <f>TariefOpbouwTarief3</f>
        <v>0</v>
      </c>
      <c r="F49" s="25"/>
      <c r="G49" s="26">
        <f>TariefOpbouwTarief3W</f>
        <v>0</v>
      </c>
      <c r="H49" s="25"/>
      <c r="I49" s="27">
        <f>TariefOpbouwTarief3X</f>
        <v>0</v>
      </c>
    </row>
    <row r="50" spans="1:9" x14ac:dyDescent="0.25">
      <c r="A50" s="40" t="str">
        <f>TariefOpbouwNaam4&amp;" "&amp;TariefOpbouwErvaring4</f>
        <v>Vakvolwassene specialist vloeren</v>
      </c>
      <c r="B50" s="25"/>
      <c r="C50" s="26">
        <f>TariefOpbouwTarief4</f>
        <v>0</v>
      </c>
      <c r="D50" s="25"/>
      <c r="E50" s="26">
        <f>TariefOpbouwTarief4</f>
        <v>0</v>
      </c>
      <c r="F50" s="25"/>
      <c r="G50" s="26">
        <f>TariefOpbouwTarief4W</f>
        <v>0</v>
      </c>
      <c r="H50" s="25"/>
      <c r="I50" s="27">
        <f>TariefOpbouwTarief4X</f>
        <v>0</v>
      </c>
    </row>
    <row r="51" spans="1:9" x14ac:dyDescent="0.25">
      <c r="A51" s="11" t="s">
        <v>89</v>
      </c>
      <c r="B51" s="41" t="str">
        <f>IF(SUM(B47:B50)=1,SUM(B47:B50),"ongeldig")</f>
        <v>ongeldig</v>
      </c>
      <c r="C51" s="26">
        <f>SUMPRODUCT(B47:B50,C47:C50)</f>
        <v>0</v>
      </c>
      <c r="D51" s="41" t="str">
        <f>IF(SUM(D47:D50)=1,SUM(D47:D50),"ongeldig")</f>
        <v>ongeldig</v>
      </c>
      <c r="E51" s="26">
        <f>SUMPRODUCT(D47:D50,E47:E50)</f>
        <v>0</v>
      </c>
      <c r="F51" s="41" t="str">
        <f>IF(SUM(F47:F50)=1,SUM(F47:F50),"ongeldig")</f>
        <v>ongeldig</v>
      </c>
      <c r="G51" s="26">
        <f>SUMPRODUCT(F47:F50,G47:G50)</f>
        <v>0</v>
      </c>
      <c r="H51" s="41" t="str">
        <f>IF(SUM(H47:H50)=1,SUM(H47:H50),"ongeldig")</f>
        <v>ongeldig</v>
      </c>
      <c r="I51" s="27">
        <f>SUMPRODUCT(H47:H50,I47:I50)</f>
        <v>0</v>
      </c>
    </row>
    <row r="52" spans="1:9" x14ac:dyDescent="0.25">
      <c r="A52" s="40" t="str">
        <f>TariefOpbouwNaam5&amp;" "&amp;TariefOpbouwErvaring5</f>
        <v>Leiding (niet-meewerkend) voorman/vrouw</v>
      </c>
      <c r="B52" s="25"/>
      <c r="C52" s="26">
        <f>TariefOpbouwTarief5</f>
        <v>0</v>
      </c>
      <c r="D52" s="25"/>
      <c r="E52" s="26">
        <f>TariefOpbouwTarief5</f>
        <v>0</v>
      </c>
      <c r="F52" s="25"/>
      <c r="G52" s="26">
        <f>TariefOpbouwTarief5W</f>
        <v>0</v>
      </c>
      <c r="H52" s="25"/>
      <c r="I52" s="27">
        <f>TariefOpbouwTarief5X</f>
        <v>0</v>
      </c>
    </row>
    <row r="53" spans="1:9" x14ac:dyDescent="0.25">
      <c r="A53" s="40" t="str">
        <f>TariefOpbouwNaam6&amp;" "&amp;TariefOpbouwErvaring6</f>
        <v>Leiding (niet-meewerkend) objectleider</v>
      </c>
      <c r="B53" s="25"/>
      <c r="C53" s="26">
        <f>TariefOpbouwTarief6</f>
        <v>0</v>
      </c>
      <c r="D53" s="25"/>
      <c r="E53" s="26">
        <f>TariefOpbouwTarief6</f>
        <v>0</v>
      </c>
      <c r="F53" s="25"/>
      <c r="G53" s="26">
        <f>TariefOpbouwTarief6W</f>
        <v>0</v>
      </c>
      <c r="H53" s="25"/>
      <c r="I53" s="27">
        <f>TariefOpbouwTarief6X</f>
        <v>0</v>
      </c>
    </row>
    <row r="54" spans="1:9" x14ac:dyDescent="0.25">
      <c r="A54" s="34" t="s">
        <v>90</v>
      </c>
      <c r="B54" s="42">
        <f>TariefUitvoering1+IF(SUM(B52:B53)&gt;0,SUMPRODUCT(B52:B53,C52:C53))</f>
        <v>0</v>
      </c>
      <c r="C54" s="42"/>
      <c r="D54" s="42">
        <f>TariefUitvoering2+IF(SUM(D52:D53)&gt;0,SUMPRODUCT(D52:D53,E52:E53))</f>
        <v>0</v>
      </c>
      <c r="E54" s="42"/>
      <c r="F54" s="42">
        <f>TariefUitvoering6+IF(SUM(F52:F53)&gt;0,SUMPRODUCT(F52:F53,G52:G53))</f>
        <v>0</v>
      </c>
      <c r="G54" s="42"/>
      <c r="H54" s="42">
        <f>TariefUitvoering7+IF(SUM(H52:H53)&gt;0,SUMPRODUCT(H52:H53,I52:I53))</f>
        <v>0</v>
      </c>
      <c r="I54" s="43"/>
    </row>
    <row r="56" spans="1:9" ht="34.5" customHeight="1" x14ac:dyDescent="0.25">
      <c r="A56" s="8" t="s">
        <v>91</v>
      </c>
      <c r="B56" s="38" t="s">
        <v>92</v>
      </c>
      <c r="C56" s="38"/>
      <c r="D56" s="38" t="s">
        <v>93</v>
      </c>
      <c r="E56" s="38"/>
      <c r="F56" s="38" t="s">
        <v>94</v>
      </c>
      <c r="G56" s="39"/>
    </row>
    <row r="57" spans="1:9" x14ac:dyDescent="0.25">
      <c r="A57" s="28"/>
      <c r="B57" s="31" t="s">
        <v>87</v>
      </c>
      <c r="C57" s="31" t="s">
        <v>88</v>
      </c>
      <c r="D57" s="31" t="s">
        <v>87</v>
      </c>
      <c r="E57" s="31" t="s">
        <v>88</v>
      </c>
      <c r="F57" s="31" t="s">
        <v>87</v>
      </c>
      <c r="G57" s="32" t="s">
        <v>88</v>
      </c>
    </row>
    <row r="58" spans="1:9" x14ac:dyDescent="0.25">
      <c r="A58" s="40" t="str">
        <f>TariefOpbouwNaam7&amp;" "&amp;TariefOpbouwErvaring7</f>
        <v xml:space="preserve">Vakvolwassene regie </v>
      </c>
      <c r="B58" s="25"/>
      <c r="C58" s="26">
        <f>TariefOpbouwTarief7</f>
        <v>0</v>
      </c>
      <c r="D58" s="25"/>
      <c r="E58" s="26">
        <f>TariefOpbouwTarief7</f>
        <v>0</v>
      </c>
      <c r="F58" s="25"/>
      <c r="G58" s="27">
        <f>TariefOpbouwTarief7W</f>
        <v>0</v>
      </c>
    </row>
    <row r="59" spans="1:9" x14ac:dyDescent="0.25">
      <c r="A59" s="40" t="str">
        <f>TariefOpbouwNaam8&amp;" "&amp;TariefOpbouwErvaring8</f>
        <v>Vakvolwassene regie specialist</v>
      </c>
      <c r="B59" s="25"/>
      <c r="C59" s="26">
        <f>TariefOpbouwTarief8</f>
        <v>0</v>
      </c>
      <c r="D59" s="25"/>
      <c r="E59" s="26">
        <f>TariefOpbouwTarief8</f>
        <v>0</v>
      </c>
      <c r="F59" s="25"/>
      <c r="G59" s="27">
        <f>TariefOpbouwTarief8W</f>
        <v>0</v>
      </c>
    </row>
    <row r="60" spans="1:9" x14ac:dyDescent="0.25">
      <c r="A60" s="11" t="s">
        <v>89</v>
      </c>
      <c r="B60" s="41" t="str">
        <f>IF(SUM(B58:B59)=1,SUM(B58:B59),"ongeldig")</f>
        <v>ongeldig</v>
      </c>
      <c r="C60" s="26">
        <f>SUMPRODUCT(B58:B59,C58:C59)</f>
        <v>0</v>
      </c>
      <c r="D60" s="41" t="str">
        <f>IF(SUM(D58:D59)=1,SUM(D58:D59),"ongeldig")</f>
        <v>ongeldig</v>
      </c>
      <c r="E60" s="26">
        <f>SUMPRODUCT(D58:D59,E58:E59)</f>
        <v>0</v>
      </c>
      <c r="F60" s="41" t="str">
        <f>IF(SUM(F58:F59)=1,SUM(F58:F59),"ongeldig")</f>
        <v>ongeldig</v>
      </c>
      <c r="G60" s="27">
        <f>SUMPRODUCT(F58:F59,G58:G59)</f>
        <v>0</v>
      </c>
    </row>
    <row r="61" spans="1:9" x14ac:dyDescent="0.25">
      <c r="A61" s="40" t="str">
        <f>TariefOpbouwNaam9&amp;" "&amp;TariefOpbouwErvaring9</f>
        <v xml:space="preserve">Leiding regie </v>
      </c>
      <c r="B61" s="25"/>
      <c r="C61" s="26">
        <f>TariefOpbouwTarief9</f>
        <v>0</v>
      </c>
      <c r="D61" s="25"/>
      <c r="E61" s="26">
        <f>TariefOpbouwTarief9</f>
        <v>0</v>
      </c>
      <c r="F61" s="25"/>
      <c r="G61" s="27">
        <f>TariefOpbouwTarief9W</f>
        <v>0</v>
      </c>
    </row>
    <row r="62" spans="1:9" x14ac:dyDescent="0.25">
      <c r="A62" s="34" t="s">
        <v>95</v>
      </c>
      <c r="B62" s="42">
        <f>TariefUitvoering3+IF(SUM(B61:B61)&gt;0,SUMPRODUCT(B61:B61,C61:C61))</f>
        <v>0</v>
      </c>
      <c r="C62" s="42"/>
      <c r="D62" s="42">
        <f>TariefUitvoering4+IF(SUM(D61:D61)&gt;0,SUMPRODUCT(D61:D61,E61:E61))</f>
        <v>0</v>
      </c>
      <c r="E62" s="42"/>
      <c r="F62" s="42">
        <f>TariefUitvoering5+IF(SUM(F61:F61)&gt;0,SUMPRODUCT(F61:F61,G61:G61))</f>
        <v>0</v>
      </c>
      <c r="G62" s="43"/>
    </row>
  </sheetData>
  <sheetProtection algorithmName="SHA-512" hashValue="+Dl3Jgj2n5NFZvSXVEtQjycVWKrT4dkvGWfbcdCPCxdIal/iRdg+imiJG3sgqu5BWZwoiqujo8krF8FV4H4Szg==" saltValue="C3suy9/V/O3BdVHl9vgTaA==" spinCount="100000" sheet="1" objects="1" scenarios="1" autoFilter="0"/>
  <mergeCells count="131">
    <mergeCell ref="B62:C62"/>
    <mergeCell ref="D62:E62"/>
    <mergeCell ref="F62:G62"/>
    <mergeCell ref="B54:C54"/>
    <mergeCell ref="D54:E54"/>
    <mergeCell ref="F54:G54"/>
    <mergeCell ref="H54:I54"/>
    <mergeCell ref="B56:C56"/>
    <mergeCell ref="D56:E56"/>
    <mergeCell ref="F56:G56"/>
    <mergeCell ref="N39:O39"/>
    <mergeCell ref="P39:Q39"/>
    <mergeCell ref="R39:S39"/>
    <mergeCell ref="B45:C45"/>
    <mergeCell ref="D45:E45"/>
    <mergeCell ref="F45:G45"/>
    <mergeCell ref="H45:I45"/>
    <mergeCell ref="B39:C39"/>
    <mergeCell ref="D39:E39"/>
    <mergeCell ref="F39:G39"/>
    <mergeCell ref="H39:I39"/>
    <mergeCell ref="J39:K39"/>
    <mergeCell ref="L39:M39"/>
    <mergeCell ref="R26:S26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P19:Q19"/>
    <mergeCell ref="R19:S19"/>
    <mergeCell ref="B26:C26"/>
    <mergeCell ref="D26:E26"/>
    <mergeCell ref="F26:G26"/>
    <mergeCell ref="H26:I26"/>
    <mergeCell ref="J26:K26"/>
    <mergeCell ref="L26:M26"/>
    <mergeCell ref="N26:O26"/>
    <mergeCell ref="P26:Q26"/>
    <mergeCell ref="N14:O14"/>
    <mergeCell ref="P14:Q14"/>
    <mergeCell ref="R14:S14"/>
    <mergeCell ref="B19:C19"/>
    <mergeCell ref="D19:E19"/>
    <mergeCell ref="F19:G19"/>
    <mergeCell ref="H19:I19"/>
    <mergeCell ref="J19:K19"/>
    <mergeCell ref="L19:M19"/>
    <mergeCell ref="N19:O19"/>
    <mergeCell ref="B14:C14"/>
    <mergeCell ref="D14:E14"/>
    <mergeCell ref="F14:G14"/>
    <mergeCell ref="H14:I14"/>
    <mergeCell ref="J14:K14"/>
    <mergeCell ref="L14:M14"/>
    <mergeCell ref="R9:S9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P8:Q8"/>
    <mergeCell ref="R8:S8"/>
    <mergeCell ref="B9:C9"/>
    <mergeCell ref="D9:E9"/>
    <mergeCell ref="F9:G9"/>
    <mergeCell ref="H9:I9"/>
    <mergeCell ref="J9:K9"/>
    <mergeCell ref="L9:M9"/>
    <mergeCell ref="N9:O9"/>
    <mergeCell ref="P9:Q9"/>
    <mergeCell ref="N7:O7"/>
    <mergeCell ref="P7:Q7"/>
    <mergeCell ref="R7:S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P5:Q5"/>
    <mergeCell ref="N3:O3"/>
    <mergeCell ref="P3:Q3"/>
    <mergeCell ref="R3:S3"/>
    <mergeCell ref="B4:C4"/>
    <mergeCell ref="D4:E4"/>
    <mergeCell ref="F4:G4"/>
    <mergeCell ref="H4:I4"/>
    <mergeCell ref="J4:K4"/>
    <mergeCell ref="L4:M4"/>
    <mergeCell ref="N4:O4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scale="65" orientation="landscape" horizontalDpi="300" verticalDpi="300" r:id="rId1"/>
  <headerFooter>
    <oddFooter>&amp;LOns Middelbaar Onderwijs                                    
CONCEPT PER 01-08-2026&amp;ROpmaakdatum: 15-01-2026
Intexso - Plantageweg 23E - Leusden
+31 (33) 2778485</oddFooter>
  </headerFooter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EFE8-823D-4D90-B2AB-5FAD7FB68CC5}">
  <dimension ref="A1:H44"/>
  <sheetViews>
    <sheetView workbookViewId="0"/>
  </sheetViews>
  <sheetFormatPr defaultRowHeight="11.5" x14ac:dyDescent="0.25"/>
  <cols>
    <col min="1" max="1" width="7.6328125" customWidth="1"/>
    <col min="2" max="2" width="6.6328125" customWidth="1"/>
    <col min="3" max="3" width="4.6328125" customWidth="1"/>
    <col min="4" max="4" width="50.6328125" customWidth="1"/>
    <col min="5" max="6" width="11.6328125" customWidth="1"/>
    <col min="7" max="7" width="9.6328125" customWidth="1"/>
    <col min="8" max="8" width="11.6328125" customWidth="1"/>
  </cols>
  <sheetData>
    <row r="1" spans="1:8" x14ac:dyDescent="0.25">
      <c r="A1" s="1" t="str">
        <f>CONCATENATE("Bijlage 7.5.1: ",tabeltype," categorienormen")</f>
        <v>Bijlage 7.5.1: Invultabel categorienormen</v>
      </c>
    </row>
    <row r="3" spans="1:8" ht="34.5" x14ac:dyDescent="0.25">
      <c r="A3" s="44" t="s">
        <v>96</v>
      </c>
      <c r="B3" s="44" t="s">
        <v>97</v>
      </c>
      <c r="C3" s="44" t="s">
        <v>98</v>
      </c>
      <c r="D3" s="44" t="s">
        <v>99</v>
      </c>
      <c r="E3" s="44" t="s">
        <v>100</v>
      </c>
      <c r="F3" s="44" t="s">
        <v>101</v>
      </c>
      <c r="G3" s="44" t="s">
        <v>102</v>
      </c>
      <c r="H3" s="44" t="s">
        <v>103</v>
      </c>
    </row>
    <row r="4" spans="1:8" x14ac:dyDescent="0.25">
      <c r="A4" s="45"/>
      <c r="B4" s="46"/>
      <c r="C4" s="46"/>
      <c r="D4" s="46"/>
      <c r="E4" s="46"/>
      <c r="F4" s="46"/>
      <c r="G4" s="46"/>
      <c r="H4" s="47"/>
    </row>
    <row r="5" spans="1:8" x14ac:dyDescent="0.25">
      <c r="A5" s="48" t="s">
        <v>104</v>
      </c>
      <c r="B5" s="49"/>
      <c r="C5" s="49"/>
      <c r="D5" s="49"/>
      <c r="E5" s="49"/>
      <c r="F5" s="49"/>
      <c r="G5" s="49"/>
      <c r="H5" s="50"/>
    </row>
    <row r="6" spans="1:8" x14ac:dyDescent="0.25">
      <c r="A6" s="51" t="s">
        <v>105</v>
      </c>
      <c r="B6" s="52" t="s">
        <v>106</v>
      </c>
      <c r="C6" s="51">
        <v>1</v>
      </c>
      <c r="D6" s="51" t="s">
        <v>107</v>
      </c>
      <c r="E6" s="53"/>
      <c r="F6" s="54"/>
      <c r="G6" s="51" t="s">
        <v>108</v>
      </c>
      <c r="H6" s="55">
        <f>Tariefopbouw1</f>
        <v>0</v>
      </c>
    </row>
    <row r="7" spans="1:8" x14ac:dyDescent="0.25">
      <c r="A7" s="56" t="s">
        <v>109</v>
      </c>
      <c r="B7" s="57" t="s">
        <v>106</v>
      </c>
      <c r="C7" s="56">
        <v>41</v>
      </c>
      <c r="D7" s="56" t="s">
        <v>110</v>
      </c>
      <c r="E7" s="58"/>
      <c r="F7" s="59"/>
      <c r="G7" s="56" t="s">
        <v>108</v>
      </c>
      <c r="H7" s="60">
        <f>Tariefopbouw1</f>
        <v>0</v>
      </c>
    </row>
    <row r="8" spans="1:8" x14ac:dyDescent="0.25">
      <c r="A8" s="56" t="s">
        <v>111</v>
      </c>
      <c r="B8" s="57" t="s">
        <v>112</v>
      </c>
      <c r="C8" s="56">
        <v>1</v>
      </c>
      <c r="D8" s="56" t="s">
        <v>113</v>
      </c>
      <c r="E8" s="58"/>
      <c r="F8" s="59"/>
      <c r="G8" s="56" t="s">
        <v>108</v>
      </c>
      <c r="H8" s="60">
        <f>Tariefopbouw1</f>
        <v>0</v>
      </c>
    </row>
    <row r="9" spans="1:8" x14ac:dyDescent="0.25">
      <c r="A9" s="56" t="s">
        <v>114</v>
      </c>
      <c r="B9" s="57" t="s">
        <v>112</v>
      </c>
      <c r="C9" s="56">
        <v>41</v>
      </c>
      <c r="D9" s="56" t="s">
        <v>115</v>
      </c>
      <c r="E9" s="58"/>
      <c r="F9" s="59"/>
      <c r="G9" s="56" t="s">
        <v>108</v>
      </c>
      <c r="H9" s="60">
        <f>Tariefopbouw1</f>
        <v>0</v>
      </c>
    </row>
    <row r="10" spans="1:8" x14ac:dyDescent="0.25">
      <c r="A10" s="56" t="s">
        <v>116</v>
      </c>
      <c r="B10" s="57" t="s">
        <v>112</v>
      </c>
      <c r="C10" s="56">
        <v>1</v>
      </c>
      <c r="D10" s="56" t="s">
        <v>117</v>
      </c>
      <c r="E10" s="58"/>
      <c r="F10" s="59"/>
      <c r="G10" s="56" t="s">
        <v>108</v>
      </c>
      <c r="H10" s="60">
        <f>Tariefopbouw1</f>
        <v>0</v>
      </c>
    </row>
    <row r="11" spans="1:8" x14ac:dyDescent="0.25">
      <c r="A11" s="56" t="s">
        <v>118</v>
      </c>
      <c r="B11" s="57" t="s">
        <v>112</v>
      </c>
      <c r="C11" s="56">
        <v>41</v>
      </c>
      <c r="D11" s="56" t="s">
        <v>119</v>
      </c>
      <c r="E11" s="58"/>
      <c r="F11" s="59"/>
      <c r="G11" s="56" t="s">
        <v>108</v>
      </c>
      <c r="H11" s="60">
        <f>Tariefopbouw1</f>
        <v>0</v>
      </c>
    </row>
    <row r="12" spans="1:8" x14ac:dyDescent="0.25">
      <c r="A12" s="56" t="s">
        <v>120</v>
      </c>
      <c r="B12" s="57" t="s">
        <v>112</v>
      </c>
      <c r="C12" s="56">
        <v>1</v>
      </c>
      <c r="D12" s="56" t="s">
        <v>121</v>
      </c>
      <c r="E12" s="58"/>
      <c r="F12" s="59"/>
      <c r="G12" s="56" t="s">
        <v>108</v>
      </c>
      <c r="H12" s="60">
        <f>Tariefopbouw1</f>
        <v>0</v>
      </c>
    </row>
    <row r="13" spans="1:8" x14ac:dyDescent="0.25">
      <c r="A13" s="56" t="s">
        <v>122</v>
      </c>
      <c r="B13" s="57" t="s">
        <v>112</v>
      </c>
      <c r="C13" s="56">
        <v>41</v>
      </c>
      <c r="D13" s="56" t="s">
        <v>123</v>
      </c>
      <c r="E13" s="58"/>
      <c r="F13" s="59"/>
      <c r="G13" s="56" t="s">
        <v>108</v>
      </c>
      <c r="H13" s="60">
        <f>Tariefopbouw1</f>
        <v>0</v>
      </c>
    </row>
    <row r="14" spans="1:8" x14ac:dyDescent="0.25">
      <c r="A14" s="56" t="s">
        <v>124</v>
      </c>
      <c r="B14" s="57" t="s">
        <v>125</v>
      </c>
      <c r="C14" s="56">
        <v>1</v>
      </c>
      <c r="D14" s="56" t="s">
        <v>126</v>
      </c>
      <c r="E14" s="58"/>
      <c r="F14" s="59"/>
      <c r="G14" s="56" t="s">
        <v>108</v>
      </c>
      <c r="H14" s="60">
        <f>Tariefopbouw1</f>
        <v>0</v>
      </c>
    </row>
    <row r="15" spans="1:8" x14ac:dyDescent="0.25">
      <c r="A15" s="56" t="s">
        <v>127</v>
      </c>
      <c r="B15" s="57" t="s">
        <v>125</v>
      </c>
      <c r="C15" s="56">
        <v>41</v>
      </c>
      <c r="D15" s="56" t="s">
        <v>128</v>
      </c>
      <c r="E15" s="58"/>
      <c r="F15" s="59"/>
      <c r="G15" s="56" t="s">
        <v>108</v>
      </c>
      <c r="H15" s="60">
        <f>Tariefopbouw1</f>
        <v>0</v>
      </c>
    </row>
    <row r="16" spans="1:8" x14ac:dyDescent="0.25">
      <c r="A16" s="56" t="s">
        <v>129</v>
      </c>
      <c r="B16" s="57" t="s">
        <v>125</v>
      </c>
      <c r="C16" s="56">
        <v>1</v>
      </c>
      <c r="D16" s="56" t="s">
        <v>130</v>
      </c>
      <c r="E16" s="58"/>
      <c r="F16" s="59"/>
      <c r="G16" s="56" t="s">
        <v>108</v>
      </c>
      <c r="H16" s="60">
        <f>Tariefopbouw1</f>
        <v>0</v>
      </c>
    </row>
    <row r="17" spans="1:8" x14ac:dyDescent="0.25">
      <c r="A17" s="56" t="s">
        <v>131</v>
      </c>
      <c r="B17" s="57" t="s">
        <v>125</v>
      </c>
      <c r="C17" s="56">
        <v>41</v>
      </c>
      <c r="D17" s="56" t="s">
        <v>132</v>
      </c>
      <c r="E17" s="58"/>
      <c r="F17" s="59"/>
      <c r="G17" s="56" t="s">
        <v>108</v>
      </c>
      <c r="H17" s="60">
        <f>Tariefopbouw1</f>
        <v>0</v>
      </c>
    </row>
    <row r="18" spans="1:8" x14ac:dyDescent="0.25">
      <c r="A18" s="56" t="s">
        <v>133</v>
      </c>
      <c r="B18" s="57" t="s">
        <v>125</v>
      </c>
      <c r="C18" s="56">
        <v>1</v>
      </c>
      <c r="D18" s="56" t="s">
        <v>134</v>
      </c>
      <c r="E18" s="58"/>
      <c r="F18" s="59"/>
      <c r="G18" s="56" t="s">
        <v>108</v>
      </c>
      <c r="H18" s="60">
        <f>Tariefopbouw1</f>
        <v>0</v>
      </c>
    </row>
    <row r="19" spans="1:8" x14ac:dyDescent="0.25">
      <c r="A19" s="56" t="s">
        <v>135</v>
      </c>
      <c r="B19" s="57" t="s">
        <v>125</v>
      </c>
      <c r="C19" s="56">
        <v>41</v>
      </c>
      <c r="D19" s="56" t="s">
        <v>136</v>
      </c>
      <c r="E19" s="58"/>
      <c r="F19" s="59"/>
      <c r="G19" s="56" t="s">
        <v>108</v>
      </c>
      <c r="H19" s="60">
        <f>Tariefopbouw1</f>
        <v>0</v>
      </c>
    </row>
    <row r="20" spans="1:8" x14ac:dyDescent="0.25">
      <c r="A20" s="56" t="s">
        <v>137</v>
      </c>
      <c r="B20" s="57" t="s">
        <v>125</v>
      </c>
      <c r="C20" s="56">
        <v>1</v>
      </c>
      <c r="D20" s="56" t="s">
        <v>138</v>
      </c>
      <c r="E20" s="58"/>
      <c r="F20" s="59"/>
      <c r="G20" s="56" t="s">
        <v>108</v>
      </c>
      <c r="H20" s="60">
        <f>Tariefopbouw1</f>
        <v>0</v>
      </c>
    </row>
    <row r="21" spans="1:8" x14ac:dyDescent="0.25">
      <c r="A21" s="56" t="s">
        <v>139</v>
      </c>
      <c r="B21" s="57" t="s">
        <v>125</v>
      </c>
      <c r="C21" s="56">
        <v>41</v>
      </c>
      <c r="D21" s="56" t="s">
        <v>140</v>
      </c>
      <c r="E21" s="58"/>
      <c r="F21" s="59"/>
      <c r="G21" s="56" t="s">
        <v>108</v>
      </c>
      <c r="H21" s="60">
        <f>Tariefopbouw1</f>
        <v>0</v>
      </c>
    </row>
    <row r="22" spans="1:8" x14ac:dyDescent="0.25">
      <c r="A22" s="56" t="s">
        <v>141</v>
      </c>
      <c r="B22" s="57" t="s">
        <v>125</v>
      </c>
      <c r="C22" s="56">
        <v>1</v>
      </c>
      <c r="D22" s="56" t="s">
        <v>142</v>
      </c>
      <c r="E22" s="58"/>
      <c r="F22" s="59"/>
      <c r="G22" s="56" t="s">
        <v>108</v>
      </c>
      <c r="H22" s="60">
        <f>Tariefopbouw1</f>
        <v>0</v>
      </c>
    </row>
    <row r="23" spans="1:8" x14ac:dyDescent="0.25">
      <c r="A23" s="56" t="s">
        <v>143</v>
      </c>
      <c r="B23" s="57" t="s">
        <v>125</v>
      </c>
      <c r="C23" s="56">
        <v>41</v>
      </c>
      <c r="D23" s="56" t="s">
        <v>144</v>
      </c>
      <c r="E23" s="58"/>
      <c r="F23" s="59"/>
      <c r="G23" s="56" t="s">
        <v>108</v>
      </c>
      <c r="H23" s="60">
        <f>Tariefopbouw1</f>
        <v>0</v>
      </c>
    </row>
    <row r="24" spans="1:8" x14ac:dyDescent="0.25">
      <c r="A24" s="56" t="s">
        <v>145</v>
      </c>
      <c r="B24" s="57" t="s">
        <v>125</v>
      </c>
      <c r="C24" s="56">
        <v>1</v>
      </c>
      <c r="D24" s="56" t="s">
        <v>146</v>
      </c>
      <c r="E24" s="58"/>
      <c r="F24" s="59"/>
      <c r="G24" s="56" t="s">
        <v>108</v>
      </c>
      <c r="H24" s="60">
        <f>Tariefopbouw1</f>
        <v>0</v>
      </c>
    </row>
    <row r="25" spans="1:8" x14ac:dyDescent="0.25">
      <c r="A25" s="56" t="s">
        <v>147</v>
      </c>
      <c r="B25" s="57" t="s">
        <v>125</v>
      </c>
      <c r="C25" s="56">
        <v>41</v>
      </c>
      <c r="D25" s="56" t="s">
        <v>148</v>
      </c>
      <c r="E25" s="58"/>
      <c r="F25" s="59"/>
      <c r="G25" s="56" t="s">
        <v>108</v>
      </c>
      <c r="H25" s="60">
        <f>Tariefopbouw1</f>
        <v>0</v>
      </c>
    </row>
    <row r="26" spans="1:8" x14ac:dyDescent="0.25">
      <c r="A26" s="56" t="s">
        <v>149</v>
      </c>
      <c r="B26" s="57" t="s">
        <v>125</v>
      </c>
      <c r="C26" s="56">
        <v>1</v>
      </c>
      <c r="D26" s="56" t="s">
        <v>150</v>
      </c>
      <c r="E26" s="58"/>
      <c r="F26" s="59"/>
      <c r="G26" s="56" t="s">
        <v>108</v>
      </c>
      <c r="H26" s="60">
        <f>Tariefopbouw1</f>
        <v>0</v>
      </c>
    </row>
    <row r="27" spans="1:8" x14ac:dyDescent="0.25">
      <c r="A27" s="56" t="s">
        <v>151</v>
      </c>
      <c r="B27" s="57" t="s">
        <v>125</v>
      </c>
      <c r="C27" s="56">
        <v>41</v>
      </c>
      <c r="D27" s="56" t="s">
        <v>152</v>
      </c>
      <c r="E27" s="58"/>
      <c r="F27" s="59"/>
      <c r="G27" s="56" t="s">
        <v>108</v>
      </c>
      <c r="H27" s="60">
        <f>Tariefopbouw1</f>
        <v>0</v>
      </c>
    </row>
    <row r="28" spans="1:8" x14ac:dyDescent="0.25">
      <c r="A28" s="56" t="s">
        <v>153</v>
      </c>
      <c r="B28" s="57" t="s">
        <v>154</v>
      </c>
      <c r="C28" s="56">
        <v>1</v>
      </c>
      <c r="D28" s="56" t="s">
        <v>155</v>
      </c>
      <c r="E28" s="58"/>
      <c r="F28" s="59"/>
      <c r="G28" s="56" t="s">
        <v>108</v>
      </c>
      <c r="H28" s="60">
        <f>Tariefopbouw1</f>
        <v>0</v>
      </c>
    </row>
    <row r="29" spans="1:8" x14ac:dyDescent="0.25">
      <c r="A29" s="56" t="s">
        <v>156</v>
      </c>
      <c r="B29" s="57" t="s">
        <v>154</v>
      </c>
      <c r="C29" s="56">
        <v>41</v>
      </c>
      <c r="D29" s="56" t="s">
        <v>157</v>
      </c>
      <c r="E29" s="58"/>
      <c r="F29" s="59"/>
      <c r="G29" s="56" t="s">
        <v>108</v>
      </c>
      <c r="H29" s="60">
        <f>Tariefopbouw1</f>
        <v>0</v>
      </c>
    </row>
    <row r="30" spans="1:8" x14ac:dyDescent="0.25">
      <c r="A30" s="56" t="s">
        <v>158</v>
      </c>
      <c r="B30" s="57" t="s">
        <v>154</v>
      </c>
      <c r="C30" s="56">
        <v>1</v>
      </c>
      <c r="D30" s="56" t="s">
        <v>159</v>
      </c>
      <c r="E30" s="58"/>
      <c r="F30" s="59"/>
      <c r="G30" s="56" t="s">
        <v>108</v>
      </c>
      <c r="H30" s="60">
        <f>Tariefopbouw1</f>
        <v>0</v>
      </c>
    </row>
    <row r="31" spans="1:8" x14ac:dyDescent="0.25">
      <c r="A31" s="56" t="s">
        <v>160</v>
      </c>
      <c r="B31" s="57" t="s">
        <v>154</v>
      </c>
      <c r="C31" s="56">
        <v>41</v>
      </c>
      <c r="D31" s="56" t="s">
        <v>161</v>
      </c>
      <c r="E31" s="58"/>
      <c r="F31" s="59"/>
      <c r="G31" s="56" t="s">
        <v>108</v>
      </c>
      <c r="H31" s="60">
        <f>Tariefopbouw1</f>
        <v>0</v>
      </c>
    </row>
    <row r="32" spans="1:8" x14ac:dyDescent="0.25">
      <c r="A32" s="56" t="s">
        <v>162</v>
      </c>
      <c r="B32" s="57" t="s">
        <v>154</v>
      </c>
      <c r="C32" s="56">
        <v>1</v>
      </c>
      <c r="D32" s="56" t="s">
        <v>163</v>
      </c>
      <c r="E32" s="58"/>
      <c r="F32" s="59"/>
      <c r="G32" s="56" t="s">
        <v>108</v>
      </c>
      <c r="H32" s="60">
        <f>Tariefopbouw1</f>
        <v>0</v>
      </c>
    </row>
    <row r="33" spans="1:8" x14ac:dyDescent="0.25">
      <c r="A33" s="56" t="s">
        <v>164</v>
      </c>
      <c r="B33" s="57" t="s">
        <v>154</v>
      </c>
      <c r="C33" s="56">
        <v>41</v>
      </c>
      <c r="D33" s="56" t="s">
        <v>165</v>
      </c>
      <c r="E33" s="58"/>
      <c r="F33" s="59"/>
      <c r="G33" s="56" t="s">
        <v>108</v>
      </c>
      <c r="H33" s="60">
        <f>Tariefopbouw1</f>
        <v>0</v>
      </c>
    </row>
    <row r="34" spans="1:8" x14ac:dyDescent="0.25">
      <c r="A34" s="56" t="s">
        <v>166</v>
      </c>
      <c r="B34" s="57" t="s">
        <v>154</v>
      </c>
      <c r="C34" s="56">
        <v>1</v>
      </c>
      <c r="D34" s="56" t="s">
        <v>167</v>
      </c>
      <c r="E34" s="58"/>
      <c r="F34" s="59"/>
      <c r="G34" s="56" t="s">
        <v>108</v>
      </c>
      <c r="H34" s="60">
        <f>Tariefopbouw1</f>
        <v>0</v>
      </c>
    </row>
    <row r="35" spans="1:8" x14ac:dyDescent="0.25">
      <c r="A35" s="56" t="s">
        <v>168</v>
      </c>
      <c r="B35" s="57" t="s">
        <v>154</v>
      </c>
      <c r="C35" s="56">
        <v>41</v>
      </c>
      <c r="D35" s="56" t="s">
        <v>169</v>
      </c>
      <c r="E35" s="58"/>
      <c r="F35" s="59"/>
      <c r="G35" s="56" t="s">
        <v>108</v>
      </c>
      <c r="H35" s="60">
        <f>Tariefopbouw1</f>
        <v>0</v>
      </c>
    </row>
    <row r="36" spans="1:8" x14ac:dyDescent="0.25">
      <c r="A36" s="56" t="s">
        <v>170</v>
      </c>
      <c r="B36" s="57" t="s">
        <v>154</v>
      </c>
      <c r="C36" s="56">
        <v>1</v>
      </c>
      <c r="D36" s="56" t="s">
        <v>171</v>
      </c>
      <c r="E36" s="58"/>
      <c r="F36" s="59"/>
      <c r="G36" s="56" t="s">
        <v>108</v>
      </c>
      <c r="H36" s="60">
        <f>Tariefopbouw1</f>
        <v>0</v>
      </c>
    </row>
    <row r="37" spans="1:8" x14ac:dyDescent="0.25">
      <c r="A37" s="56" t="s">
        <v>172</v>
      </c>
      <c r="B37" s="57" t="s">
        <v>154</v>
      </c>
      <c r="C37" s="56">
        <v>41</v>
      </c>
      <c r="D37" s="56" t="s">
        <v>173</v>
      </c>
      <c r="E37" s="58"/>
      <c r="F37" s="59"/>
      <c r="G37" s="56" t="s">
        <v>108</v>
      </c>
      <c r="H37" s="60">
        <f>Tariefopbouw1</f>
        <v>0</v>
      </c>
    </row>
    <row r="38" spans="1:8" x14ac:dyDescent="0.25">
      <c r="A38" s="56" t="s">
        <v>174</v>
      </c>
      <c r="B38" s="57" t="s">
        <v>154</v>
      </c>
      <c r="C38" s="56">
        <v>1</v>
      </c>
      <c r="D38" s="56" t="s">
        <v>175</v>
      </c>
      <c r="E38" s="58"/>
      <c r="F38" s="59"/>
      <c r="G38" s="56" t="s">
        <v>108</v>
      </c>
      <c r="H38" s="60">
        <f>Tariefopbouw1</f>
        <v>0</v>
      </c>
    </row>
    <row r="39" spans="1:8" x14ac:dyDescent="0.25">
      <c r="A39" s="56" t="s">
        <v>176</v>
      </c>
      <c r="B39" s="57" t="s">
        <v>154</v>
      </c>
      <c r="C39" s="56">
        <v>41</v>
      </c>
      <c r="D39" s="56" t="s">
        <v>177</v>
      </c>
      <c r="E39" s="58"/>
      <c r="F39" s="59"/>
      <c r="G39" s="56" t="s">
        <v>108</v>
      </c>
      <c r="H39" s="60">
        <f>Tariefopbouw1</f>
        <v>0</v>
      </c>
    </row>
    <row r="40" spans="1:8" x14ac:dyDescent="0.25">
      <c r="A40" s="56" t="s">
        <v>178</v>
      </c>
      <c r="B40" s="57" t="s">
        <v>154</v>
      </c>
      <c r="C40" s="56">
        <v>1</v>
      </c>
      <c r="D40" s="56" t="s">
        <v>179</v>
      </c>
      <c r="E40" s="58"/>
      <c r="F40" s="59"/>
      <c r="G40" s="56" t="s">
        <v>108</v>
      </c>
      <c r="H40" s="60">
        <f>Tariefopbouw1</f>
        <v>0</v>
      </c>
    </row>
    <row r="41" spans="1:8" x14ac:dyDescent="0.25">
      <c r="A41" s="56" t="s">
        <v>180</v>
      </c>
      <c r="B41" s="57" t="s">
        <v>154</v>
      </c>
      <c r="C41" s="56">
        <v>41</v>
      </c>
      <c r="D41" s="56" t="s">
        <v>181</v>
      </c>
      <c r="E41" s="58"/>
      <c r="F41" s="59"/>
      <c r="G41" s="56" t="s">
        <v>108</v>
      </c>
      <c r="H41" s="60">
        <f>Tariefopbouw1</f>
        <v>0</v>
      </c>
    </row>
    <row r="42" spans="1:8" x14ac:dyDescent="0.25">
      <c r="A42" s="56" t="s">
        <v>182</v>
      </c>
      <c r="B42" s="57" t="s">
        <v>154</v>
      </c>
      <c r="C42" s="56">
        <v>1</v>
      </c>
      <c r="D42" s="56" t="s">
        <v>183</v>
      </c>
      <c r="E42" s="58"/>
      <c r="F42" s="59"/>
      <c r="G42" s="56" t="s">
        <v>108</v>
      </c>
      <c r="H42" s="60">
        <f>Tariefopbouw1</f>
        <v>0</v>
      </c>
    </row>
    <row r="43" spans="1:8" x14ac:dyDescent="0.25">
      <c r="A43" s="56" t="s">
        <v>184</v>
      </c>
      <c r="B43" s="57" t="s">
        <v>154</v>
      </c>
      <c r="C43" s="56">
        <v>41</v>
      </c>
      <c r="D43" s="56" t="s">
        <v>185</v>
      </c>
      <c r="E43" s="58"/>
      <c r="F43" s="59"/>
      <c r="G43" s="56" t="s">
        <v>108</v>
      </c>
      <c r="H43" s="60">
        <f>Tariefopbouw1</f>
        <v>0</v>
      </c>
    </row>
    <row r="44" spans="1:8" x14ac:dyDescent="0.25">
      <c r="A44" s="61" t="s">
        <v>186</v>
      </c>
      <c r="B44" s="62" t="s">
        <v>187</v>
      </c>
      <c r="C44" s="61">
        <v>1</v>
      </c>
      <c r="D44" s="61" t="s">
        <v>188</v>
      </c>
      <c r="E44" s="63"/>
      <c r="F44" s="64"/>
      <c r="G44" s="61" t="s">
        <v>108</v>
      </c>
      <c r="H44" s="65">
        <f>Tariefopbouw2</f>
        <v>0</v>
      </c>
    </row>
  </sheetData>
  <sheetProtection algorithmName="SHA-512" hashValue="G23C4gQjfGLkS4V4BpNZ84NB7VC73LejOs2LUn4vSf/hnptb7icm1pcsHZAGq+KNyY4DR7zm/+Jo5t5D0khwnA==" saltValue="sgiD//1OGD+rQ+vzh0a8FQ==" spinCount="100000" sheet="1" objects="1" scenarios="1" autoFilter="0"/>
  <pageMargins left="0.7" right="0.7" top="0.75" bottom="0.75" header="0.3" footer="0.3"/>
  <pageSetup scale="70" orientation="landscape" horizontalDpi="300" verticalDpi="300" r:id="rId1"/>
  <headerFooter>
    <oddFooter>&amp;LOns Middelbaar Onderwijs                                    
CONCEPT PER 01-08-2026&amp;ROpmaakdatum: 15-01-2026
Intexso - Plantageweg 23E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6A231-704C-426C-95E3-ED5854E85C11}">
  <dimension ref="A1:N34"/>
  <sheetViews>
    <sheetView workbookViewId="0"/>
  </sheetViews>
  <sheetFormatPr defaultRowHeight="11.5" x14ac:dyDescent="0.25"/>
  <cols>
    <col min="1" max="1" width="7.6328125" customWidth="1"/>
    <col min="2" max="2" width="6.6328125" customWidth="1"/>
    <col min="3" max="3" width="12.6328125" customWidth="1"/>
    <col min="4" max="4" width="35.6328125" customWidth="1"/>
    <col min="5" max="5" width="12.6328125" customWidth="1"/>
    <col min="6" max="8" width="11.6328125" customWidth="1"/>
    <col min="9" max="9" width="9.6328125" customWidth="1"/>
    <col min="10" max="12" width="11.6328125" customWidth="1"/>
    <col min="13" max="13" width="12.6328125" customWidth="1"/>
    <col min="14" max="14" width="14.6328125" customWidth="1"/>
  </cols>
  <sheetData>
    <row r="1" spans="1:14" x14ac:dyDescent="0.25">
      <c r="A1" s="1" t="str">
        <f>CONCATENATE("Bijlage 7.5.2: ",tabeltype," regulier werk")</f>
        <v>Bijlage 7.5.2: Invultabel regulier werk</v>
      </c>
    </row>
    <row r="3" spans="1:14" ht="34.5" x14ac:dyDescent="0.25">
      <c r="A3" s="44" t="s">
        <v>189</v>
      </c>
      <c r="B3" s="44" t="s">
        <v>7</v>
      </c>
      <c r="C3" s="44" t="s">
        <v>190</v>
      </c>
      <c r="D3" s="44" t="s">
        <v>99</v>
      </c>
      <c r="E3" s="44" t="s">
        <v>191</v>
      </c>
      <c r="F3" s="44" t="s">
        <v>192</v>
      </c>
      <c r="G3" s="44" t="s">
        <v>100</v>
      </c>
      <c r="H3" s="44" t="s">
        <v>101</v>
      </c>
      <c r="I3" s="44" t="s">
        <v>102</v>
      </c>
      <c r="J3" s="44" t="s">
        <v>103</v>
      </c>
      <c r="K3" s="44" t="s">
        <v>193</v>
      </c>
      <c r="L3" s="44" t="s">
        <v>194</v>
      </c>
      <c r="M3" s="44" t="s">
        <v>195</v>
      </c>
      <c r="N3" s="44" t="s">
        <v>196</v>
      </c>
    </row>
    <row r="4" spans="1:14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48" t="s">
        <v>104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50"/>
    </row>
    <row r="6" spans="1:14" x14ac:dyDescent="0.25">
      <c r="A6" s="51" t="s">
        <v>197</v>
      </c>
      <c r="B6" s="51" t="s">
        <v>9</v>
      </c>
      <c r="C6" s="51" t="s">
        <v>198</v>
      </c>
      <c r="D6" s="51" t="s">
        <v>199</v>
      </c>
      <c r="E6" s="66">
        <v>15</v>
      </c>
      <c r="F6" s="66">
        <f>E6*VLOOKUP(B6,dagsoorttabel1,2,FALSE)</f>
        <v>15.374999999999998</v>
      </c>
      <c r="G6" s="67">
        <f>IF(AND(catpn_1_BKHB_1&gt;0,catpn_1_BKHV_41&gt;0),(dagenperjaar1*VLOOKUP(B6,dagsoorttabel1,2,FALSE))/(((dagenperjaar1*VLOOKUP(B6,dagsoorttabel1,2,FALSE))-catfd_1_BKHV_41)/catpn_1_BKHB_1+catfd_1_BKHV_41/catpn_1_BKHV_41),0)</f>
        <v>0</v>
      </c>
      <c r="H6" s="68">
        <f>IF(AND(catpn_1_BKHB_1&gt;0,catpn_1_BKHV_41&gt;0),(catdw_1_BKHB_1*((dagenperjaar1*VLOOKUP(B6,dagsoorttabel1,2,FALSE))-catfd_1_BKHV_41)/catpn_1_BKHB_1+catdw_1_BKHV_41*catfd_1_BKHV_41/catpn_1_BKHV_41)/(((dagenperjaar1*VLOOKUP(B6,dagsoorttabel1,2,FALSE))-catfd_1_BKHV_41)/catpn_1_BKHB_1+catfd_1_BKHV_41/catpn_1_BKHV_41),0)</f>
        <v>0</v>
      </c>
      <c r="I6" s="51" t="s">
        <v>108</v>
      </c>
      <c r="J6" s="55">
        <f>IF(AND(catpn_1_BKHB_1&gt;0,catpn_1_BKHV_41&gt;0),(cattf_1_BKHB_1*((dagenperjaar1*VLOOKUP(B6,dagsoorttabel1,2,FALSE))-catfd_1_BKHV_41)/catpn_1_BKHB_1+cattf_1_BKHV_41*catfd_1_BKHV_41/catpn_1_BKHV_41)/(((dagenperjaar1*VLOOKUP(B6,dagsoorttabel1,2,FALSE))-catfd_1_BKHV_41)/catpn_1_BKHB_1+catfd_1_BKHV_41/catpn_1_BKHV_41),0)</f>
        <v>0</v>
      </c>
      <c r="K6" s="66">
        <f>IF(OR(ISBLANK(G6),G6=0),0,F6/ROUND(G6,4))</f>
        <v>0</v>
      </c>
      <c r="L6" s="55">
        <f>ROUND(J6,2)*K6</f>
        <v>0</v>
      </c>
      <c r="M6" s="66">
        <f>K6*dagenperjaar1</f>
        <v>0</v>
      </c>
      <c r="N6" s="55">
        <f>M6*ROUND(J6,2)</f>
        <v>0</v>
      </c>
    </row>
    <row r="7" spans="1:14" x14ac:dyDescent="0.25">
      <c r="A7" s="56" t="s">
        <v>197</v>
      </c>
      <c r="B7" s="56" t="s">
        <v>16</v>
      </c>
      <c r="C7" s="56" t="s">
        <v>198</v>
      </c>
      <c r="D7" s="56" t="s">
        <v>199</v>
      </c>
      <c r="E7" s="69">
        <v>519</v>
      </c>
      <c r="F7" s="69">
        <f>E7*VLOOKUP(B7,dagsoorttabel1,2,FALSE)</f>
        <v>106.395</v>
      </c>
      <c r="G7" s="70">
        <f>IF(AND(catpn_1_BKHB_1&gt;0,catpn_1_BKHV_41&gt;0),(dagenperjaar1*VLOOKUP(B7,dagsoorttabel1,2,FALSE))/(((dagenperjaar1*VLOOKUP(B7,dagsoorttabel1,2,FALSE))-catfd_1_BKHV_41)/catpn_1_BKHB_1+catfd_1_BKHV_41/catpn_1_BKHV_41),0)</f>
        <v>0</v>
      </c>
      <c r="H7" s="71">
        <f>IF(AND(catpn_1_BKHB_1&gt;0,catpn_1_BKHV_41&gt;0),(catdw_1_BKHB_1*((dagenperjaar1*VLOOKUP(B7,dagsoorttabel1,2,FALSE))-catfd_1_BKHV_41)/catpn_1_BKHB_1+catdw_1_BKHV_41*catfd_1_BKHV_41/catpn_1_BKHV_41)/(((dagenperjaar1*VLOOKUP(B7,dagsoorttabel1,2,FALSE))-catfd_1_BKHV_41)/catpn_1_BKHB_1+catfd_1_BKHV_41/catpn_1_BKHV_41),0)</f>
        <v>0</v>
      </c>
      <c r="I7" s="56" t="s">
        <v>108</v>
      </c>
      <c r="J7" s="60">
        <f>IF(AND(catpn_1_BKHB_1&gt;0,catpn_1_BKHV_41&gt;0),(cattf_1_BKHB_1*((dagenperjaar1*VLOOKUP(B7,dagsoorttabel1,2,FALSE))-catfd_1_BKHV_41)/catpn_1_BKHB_1+cattf_1_BKHV_41*catfd_1_BKHV_41/catpn_1_BKHV_41)/(((dagenperjaar1*VLOOKUP(B7,dagsoorttabel1,2,FALSE))-catfd_1_BKHV_41)/catpn_1_BKHB_1+catfd_1_BKHV_41/catpn_1_BKHV_41),0)</f>
        <v>0</v>
      </c>
      <c r="K7" s="69">
        <f>IF(OR(ISBLANK(G7),G7=0),0,F7/ROUND(G7,4))</f>
        <v>0</v>
      </c>
      <c r="L7" s="60">
        <f>ROUND(J7,2)*K7</f>
        <v>0</v>
      </c>
      <c r="M7" s="69">
        <f>K7*dagenperjaar1</f>
        <v>0</v>
      </c>
      <c r="N7" s="60">
        <f>M7*ROUND(J7,2)</f>
        <v>0</v>
      </c>
    </row>
    <row r="8" spans="1:14" x14ac:dyDescent="0.25">
      <c r="A8" s="56" t="s">
        <v>200</v>
      </c>
      <c r="B8" s="56" t="s">
        <v>16</v>
      </c>
      <c r="C8" s="56" t="s">
        <v>198</v>
      </c>
      <c r="D8" s="56" t="s">
        <v>201</v>
      </c>
      <c r="E8" s="69">
        <v>163</v>
      </c>
      <c r="F8" s="69">
        <f>E8*VLOOKUP(B8,dagsoorttabel1,2,FALSE)</f>
        <v>33.414999999999999</v>
      </c>
      <c r="G8" s="70">
        <f>IF(AND(catpn_1_BVHB_1&gt;0,catpn_1_BVHV_41&gt;0),(dagenperjaar1*VLOOKUP(B8,dagsoorttabel1,2,FALSE))/(((dagenperjaar1*VLOOKUP(B8,dagsoorttabel1,2,FALSE))-catfd_1_BVHV_41)/catpn_1_BVHB_1+catfd_1_BVHV_41/catpn_1_BVHV_41),0)</f>
        <v>0</v>
      </c>
      <c r="H8" s="71">
        <f>IF(AND(catpn_1_BVHB_1&gt;0,catpn_1_BVHV_41&gt;0),(catdw_1_BVHB_1*((dagenperjaar1*VLOOKUP(B8,dagsoorttabel1,2,FALSE))-catfd_1_BVHV_41)/catpn_1_BVHB_1+catdw_1_BVHV_41*catfd_1_BVHV_41/catpn_1_BVHV_41)/(((dagenperjaar1*VLOOKUP(B8,dagsoorttabel1,2,FALSE))-catfd_1_BVHV_41)/catpn_1_BVHB_1+catfd_1_BVHV_41/catpn_1_BVHV_41),0)</f>
        <v>0</v>
      </c>
      <c r="I8" s="56" t="s">
        <v>108</v>
      </c>
      <c r="J8" s="60">
        <f>IF(AND(catpn_1_BVHB_1&gt;0,catpn_1_BVHV_41&gt;0),(cattf_1_BVHB_1*((dagenperjaar1*VLOOKUP(B8,dagsoorttabel1,2,FALSE))-catfd_1_BVHV_41)/catpn_1_BVHB_1+cattf_1_BVHV_41*catfd_1_BVHV_41/catpn_1_BVHV_41)/(((dagenperjaar1*VLOOKUP(B8,dagsoorttabel1,2,FALSE))-catfd_1_BVHV_41)/catpn_1_BVHB_1+catfd_1_BVHV_41/catpn_1_BVHV_41),0)</f>
        <v>0</v>
      </c>
      <c r="K8" s="69">
        <f>IF(OR(ISBLANK(G8),G8=0),0,F8/ROUND(G8,4))</f>
        <v>0</v>
      </c>
      <c r="L8" s="60">
        <f>ROUND(J8,2)*K8</f>
        <v>0</v>
      </c>
      <c r="M8" s="69">
        <f>K8*dagenperjaar1</f>
        <v>0</v>
      </c>
      <c r="N8" s="60">
        <f>M8*ROUND(J8,2)</f>
        <v>0</v>
      </c>
    </row>
    <row r="9" spans="1:14" x14ac:dyDescent="0.25">
      <c r="A9" s="56" t="s">
        <v>202</v>
      </c>
      <c r="B9" s="56" t="s">
        <v>9</v>
      </c>
      <c r="C9" s="56" t="s">
        <v>198</v>
      </c>
      <c r="D9" s="56" t="s">
        <v>203</v>
      </c>
      <c r="E9" s="69">
        <v>994</v>
      </c>
      <c r="F9" s="69">
        <f>E9*VLOOKUP(B9,dagsoorttabel1,2,FALSE)</f>
        <v>1018.8499999999999</v>
      </c>
      <c r="G9" s="70">
        <f>IF(AND(catpn_1_GSHB_1&gt;0,catpn_1_GSHV_41&gt;0),(dagenperjaar1*VLOOKUP(B9,dagsoorttabel1,2,FALSE))/(((dagenperjaar1*VLOOKUP(B9,dagsoorttabel1,2,FALSE))-catfd_1_GSHV_41)/catpn_1_GSHB_1+catfd_1_GSHV_41/catpn_1_GSHV_41),0)</f>
        <v>0</v>
      </c>
      <c r="H9" s="71">
        <f>IF(AND(catpn_1_GSHB_1&gt;0,catpn_1_GSHV_41&gt;0),(catdw_1_GSHB_1*((dagenperjaar1*VLOOKUP(B9,dagsoorttabel1,2,FALSE))-catfd_1_GSHV_41)/catpn_1_GSHB_1+catdw_1_GSHV_41*catfd_1_GSHV_41/catpn_1_GSHV_41)/(((dagenperjaar1*VLOOKUP(B9,dagsoorttabel1,2,FALSE))-catfd_1_GSHV_41)/catpn_1_GSHB_1+catfd_1_GSHV_41/catpn_1_GSHV_41),0)</f>
        <v>0</v>
      </c>
      <c r="I9" s="56" t="s">
        <v>108</v>
      </c>
      <c r="J9" s="60">
        <f>IF(AND(catpn_1_GSHB_1&gt;0,catpn_1_GSHV_41&gt;0),(cattf_1_GSHB_1*((dagenperjaar1*VLOOKUP(B9,dagsoorttabel1,2,FALSE))-catfd_1_GSHV_41)/catpn_1_GSHB_1+cattf_1_GSHV_41*catfd_1_GSHV_41/catpn_1_GSHV_41)/(((dagenperjaar1*VLOOKUP(B9,dagsoorttabel1,2,FALSE))-catfd_1_GSHV_41)/catpn_1_GSHB_1+catfd_1_GSHV_41/catpn_1_GSHV_41),0)</f>
        <v>0</v>
      </c>
      <c r="K9" s="69">
        <f>IF(OR(ISBLANK(G9),G9=0),0,F9/ROUND(G9,4))</f>
        <v>0</v>
      </c>
      <c r="L9" s="60">
        <f>ROUND(J9,2)*K9</f>
        <v>0</v>
      </c>
      <c r="M9" s="69">
        <f>K9*dagenperjaar1</f>
        <v>0</v>
      </c>
      <c r="N9" s="60">
        <f>M9*ROUND(J9,2)</f>
        <v>0</v>
      </c>
    </row>
    <row r="10" spans="1:14" x14ac:dyDescent="0.25">
      <c r="A10" s="56" t="s">
        <v>204</v>
      </c>
      <c r="B10" s="56" t="s">
        <v>9</v>
      </c>
      <c r="C10" s="56" t="s">
        <v>198</v>
      </c>
      <c r="D10" s="56" t="s">
        <v>205</v>
      </c>
      <c r="E10" s="69">
        <v>599</v>
      </c>
      <c r="F10" s="69">
        <f>E10*VLOOKUP(B10,dagsoorttabel1,2,FALSE)</f>
        <v>613.97499999999991</v>
      </c>
      <c r="G10" s="70">
        <f>IF(AND(catpn_1_KAHB_1&gt;0,catpn_1_KAHV_41&gt;0),(dagenperjaar1*VLOOKUP(B10,dagsoorttabel1,2,FALSE))/(((dagenperjaar1*VLOOKUP(B10,dagsoorttabel1,2,FALSE))-catfd_1_KAHV_41)/catpn_1_KAHB_1+catfd_1_KAHV_41/catpn_1_KAHV_41),0)</f>
        <v>0</v>
      </c>
      <c r="H10" s="71">
        <f>IF(AND(catpn_1_KAHB_1&gt;0,catpn_1_KAHV_41&gt;0),(catdw_1_KAHB_1*((dagenperjaar1*VLOOKUP(B10,dagsoorttabel1,2,FALSE))-catfd_1_KAHV_41)/catpn_1_KAHB_1+catdw_1_KAHV_41*catfd_1_KAHV_41/catpn_1_KAHV_41)/(((dagenperjaar1*VLOOKUP(B10,dagsoorttabel1,2,FALSE))-catfd_1_KAHV_41)/catpn_1_KAHB_1+catfd_1_KAHV_41/catpn_1_KAHV_41),0)</f>
        <v>0</v>
      </c>
      <c r="I10" s="56" t="s">
        <v>108</v>
      </c>
      <c r="J10" s="60">
        <f>IF(AND(catpn_1_KAHB_1&gt;0,catpn_1_KAHV_41&gt;0),(cattf_1_KAHB_1*((dagenperjaar1*VLOOKUP(B10,dagsoorttabel1,2,FALSE))-catfd_1_KAHV_41)/catpn_1_KAHB_1+cattf_1_KAHV_41*catfd_1_KAHV_41/catpn_1_KAHV_41)/(((dagenperjaar1*VLOOKUP(B10,dagsoorttabel1,2,FALSE))-catfd_1_KAHV_41)/catpn_1_KAHB_1+catfd_1_KAHV_41/catpn_1_KAHV_41),0)</f>
        <v>0</v>
      </c>
      <c r="K10" s="69">
        <f>IF(OR(ISBLANK(G10),G10=0),0,F10/ROUND(G10,4))</f>
        <v>0</v>
      </c>
      <c r="L10" s="60">
        <f>ROUND(J10,2)*K10</f>
        <v>0</v>
      </c>
      <c r="M10" s="69">
        <f>K10*dagenperjaar1</f>
        <v>0</v>
      </c>
      <c r="N10" s="60">
        <f>M10*ROUND(J10,2)</f>
        <v>0</v>
      </c>
    </row>
    <row r="11" spans="1:14" x14ac:dyDescent="0.25">
      <c r="A11" s="56" t="s">
        <v>206</v>
      </c>
      <c r="B11" s="56" t="s">
        <v>9</v>
      </c>
      <c r="C11" s="56" t="s">
        <v>198</v>
      </c>
      <c r="D11" s="56" t="s">
        <v>207</v>
      </c>
      <c r="E11" s="69">
        <v>126</v>
      </c>
      <c r="F11" s="69">
        <f>E11*VLOOKUP(B11,dagsoorttabel1,2,FALSE)</f>
        <v>129.14999999999998</v>
      </c>
      <c r="G11" s="70">
        <f>IF(AND(catpn_1_KDHB_1&gt;0,catpn_1_KDHV_41&gt;0),(dagenperjaar1*VLOOKUP(B11,dagsoorttabel1,2,FALSE))/(((dagenperjaar1*VLOOKUP(B11,dagsoorttabel1,2,FALSE))-catfd_1_KDHV_41)/catpn_1_KDHB_1+catfd_1_KDHV_41/catpn_1_KDHV_41),0)</f>
        <v>0</v>
      </c>
      <c r="H11" s="71">
        <f>IF(AND(catpn_1_KDHB_1&gt;0,catpn_1_KDHV_41&gt;0),(catdw_1_KDHB_1*((dagenperjaar1*VLOOKUP(B11,dagsoorttabel1,2,FALSE))-catfd_1_KDHV_41)/catpn_1_KDHB_1+catdw_1_KDHV_41*catfd_1_KDHV_41/catpn_1_KDHV_41)/(((dagenperjaar1*VLOOKUP(B11,dagsoorttabel1,2,FALSE))-catfd_1_KDHV_41)/catpn_1_KDHB_1+catfd_1_KDHV_41/catpn_1_KDHV_41),0)</f>
        <v>0</v>
      </c>
      <c r="I11" s="56" t="s">
        <v>108</v>
      </c>
      <c r="J11" s="60">
        <f>IF(AND(catpn_1_KDHB_1&gt;0,catpn_1_KDHV_41&gt;0),(cattf_1_KDHB_1*((dagenperjaar1*VLOOKUP(B11,dagsoorttabel1,2,FALSE))-catfd_1_KDHV_41)/catpn_1_KDHB_1+cattf_1_KDHV_41*catfd_1_KDHV_41/catpn_1_KDHV_41)/(((dagenperjaar1*VLOOKUP(B11,dagsoorttabel1,2,FALSE))-catfd_1_KDHV_41)/catpn_1_KDHB_1+catfd_1_KDHV_41/catpn_1_KDHV_41),0)</f>
        <v>0</v>
      </c>
      <c r="K11" s="69">
        <f>IF(OR(ISBLANK(G11),G11=0),0,F11/ROUND(G11,4))</f>
        <v>0</v>
      </c>
      <c r="L11" s="60">
        <f>ROUND(J11,2)*K11</f>
        <v>0</v>
      </c>
      <c r="M11" s="69">
        <f>K11*dagenperjaar1</f>
        <v>0</v>
      </c>
      <c r="N11" s="60">
        <f>M11*ROUND(J11,2)</f>
        <v>0</v>
      </c>
    </row>
    <row r="12" spans="1:14" x14ac:dyDescent="0.25">
      <c r="A12" s="56" t="s">
        <v>208</v>
      </c>
      <c r="B12" s="56" t="s">
        <v>12</v>
      </c>
      <c r="C12" s="56" t="s">
        <v>198</v>
      </c>
      <c r="D12" s="56" t="s">
        <v>209</v>
      </c>
      <c r="E12" s="69">
        <v>2011</v>
      </c>
      <c r="F12" s="69">
        <f>E12*VLOOKUP(B12,dagsoorttabel1,2,FALSE)</f>
        <v>1236.7649999999999</v>
      </c>
      <c r="G12" s="70">
        <f>IF(AND(catpn_1_LLHB_1&gt;0,catpn_1_LLHV_41&gt;0),(dagenperjaar1*VLOOKUP(B12,dagsoorttabel1,2,FALSE))/(((dagenperjaar1*VLOOKUP(B12,dagsoorttabel1,2,FALSE))-catfd_1_LLHV_41)/catpn_1_LLHB_1+catfd_1_LLHV_41/catpn_1_LLHV_41),0)</f>
        <v>0</v>
      </c>
      <c r="H12" s="71">
        <f>IF(AND(catpn_1_LLHB_1&gt;0,catpn_1_LLHV_41&gt;0),(catdw_1_LLHB_1*((dagenperjaar1*VLOOKUP(B12,dagsoorttabel1,2,FALSE))-catfd_1_LLHV_41)/catpn_1_LLHB_1+catdw_1_LLHV_41*catfd_1_LLHV_41/catpn_1_LLHV_41)/(((dagenperjaar1*VLOOKUP(B12,dagsoorttabel1,2,FALSE))-catfd_1_LLHV_41)/catpn_1_LLHB_1+catfd_1_LLHV_41/catpn_1_LLHV_41),0)</f>
        <v>0</v>
      </c>
      <c r="I12" s="56" t="s">
        <v>108</v>
      </c>
      <c r="J12" s="60">
        <f>IF(AND(catpn_1_LLHB_1&gt;0,catpn_1_LLHV_41&gt;0),(cattf_1_LLHB_1*((dagenperjaar1*VLOOKUP(B12,dagsoorttabel1,2,FALSE))-catfd_1_LLHV_41)/catpn_1_LLHB_1+cattf_1_LLHV_41*catfd_1_LLHV_41/catpn_1_LLHV_41)/(((dagenperjaar1*VLOOKUP(B12,dagsoorttabel1,2,FALSE))-catfd_1_LLHV_41)/catpn_1_LLHB_1+catfd_1_LLHV_41/catpn_1_LLHV_41),0)</f>
        <v>0</v>
      </c>
      <c r="K12" s="69">
        <f>IF(OR(ISBLANK(G12),G12=0),0,F12/ROUND(G12,4))</f>
        <v>0</v>
      </c>
      <c r="L12" s="60">
        <f>ROUND(J12,2)*K12</f>
        <v>0</v>
      </c>
      <c r="M12" s="69">
        <f>K12*dagenperjaar1</f>
        <v>0</v>
      </c>
      <c r="N12" s="60">
        <f>M12*ROUND(J12,2)</f>
        <v>0</v>
      </c>
    </row>
    <row r="13" spans="1:14" x14ac:dyDescent="0.25">
      <c r="A13" s="56" t="s">
        <v>210</v>
      </c>
      <c r="B13" s="56" t="s">
        <v>9</v>
      </c>
      <c r="C13" s="56" t="s">
        <v>198</v>
      </c>
      <c r="D13" s="56" t="s">
        <v>211</v>
      </c>
      <c r="E13" s="69">
        <v>262</v>
      </c>
      <c r="F13" s="69">
        <f>E13*VLOOKUP(B13,dagsoorttabel1,2,FALSE)</f>
        <v>268.54999999999995</v>
      </c>
      <c r="G13" s="70">
        <f>IF(AND(catpn_1_LOHB_1&gt;0,catpn_1_LOHV_41&gt;0),(dagenperjaar1*VLOOKUP(B13,dagsoorttabel1,2,FALSE))/(((dagenperjaar1*VLOOKUP(B13,dagsoorttabel1,2,FALSE))-catfd_1_LOHV_41)/catpn_1_LOHB_1+catfd_1_LOHV_41/catpn_1_LOHV_41),0)</f>
        <v>0</v>
      </c>
      <c r="H13" s="71">
        <f>IF(AND(catpn_1_LOHB_1&gt;0,catpn_1_LOHV_41&gt;0),(catdw_1_LOHB_1*((dagenperjaar1*VLOOKUP(B13,dagsoorttabel1,2,FALSE))-catfd_1_LOHV_41)/catpn_1_LOHB_1+catdw_1_LOHV_41*catfd_1_LOHV_41/catpn_1_LOHV_41)/(((dagenperjaar1*VLOOKUP(B13,dagsoorttabel1,2,FALSE))-catfd_1_LOHV_41)/catpn_1_LOHB_1+catfd_1_LOHV_41/catpn_1_LOHV_41),0)</f>
        <v>0</v>
      </c>
      <c r="I13" s="56" t="s">
        <v>108</v>
      </c>
      <c r="J13" s="60">
        <f>IF(AND(catpn_1_LOHB_1&gt;0,catpn_1_LOHV_41&gt;0),(cattf_1_LOHB_1*((dagenperjaar1*VLOOKUP(B13,dagsoorttabel1,2,FALSE))-catfd_1_LOHV_41)/catpn_1_LOHB_1+cattf_1_LOHV_41*catfd_1_LOHV_41/catpn_1_LOHV_41)/(((dagenperjaar1*VLOOKUP(B13,dagsoorttabel1,2,FALSE))-catfd_1_LOHV_41)/catpn_1_LOHB_1+catfd_1_LOHV_41/catpn_1_LOHV_41),0)</f>
        <v>0</v>
      </c>
      <c r="K13" s="69">
        <f>IF(OR(ISBLANK(G13),G13=0),0,F13/ROUND(G13,4))</f>
        <v>0</v>
      </c>
      <c r="L13" s="60">
        <f>ROUND(J13,2)*K13</f>
        <v>0</v>
      </c>
      <c r="M13" s="69">
        <f>K13*dagenperjaar1</f>
        <v>0</v>
      </c>
      <c r="N13" s="60">
        <f>M13*ROUND(J13,2)</f>
        <v>0</v>
      </c>
    </row>
    <row r="14" spans="1:14" x14ac:dyDescent="0.25">
      <c r="A14" s="56" t="s">
        <v>212</v>
      </c>
      <c r="B14" s="56" t="s">
        <v>9</v>
      </c>
      <c r="C14" s="56" t="s">
        <v>198</v>
      </c>
      <c r="D14" s="56" t="s">
        <v>213</v>
      </c>
      <c r="E14" s="69">
        <v>119</v>
      </c>
      <c r="F14" s="69">
        <f>E14*VLOOKUP(B14,dagsoorttabel1,2,FALSE)</f>
        <v>121.97499999999999</v>
      </c>
      <c r="G14" s="70">
        <f>IF(AND(catpn_1_MAHB_1&gt;0,catpn_1_MAHV_41&gt;0),(dagenperjaar1*VLOOKUP(B14,dagsoorttabel1,2,FALSE))/(((dagenperjaar1*VLOOKUP(B14,dagsoorttabel1,2,FALSE))-catfd_1_MAHV_41)/catpn_1_MAHB_1+catfd_1_MAHV_41/catpn_1_MAHV_41),0)</f>
        <v>0</v>
      </c>
      <c r="H14" s="71">
        <f>IF(AND(catpn_1_MAHB_1&gt;0,catpn_1_MAHV_41&gt;0),(catdw_1_MAHB_1*((dagenperjaar1*VLOOKUP(B14,dagsoorttabel1,2,FALSE))-catfd_1_MAHV_41)/catpn_1_MAHB_1+catdw_1_MAHV_41*catfd_1_MAHV_41/catpn_1_MAHV_41)/(((dagenperjaar1*VLOOKUP(B14,dagsoorttabel1,2,FALSE))-catfd_1_MAHV_41)/catpn_1_MAHB_1+catfd_1_MAHV_41/catpn_1_MAHV_41),0)</f>
        <v>0</v>
      </c>
      <c r="I14" s="56" t="s">
        <v>108</v>
      </c>
      <c r="J14" s="60">
        <f>IF(AND(catpn_1_MAHB_1&gt;0,catpn_1_MAHV_41&gt;0),(cattf_1_MAHB_1*((dagenperjaar1*VLOOKUP(B14,dagsoorttabel1,2,FALSE))-catfd_1_MAHV_41)/catpn_1_MAHB_1+cattf_1_MAHV_41*catfd_1_MAHV_41/catpn_1_MAHV_41)/(((dagenperjaar1*VLOOKUP(B14,dagsoorttabel1,2,FALSE))-catfd_1_MAHV_41)/catpn_1_MAHB_1+catfd_1_MAHV_41/catpn_1_MAHV_41),0)</f>
        <v>0</v>
      </c>
      <c r="K14" s="69">
        <f>IF(OR(ISBLANK(G14),G14=0),0,F14/ROUND(G14,4))</f>
        <v>0</v>
      </c>
      <c r="L14" s="60">
        <f>ROUND(J14,2)*K14</f>
        <v>0</v>
      </c>
      <c r="M14" s="69">
        <f>K14*dagenperjaar1</f>
        <v>0</v>
      </c>
      <c r="N14" s="60">
        <f>M14*ROUND(J14,2)</f>
        <v>0</v>
      </c>
    </row>
    <row r="15" spans="1:14" x14ac:dyDescent="0.25">
      <c r="A15" s="56" t="s">
        <v>214</v>
      </c>
      <c r="B15" s="56" t="s">
        <v>12</v>
      </c>
      <c r="C15" s="56" t="s">
        <v>198</v>
      </c>
      <c r="D15" s="56" t="s">
        <v>215</v>
      </c>
      <c r="E15" s="69">
        <v>309</v>
      </c>
      <c r="F15" s="69">
        <f>E15*VLOOKUP(B15,dagsoorttabel1,2,FALSE)</f>
        <v>190.035</v>
      </c>
      <c r="G15" s="70">
        <f>IF(AND(catpn_1_PAHB_1&gt;0,catpn_1_PAHV_41&gt;0),(dagenperjaar1*VLOOKUP(B15,dagsoorttabel1,2,FALSE))/(((dagenperjaar1*VLOOKUP(B15,dagsoorttabel1,2,FALSE))-catfd_1_PAHV_41)/catpn_1_PAHB_1+catfd_1_PAHV_41/catpn_1_PAHV_41),0)</f>
        <v>0</v>
      </c>
      <c r="H15" s="71">
        <f>IF(AND(catpn_1_PAHB_1&gt;0,catpn_1_PAHV_41&gt;0),(catdw_1_PAHB_1*((dagenperjaar1*VLOOKUP(B15,dagsoorttabel1,2,FALSE))-catfd_1_PAHV_41)/catpn_1_PAHB_1+catdw_1_PAHV_41*catfd_1_PAHV_41/catpn_1_PAHV_41)/(((dagenperjaar1*VLOOKUP(B15,dagsoorttabel1,2,FALSE))-catfd_1_PAHV_41)/catpn_1_PAHB_1+catfd_1_PAHV_41/catpn_1_PAHV_41),0)</f>
        <v>0</v>
      </c>
      <c r="I15" s="56" t="s">
        <v>108</v>
      </c>
      <c r="J15" s="60">
        <f>IF(AND(catpn_1_PAHB_1&gt;0,catpn_1_PAHV_41&gt;0),(cattf_1_PAHB_1*((dagenperjaar1*VLOOKUP(B15,dagsoorttabel1,2,FALSE))-catfd_1_PAHV_41)/catpn_1_PAHB_1+cattf_1_PAHV_41*catfd_1_PAHV_41/catpn_1_PAHV_41)/(((dagenperjaar1*VLOOKUP(B15,dagsoorttabel1,2,FALSE))-catfd_1_PAHV_41)/catpn_1_PAHB_1+catfd_1_PAHV_41/catpn_1_PAHV_41),0)</f>
        <v>0</v>
      </c>
      <c r="K15" s="69">
        <f>IF(OR(ISBLANK(G15),G15=0),0,F15/ROUND(G15,4))</f>
        <v>0</v>
      </c>
      <c r="L15" s="60">
        <f>ROUND(J15,2)*K15</f>
        <v>0</v>
      </c>
      <c r="M15" s="69">
        <f>K15*dagenperjaar1</f>
        <v>0</v>
      </c>
      <c r="N15" s="60">
        <f>M15*ROUND(J15,2)</f>
        <v>0</v>
      </c>
    </row>
    <row r="16" spans="1:14" x14ac:dyDescent="0.25">
      <c r="A16" s="56" t="s">
        <v>216</v>
      </c>
      <c r="B16" s="56" t="s">
        <v>12</v>
      </c>
      <c r="C16" s="56" t="s">
        <v>198</v>
      </c>
      <c r="D16" s="56" t="s">
        <v>217</v>
      </c>
      <c r="E16" s="69">
        <v>368</v>
      </c>
      <c r="F16" s="69">
        <f>E16*VLOOKUP(B16,dagsoorttabel1,2,FALSE)</f>
        <v>226.32</v>
      </c>
      <c r="G16" s="70">
        <f>IF(AND(catpn_1_PLHB_1&gt;0,catpn_1_PLHV_41&gt;0),(dagenperjaar1*VLOOKUP(B16,dagsoorttabel1,2,FALSE))/(((dagenperjaar1*VLOOKUP(B16,dagsoorttabel1,2,FALSE))-catfd_1_PLHV_41)/catpn_1_PLHB_1+catfd_1_PLHV_41/catpn_1_PLHV_41),0)</f>
        <v>0</v>
      </c>
      <c r="H16" s="71">
        <f>IF(AND(catpn_1_PLHB_1&gt;0,catpn_1_PLHV_41&gt;0),(catdw_1_PLHB_1*((dagenperjaar1*VLOOKUP(B16,dagsoorttabel1,2,FALSE))-catfd_1_PLHV_41)/catpn_1_PLHB_1+catdw_1_PLHV_41*catfd_1_PLHV_41/catpn_1_PLHV_41)/(((dagenperjaar1*VLOOKUP(B16,dagsoorttabel1,2,FALSE))-catfd_1_PLHV_41)/catpn_1_PLHB_1+catfd_1_PLHV_41/catpn_1_PLHV_41),0)</f>
        <v>0</v>
      </c>
      <c r="I16" s="56" t="s">
        <v>108</v>
      </c>
      <c r="J16" s="60">
        <f>IF(AND(catpn_1_PLHB_1&gt;0,catpn_1_PLHV_41&gt;0),(cattf_1_PLHB_1*((dagenperjaar1*VLOOKUP(B16,dagsoorttabel1,2,FALSE))-catfd_1_PLHV_41)/catpn_1_PLHB_1+cattf_1_PLHV_41*catfd_1_PLHV_41/catpn_1_PLHV_41)/(((dagenperjaar1*VLOOKUP(B16,dagsoorttabel1,2,FALSE))-catfd_1_PLHV_41)/catpn_1_PLHB_1+catfd_1_PLHV_41/catpn_1_PLHV_41),0)</f>
        <v>0</v>
      </c>
      <c r="K16" s="69">
        <f>IF(OR(ISBLANK(G16),G16=0),0,F16/ROUND(G16,4))</f>
        <v>0</v>
      </c>
      <c r="L16" s="60">
        <f>ROUND(J16,2)*K16</f>
        <v>0</v>
      </c>
      <c r="M16" s="69">
        <f>K16*dagenperjaar1</f>
        <v>0</v>
      </c>
      <c r="N16" s="60">
        <f>M16*ROUND(J16,2)</f>
        <v>0</v>
      </c>
    </row>
    <row r="17" spans="1:14" x14ac:dyDescent="0.25">
      <c r="A17" s="56" t="s">
        <v>218</v>
      </c>
      <c r="B17" s="56" t="s">
        <v>12</v>
      </c>
      <c r="C17" s="56" t="s">
        <v>198</v>
      </c>
      <c r="D17" s="56" t="s">
        <v>219</v>
      </c>
      <c r="E17" s="69">
        <v>470</v>
      </c>
      <c r="F17" s="69">
        <f>E17*VLOOKUP(B17,dagsoorttabel1,2,FALSE)</f>
        <v>289.05</v>
      </c>
      <c r="G17" s="70">
        <f>IF(AND(catpn_1_PSHB_1&gt;0,catpn_1_PSHV_41&gt;0),(dagenperjaar1*VLOOKUP(B17,dagsoorttabel1,2,FALSE))/(((dagenperjaar1*VLOOKUP(B17,dagsoorttabel1,2,FALSE))-catfd_1_PSHV_41)/catpn_1_PSHB_1+catfd_1_PSHV_41/catpn_1_PSHV_41),0)</f>
        <v>0</v>
      </c>
      <c r="H17" s="71">
        <f>IF(AND(catpn_1_PSHB_1&gt;0,catpn_1_PSHV_41&gt;0),(catdw_1_PSHB_1*((dagenperjaar1*VLOOKUP(B17,dagsoorttabel1,2,FALSE))-catfd_1_PSHV_41)/catpn_1_PSHB_1+catdw_1_PSHV_41*catfd_1_PSHV_41/catpn_1_PSHV_41)/(((dagenperjaar1*VLOOKUP(B17,dagsoorttabel1,2,FALSE))-catfd_1_PSHV_41)/catpn_1_PSHB_1+catfd_1_PSHV_41/catpn_1_PSHV_41),0)</f>
        <v>0</v>
      </c>
      <c r="I17" s="56" t="s">
        <v>108</v>
      </c>
      <c r="J17" s="60">
        <f>IF(AND(catpn_1_PSHB_1&gt;0,catpn_1_PSHV_41&gt;0),(cattf_1_PSHB_1*((dagenperjaar1*VLOOKUP(B17,dagsoorttabel1,2,FALSE))-catfd_1_PSHV_41)/catpn_1_PSHB_1+cattf_1_PSHV_41*catfd_1_PSHV_41/catpn_1_PSHV_41)/(((dagenperjaar1*VLOOKUP(B17,dagsoorttabel1,2,FALSE))-catfd_1_PSHV_41)/catpn_1_PSHB_1+catfd_1_PSHV_41/catpn_1_PSHV_41),0)</f>
        <v>0</v>
      </c>
      <c r="K17" s="69">
        <f>IF(OR(ISBLANK(G17),G17=0),0,F17/ROUND(G17,4))</f>
        <v>0</v>
      </c>
      <c r="L17" s="60">
        <f>ROUND(J17,2)*K17</f>
        <v>0</v>
      </c>
      <c r="M17" s="69">
        <f>K17*dagenperjaar1</f>
        <v>0</v>
      </c>
      <c r="N17" s="60">
        <f>M17*ROUND(J17,2)</f>
        <v>0</v>
      </c>
    </row>
    <row r="18" spans="1:14" x14ac:dyDescent="0.25">
      <c r="A18" s="56" t="s">
        <v>220</v>
      </c>
      <c r="B18" s="56" t="s">
        <v>9</v>
      </c>
      <c r="C18" s="56" t="s">
        <v>198</v>
      </c>
      <c r="D18" s="56" t="s">
        <v>221</v>
      </c>
      <c r="E18" s="69">
        <v>95</v>
      </c>
      <c r="F18" s="69">
        <f>E18*VLOOKUP(B18,dagsoorttabel1,2,FALSE)</f>
        <v>97.374999999999986</v>
      </c>
      <c r="G18" s="70">
        <f>IF(AND(catpn_1_SDHB_1&gt;0,catpn_1_SDHV_41&gt;0),(dagenperjaar1*VLOOKUP(B18,dagsoorttabel1,2,FALSE))/(((dagenperjaar1*VLOOKUP(B18,dagsoorttabel1,2,FALSE))-catfd_1_SDHV_41)/catpn_1_SDHB_1+catfd_1_SDHV_41/catpn_1_SDHV_41),0)</f>
        <v>0</v>
      </c>
      <c r="H18" s="71">
        <f>IF(AND(catpn_1_SDHB_1&gt;0,catpn_1_SDHV_41&gt;0),(catdw_1_SDHB_1*((dagenperjaar1*VLOOKUP(B18,dagsoorttabel1,2,FALSE))-catfd_1_SDHV_41)/catpn_1_SDHB_1+catdw_1_SDHV_41*catfd_1_SDHV_41/catpn_1_SDHV_41)/(((dagenperjaar1*VLOOKUP(B18,dagsoorttabel1,2,FALSE))-catfd_1_SDHV_41)/catpn_1_SDHB_1+catfd_1_SDHV_41/catpn_1_SDHV_41),0)</f>
        <v>0</v>
      </c>
      <c r="I18" s="56" t="s">
        <v>108</v>
      </c>
      <c r="J18" s="60">
        <f>IF(AND(catpn_1_SDHB_1&gt;0,catpn_1_SDHV_41&gt;0),(cattf_1_SDHB_1*((dagenperjaar1*VLOOKUP(B18,dagsoorttabel1,2,FALSE))-catfd_1_SDHV_41)/catpn_1_SDHB_1+cattf_1_SDHV_41*catfd_1_SDHV_41/catpn_1_SDHV_41)/(((dagenperjaar1*VLOOKUP(B18,dagsoorttabel1,2,FALSE))-catfd_1_SDHV_41)/catpn_1_SDHB_1+catfd_1_SDHV_41/catpn_1_SDHV_41),0)</f>
        <v>0</v>
      </c>
      <c r="K18" s="69">
        <f>IF(OR(ISBLANK(G18),G18=0),0,F18/ROUND(G18,4))</f>
        <v>0</v>
      </c>
      <c r="L18" s="60">
        <f>ROUND(J18,2)*K18</f>
        <v>0</v>
      </c>
      <c r="M18" s="69">
        <f>K18*dagenperjaar1</f>
        <v>0</v>
      </c>
      <c r="N18" s="60">
        <f>M18*ROUND(J18,2)</f>
        <v>0</v>
      </c>
    </row>
    <row r="19" spans="1:14" x14ac:dyDescent="0.25">
      <c r="A19" s="56" t="s">
        <v>222</v>
      </c>
      <c r="B19" s="56" t="s">
        <v>9</v>
      </c>
      <c r="C19" s="56" t="s">
        <v>198</v>
      </c>
      <c r="D19" s="56" t="s">
        <v>223</v>
      </c>
      <c r="E19" s="69">
        <v>122</v>
      </c>
      <c r="F19" s="69">
        <f>E19*VLOOKUP(B19,dagsoorttabel1,2,FALSE)</f>
        <v>125.04999999999998</v>
      </c>
      <c r="G19" s="70">
        <f>IF(AND(catpn_1_SKHB_1&gt;0,catpn_1_SKHV_41&gt;0),(dagenperjaar1*VLOOKUP(B19,dagsoorttabel1,2,FALSE))/(((dagenperjaar1*VLOOKUP(B19,dagsoorttabel1,2,FALSE))-catfd_1_SKHV_41)/catpn_1_SKHB_1+catfd_1_SKHV_41/catpn_1_SKHV_41),0)</f>
        <v>0</v>
      </c>
      <c r="H19" s="71">
        <f>IF(AND(catpn_1_SKHB_1&gt;0,catpn_1_SKHV_41&gt;0),(catdw_1_SKHB_1*((dagenperjaar1*VLOOKUP(B19,dagsoorttabel1,2,FALSE))-catfd_1_SKHV_41)/catpn_1_SKHB_1+catdw_1_SKHV_41*catfd_1_SKHV_41/catpn_1_SKHV_41)/(((dagenperjaar1*VLOOKUP(B19,dagsoorttabel1,2,FALSE))-catfd_1_SKHV_41)/catpn_1_SKHB_1+catfd_1_SKHV_41/catpn_1_SKHV_41),0)</f>
        <v>0</v>
      </c>
      <c r="I19" s="56" t="s">
        <v>108</v>
      </c>
      <c r="J19" s="60">
        <f>IF(AND(catpn_1_SKHB_1&gt;0,catpn_1_SKHV_41&gt;0),(cattf_1_SKHB_1*((dagenperjaar1*VLOOKUP(B19,dagsoorttabel1,2,FALSE))-catfd_1_SKHV_41)/catpn_1_SKHB_1+cattf_1_SKHV_41*catfd_1_SKHV_41/catpn_1_SKHV_41)/(((dagenperjaar1*VLOOKUP(B19,dagsoorttabel1,2,FALSE))-catfd_1_SKHV_41)/catpn_1_SKHB_1+catfd_1_SKHV_41/catpn_1_SKHV_41),0)</f>
        <v>0</v>
      </c>
      <c r="K19" s="69">
        <f>IF(OR(ISBLANK(G19),G19=0),0,F19/ROUND(G19,4))</f>
        <v>0</v>
      </c>
      <c r="L19" s="60">
        <f>ROUND(J19,2)*K19</f>
        <v>0</v>
      </c>
      <c r="M19" s="69">
        <f>K19*dagenperjaar1</f>
        <v>0</v>
      </c>
      <c r="N19" s="60">
        <f>M19*ROUND(J19,2)</f>
        <v>0</v>
      </c>
    </row>
    <row r="20" spans="1:14" x14ac:dyDescent="0.25">
      <c r="A20" s="56" t="s">
        <v>224</v>
      </c>
      <c r="B20" s="56" t="s">
        <v>9</v>
      </c>
      <c r="C20" s="56" t="s">
        <v>198</v>
      </c>
      <c r="D20" s="56" t="s">
        <v>225</v>
      </c>
      <c r="E20" s="69">
        <v>188</v>
      </c>
      <c r="F20" s="69">
        <f>E20*VLOOKUP(B20,dagsoorttabel1,2,FALSE)</f>
        <v>192.7</v>
      </c>
      <c r="G20" s="70">
        <f>IF(AND(catpn_1_STHB_1&gt;0,catpn_1_STHV_41&gt;0),(dagenperjaar1*VLOOKUP(B20,dagsoorttabel1,2,FALSE))/(((dagenperjaar1*VLOOKUP(B20,dagsoorttabel1,2,FALSE))-catfd_1_STHV_41)/catpn_1_STHB_1+catfd_1_STHV_41/catpn_1_STHV_41),0)</f>
        <v>0</v>
      </c>
      <c r="H20" s="71">
        <f>IF(AND(catpn_1_STHB_1&gt;0,catpn_1_STHV_41&gt;0),(catdw_1_STHB_1*((dagenperjaar1*VLOOKUP(B20,dagsoorttabel1,2,FALSE))-catfd_1_STHV_41)/catpn_1_STHB_1+catdw_1_STHV_41*catfd_1_STHV_41/catpn_1_STHV_41)/(((dagenperjaar1*VLOOKUP(B20,dagsoorttabel1,2,FALSE))-catfd_1_STHV_41)/catpn_1_STHB_1+catfd_1_STHV_41/catpn_1_STHV_41),0)</f>
        <v>0</v>
      </c>
      <c r="I20" s="56" t="s">
        <v>108</v>
      </c>
      <c r="J20" s="60">
        <f>IF(AND(catpn_1_STHB_1&gt;0,catpn_1_STHV_41&gt;0),(cattf_1_STHB_1*((dagenperjaar1*VLOOKUP(B20,dagsoorttabel1,2,FALSE))-catfd_1_STHV_41)/catpn_1_STHB_1+cattf_1_STHV_41*catfd_1_STHV_41/catpn_1_STHV_41)/(((dagenperjaar1*VLOOKUP(B20,dagsoorttabel1,2,FALSE))-catfd_1_STHV_41)/catpn_1_STHB_1+catfd_1_STHV_41/catpn_1_STHV_41),0)</f>
        <v>0</v>
      </c>
      <c r="K20" s="69">
        <f>IF(OR(ISBLANK(G20),G20=0),0,F20/ROUND(G20,4))</f>
        <v>0</v>
      </c>
      <c r="L20" s="60">
        <f>ROUND(J20,2)*K20</f>
        <v>0</v>
      </c>
      <c r="M20" s="69">
        <f>K20*dagenperjaar1</f>
        <v>0</v>
      </c>
      <c r="N20" s="60">
        <f>M20*ROUND(J20,2)</f>
        <v>0</v>
      </c>
    </row>
    <row r="21" spans="1:14" x14ac:dyDescent="0.25">
      <c r="A21" s="56" t="s">
        <v>226</v>
      </c>
      <c r="B21" s="56" t="s">
        <v>9</v>
      </c>
      <c r="C21" s="56" t="s">
        <v>198</v>
      </c>
      <c r="D21" s="56" t="s">
        <v>227</v>
      </c>
      <c r="E21" s="69">
        <v>21</v>
      </c>
      <c r="F21" s="69">
        <f>E21*VLOOKUP(B21,dagsoorttabel1,2,FALSE)</f>
        <v>21.524999999999999</v>
      </c>
      <c r="G21" s="70">
        <f>catpn_1_STHB_1</f>
        <v>0</v>
      </c>
      <c r="H21" s="71">
        <f>catdw_1_STHB_1</f>
        <v>0</v>
      </c>
      <c r="I21" s="56" t="s">
        <v>108</v>
      </c>
      <c r="J21" s="60">
        <f>cattf_1_STHB_1</f>
        <v>0</v>
      </c>
      <c r="K21" s="69">
        <f>IF(OR(ISBLANK(G21),G21=0),0,F21/ROUND(G21,4))</f>
        <v>0</v>
      </c>
      <c r="L21" s="60">
        <f>ROUND(J21,2)*K21</f>
        <v>0</v>
      </c>
      <c r="M21" s="69">
        <f>K21*dagenperjaar1</f>
        <v>0</v>
      </c>
      <c r="N21" s="60">
        <f>M21*ROUND(J21,2)</f>
        <v>0</v>
      </c>
    </row>
    <row r="22" spans="1:14" x14ac:dyDescent="0.25">
      <c r="A22" s="56" t="s">
        <v>228</v>
      </c>
      <c r="B22" s="56" t="s">
        <v>9</v>
      </c>
      <c r="C22" s="56" t="s">
        <v>198</v>
      </c>
      <c r="D22" s="56" t="s">
        <v>229</v>
      </c>
      <c r="E22" s="69">
        <v>1550</v>
      </c>
      <c r="F22" s="69">
        <f>E22*VLOOKUP(B22,dagsoorttabel1,2,FALSE)</f>
        <v>1588.7499999999998</v>
      </c>
      <c r="G22" s="70">
        <f>IF(AND(catpn_1_VAHB_1&gt;0,catpn_1_VAHV_41&gt;0),(dagenperjaar1*VLOOKUP(B22,dagsoorttabel1,2,FALSE))/(((dagenperjaar1*VLOOKUP(B22,dagsoorttabel1,2,FALSE))-catfd_1_VAHV_41)/catpn_1_VAHB_1+catfd_1_VAHV_41/catpn_1_VAHV_41),0)</f>
        <v>0</v>
      </c>
      <c r="H22" s="71">
        <f>IF(AND(catpn_1_VAHB_1&gt;0,catpn_1_VAHV_41&gt;0),(catdw_1_VAHB_1*((dagenperjaar1*VLOOKUP(B22,dagsoorttabel1,2,FALSE))-catfd_1_VAHV_41)/catpn_1_VAHB_1+catdw_1_VAHV_41*catfd_1_VAHV_41/catpn_1_VAHV_41)/(((dagenperjaar1*VLOOKUP(B22,dagsoorttabel1,2,FALSE))-catfd_1_VAHV_41)/catpn_1_VAHB_1+catfd_1_VAHV_41/catpn_1_VAHV_41),0)</f>
        <v>0</v>
      </c>
      <c r="I22" s="56" t="s">
        <v>108</v>
      </c>
      <c r="J22" s="60">
        <f>IF(AND(catpn_1_VAHB_1&gt;0,catpn_1_VAHV_41&gt;0),(cattf_1_VAHB_1*((dagenperjaar1*VLOOKUP(B22,dagsoorttabel1,2,FALSE))-catfd_1_VAHV_41)/catpn_1_VAHB_1+cattf_1_VAHV_41*catfd_1_VAHV_41/catpn_1_VAHV_41)/(((dagenperjaar1*VLOOKUP(B22,dagsoorttabel1,2,FALSE))-catfd_1_VAHV_41)/catpn_1_VAHB_1+catfd_1_VAHV_41/catpn_1_VAHV_41),0)</f>
        <v>0</v>
      </c>
      <c r="K22" s="69">
        <f>IF(OR(ISBLANK(G22),G22=0),0,F22/ROUND(G22,4))</f>
        <v>0</v>
      </c>
      <c r="L22" s="60">
        <f>ROUND(J22,2)*K22</f>
        <v>0</v>
      </c>
      <c r="M22" s="69">
        <f>K22*dagenperjaar1</f>
        <v>0</v>
      </c>
      <c r="N22" s="60">
        <f>M22*ROUND(J22,2)</f>
        <v>0</v>
      </c>
    </row>
    <row r="23" spans="1:14" x14ac:dyDescent="0.25">
      <c r="A23" s="56" t="s">
        <v>230</v>
      </c>
      <c r="B23" s="56" t="s">
        <v>9</v>
      </c>
      <c r="C23" s="56" t="s">
        <v>198</v>
      </c>
      <c r="D23" s="56" t="s">
        <v>231</v>
      </c>
      <c r="E23" s="69">
        <v>405</v>
      </c>
      <c r="F23" s="69">
        <f>E23*VLOOKUP(B23,dagsoorttabel1,2,FALSE)</f>
        <v>415.12499999999994</v>
      </c>
      <c r="G23" s="70">
        <f>IF(AND(catpn_1_VEHB_1&gt;0,catpn_1_VEHV_41&gt;0),(dagenperjaar1*VLOOKUP(B23,dagsoorttabel1,2,FALSE))/(((dagenperjaar1*VLOOKUP(B23,dagsoorttabel1,2,FALSE))-catfd_1_VEHV_41)/catpn_1_VEHB_1+catfd_1_VEHV_41/catpn_1_VEHV_41),0)</f>
        <v>0</v>
      </c>
      <c r="H23" s="71">
        <f>IF(AND(catpn_1_VEHB_1&gt;0,catpn_1_VEHV_41&gt;0),(catdw_1_VEHB_1*((dagenperjaar1*VLOOKUP(B23,dagsoorttabel1,2,FALSE))-catfd_1_VEHV_41)/catpn_1_VEHB_1+catdw_1_VEHV_41*catfd_1_VEHV_41/catpn_1_VEHV_41)/(((dagenperjaar1*VLOOKUP(B23,dagsoorttabel1,2,FALSE))-catfd_1_VEHV_41)/catpn_1_VEHB_1+catfd_1_VEHV_41/catpn_1_VEHV_41),0)</f>
        <v>0</v>
      </c>
      <c r="I23" s="56" t="s">
        <v>108</v>
      </c>
      <c r="J23" s="60">
        <f>IF(AND(catpn_1_VEHB_1&gt;0,catpn_1_VEHV_41&gt;0),(cattf_1_VEHB_1*((dagenperjaar1*VLOOKUP(B23,dagsoorttabel1,2,FALSE))-catfd_1_VEHV_41)/catpn_1_VEHB_1+cattf_1_VEHV_41*catfd_1_VEHV_41/catpn_1_VEHV_41)/(((dagenperjaar1*VLOOKUP(B23,dagsoorttabel1,2,FALSE))-catfd_1_VEHV_41)/catpn_1_VEHB_1+catfd_1_VEHV_41/catpn_1_VEHV_41),0)</f>
        <v>0</v>
      </c>
      <c r="K23" s="69">
        <f>IF(OR(ISBLANK(G23),G23=0),0,F23/ROUND(G23,4))</f>
        <v>0</v>
      </c>
      <c r="L23" s="60">
        <f>ROUND(J23,2)*K23</f>
        <v>0</v>
      </c>
      <c r="M23" s="69">
        <f>K23*dagenperjaar1</f>
        <v>0</v>
      </c>
      <c r="N23" s="60">
        <f>M23*ROUND(J23,2)</f>
        <v>0</v>
      </c>
    </row>
    <row r="24" spans="1:14" x14ac:dyDescent="0.25">
      <c r="A24" s="56" t="s">
        <v>232</v>
      </c>
      <c r="B24" s="56" t="s">
        <v>9</v>
      </c>
      <c r="C24" s="56" t="s">
        <v>198</v>
      </c>
      <c r="D24" s="56" t="s">
        <v>233</v>
      </c>
      <c r="E24" s="69">
        <v>8</v>
      </c>
      <c r="F24" s="69">
        <f>E24*VLOOKUP(B24,dagsoorttabel1,2,FALSE)</f>
        <v>8.1999999999999993</v>
      </c>
      <c r="G24" s="70">
        <f>IF(AND(catpn_1_VLHB_1&gt;0,catpn_1_VLHV_41&gt;0),(dagenperjaar1*VLOOKUP(B24,dagsoorttabel1,2,FALSE))/(((dagenperjaar1*VLOOKUP(B24,dagsoorttabel1,2,FALSE))-catfd_1_VLHV_41)/catpn_1_VLHB_1+catfd_1_VLHV_41/catpn_1_VLHV_41),0)</f>
        <v>0</v>
      </c>
      <c r="H24" s="71">
        <f>IF(AND(catpn_1_VLHB_1&gt;0,catpn_1_VLHV_41&gt;0),(catdw_1_VLHB_1*((dagenperjaar1*VLOOKUP(B24,dagsoorttabel1,2,FALSE))-catfd_1_VLHV_41)/catpn_1_VLHB_1+catdw_1_VLHV_41*catfd_1_VLHV_41/catpn_1_VLHV_41)/(((dagenperjaar1*VLOOKUP(B24,dagsoorttabel1,2,FALSE))-catfd_1_VLHV_41)/catpn_1_VLHB_1+catfd_1_VLHV_41/catpn_1_VLHV_41),0)</f>
        <v>0</v>
      </c>
      <c r="I24" s="56" t="s">
        <v>108</v>
      </c>
      <c r="J24" s="60">
        <f>IF(AND(catpn_1_VLHB_1&gt;0,catpn_1_VLHV_41&gt;0),(cattf_1_VLHB_1*((dagenperjaar1*VLOOKUP(B24,dagsoorttabel1,2,FALSE))-catfd_1_VLHV_41)/catpn_1_VLHB_1+cattf_1_VLHV_41*catfd_1_VLHV_41/catpn_1_VLHV_41)/(((dagenperjaar1*VLOOKUP(B24,dagsoorttabel1,2,FALSE))-catfd_1_VLHV_41)/catpn_1_VLHB_1+catfd_1_VLHV_41/catpn_1_VLHV_41),0)</f>
        <v>0</v>
      </c>
      <c r="K24" s="69">
        <f>IF(OR(ISBLANK(G24),G24=0),0,F24/ROUND(G24,4))</f>
        <v>0</v>
      </c>
      <c r="L24" s="60">
        <f>ROUND(J24,2)*K24</f>
        <v>0</v>
      </c>
      <c r="M24" s="69">
        <f>K24*dagenperjaar1</f>
        <v>0</v>
      </c>
      <c r="N24" s="60">
        <f>M24*ROUND(J24,2)</f>
        <v>0</v>
      </c>
    </row>
    <row r="25" spans="1:14" x14ac:dyDescent="0.25">
      <c r="A25" s="56" t="s">
        <v>234</v>
      </c>
      <c r="B25" s="56" t="s">
        <v>9</v>
      </c>
      <c r="C25" s="56" t="s">
        <v>198</v>
      </c>
      <c r="D25" s="56" t="s">
        <v>235</v>
      </c>
      <c r="E25" s="69">
        <v>186</v>
      </c>
      <c r="F25" s="69">
        <f>E25*VLOOKUP(B25,dagsoorttabel1,2,FALSE)</f>
        <v>190.64999999999998</v>
      </c>
      <c r="G25" s="70">
        <f>IF(AND(catpn_1_VOHB_1&gt;0,catpn_1_VOHV_41&gt;0),(dagenperjaar1*VLOOKUP(B25,dagsoorttabel1,2,FALSE))/(((dagenperjaar1*VLOOKUP(B25,dagsoorttabel1,2,FALSE))-catfd_1_VOHV_41)/catpn_1_VOHB_1+catfd_1_VOHV_41/catpn_1_VOHV_41),0)</f>
        <v>0</v>
      </c>
      <c r="H25" s="71">
        <f>IF(AND(catpn_1_VOHB_1&gt;0,catpn_1_VOHV_41&gt;0),(catdw_1_VOHB_1*((dagenperjaar1*VLOOKUP(B25,dagsoorttabel1,2,FALSE))-catfd_1_VOHV_41)/catpn_1_VOHB_1+catdw_1_VOHV_41*catfd_1_VOHV_41/catpn_1_VOHV_41)/(((dagenperjaar1*VLOOKUP(B25,dagsoorttabel1,2,FALSE))-catfd_1_VOHV_41)/catpn_1_VOHB_1+catfd_1_VOHV_41/catpn_1_VOHV_41),0)</f>
        <v>0</v>
      </c>
      <c r="I25" s="56" t="s">
        <v>108</v>
      </c>
      <c r="J25" s="60">
        <f>IF(AND(catpn_1_VOHB_1&gt;0,catpn_1_VOHV_41&gt;0),(cattf_1_VOHB_1*((dagenperjaar1*VLOOKUP(B25,dagsoorttabel1,2,FALSE))-catfd_1_VOHV_41)/catpn_1_VOHB_1+cattf_1_VOHV_41*catfd_1_VOHV_41/catpn_1_VOHV_41)/(((dagenperjaar1*VLOOKUP(B25,dagsoorttabel1,2,FALSE))-catfd_1_VOHV_41)/catpn_1_VOHB_1+catfd_1_VOHV_41/catpn_1_VOHV_41),0)</f>
        <v>0</v>
      </c>
      <c r="K25" s="69">
        <f>IF(OR(ISBLANK(G25),G25=0),0,F25/ROUND(G25,4))</f>
        <v>0</v>
      </c>
      <c r="L25" s="60">
        <f>ROUND(J25,2)*K25</f>
        <v>0</v>
      </c>
      <c r="M25" s="69">
        <f>K25*dagenperjaar1</f>
        <v>0</v>
      </c>
      <c r="N25" s="60">
        <f>M25*ROUND(J25,2)</f>
        <v>0</v>
      </c>
    </row>
    <row r="26" spans="1:14" x14ac:dyDescent="0.25">
      <c r="A26" s="56" t="s">
        <v>236</v>
      </c>
      <c r="B26" s="56" t="s">
        <v>9</v>
      </c>
      <c r="C26" s="56" t="s">
        <v>198</v>
      </c>
      <c r="D26" s="56" t="s">
        <v>237</v>
      </c>
      <c r="E26" s="69">
        <v>527</v>
      </c>
      <c r="F26" s="69">
        <f>E26*VLOOKUP(B26,dagsoorttabel1,2,FALSE)</f>
        <v>540.17499999999995</v>
      </c>
      <c r="G26" s="70">
        <f>IF(AND(catpn_1_VTHB_1&gt;0,catpn_1_VTHV_41&gt;0),(dagenperjaar1*VLOOKUP(B26,dagsoorttabel1,2,FALSE))/(((dagenperjaar1*VLOOKUP(B26,dagsoorttabel1,2,FALSE))-catfd_1_VTHV_41)/catpn_1_VTHB_1+catfd_1_VTHV_41/catpn_1_VTHV_41),0)</f>
        <v>0</v>
      </c>
      <c r="H26" s="71">
        <f>IF(AND(catpn_1_VTHB_1&gt;0,catpn_1_VTHV_41&gt;0),(catdw_1_VTHB_1*((dagenperjaar1*VLOOKUP(B26,dagsoorttabel1,2,FALSE))-catfd_1_VTHV_41)/catpn_1_VTHB_1+catdw_1_VTHV_41*catfd_1_VTHV_41/catpn_1_VTHV_41)/(((dagenperjaar1*VLOOKUP(B26,dagsoorttabel1,2,FALSE))-catfd_1_VTHV_41)/catpn_1_VTHB_1+catfd_1_VTHV_41/catpn_1_VTHV_41),0)</f>
        <v>0</v>
      </c>
      <c r="I26" s="56" t="s">
        <v>108</v>
      </c>
      <c r="J26" s="60">
        <f>IF(AND(catpn_1_VTHB_1&gt;0,catpn_1_VTHV_41&gt;0),(cattf_1_VTHB_1*((dagenperjaar1*VLOOKUP(B26,dagsoorttabel1,2,FALSE))-catfd_1_VTHV_41)/catpn_1_VTHB_1+cattf_1_VTHV_41*catfd_1_VTHV_41/catpn_1_VTHV_41)/(((dagenperjaar1*VLOOKUP(B26,dagsoorttabel1,2,FALSE))-catfd_1_VTHV_41)/catpn_1_VTHB_1+catfd_1_VTHV_41/catpn_1_VTHV_41),0)</f>
        <v>0</v>
      </c>
      <c r="K26" s="69">
        <f>IF(OR(ISBLANK(G26),G26=0),0,F26/ROUND(G26,4))</f>
        <v>0</v>
      </c>
      <c r="L26" s="60">
        <f>ROUND(J26,2)*K26</f>
        <v>0</v>
      </c>
      <c r="M26" s="69">
        <f>K26*dagenperjaar1</f>
        <v>0</v>
      </c>
      <c r="N26" s="60">
        <f>M26*ROUND(J26,2)</f>
        <v>0</v>
      </c>
    </row>
    <row r="27" spans="1:14" x14ac:dyDescent="0.25">
      <c r="A27" s="56" t="s">
        <v>238</v>
      </c>
      <c r="B27" s="56" t="s">
        <v>23</v>
      </c>
      <c r="C27" s="56" t="s">
        <v>239</v>
      </c>
      <c r="D27" s="56" t="s">
        <v>240</v>
      </c>
      <c r="E27" s="69">
        <v>914</v>
      </c>
      <c r="F27" s="69">
        <f>E27*VLOOKUP(B27,dagsoorttabel1,2,FALSE)</f>
        <v>9.14</v>
      </c>
      <c r="G27" s="70">
        <f>catpn_1_XDGB_1</f>
        <v>0</v>
      </c>
      <c r="H27" s="71">
        <f>catdw_1_XDGB_1</f>
        <v>0</v>
      </c>
      <c r="I27" s="56" t="s">
        <v>108</v>
      </c>
      <c r="J27" s="60">
        <f>cattf_1_XDGB_1</f>
        <v>0</v>
      </c>
      <c r="K27" s="69">
        <f>IF(OR(ISBLANK(G27),G27=0),0,F27/ROUND(G27,4))</f>
        <v>0</v>
      </c>
      <c r="L27" s="60">
        <f>ROUND(J27,2)*K27</f>
        <v>0</v>
      </c>
      <c r="M27" s="69">
        <f>K27*dagenperjaar1</f>
        <v>0</v>
      </c>
      <c r="N27" s="60">
        <f>M27*ROUND(J27,2)</f>
        <v>0</v>
      </c>
    </row>
    <row r="28" spans="1:14" x14ac:dyDescent="0.25">
      <c r="A28" s="61" t="s">
        <v>241</v>
      </c>
      <c r="B28" s="61" t="s">
        <v>14</v>
      </c>
      <c r="C28" s="61" t="s">
        <v>242</v>
      </c>
      <c r="D28" s="61" t="s">
        <v>243</v>
      </c>
      <c r="E28" s="72">
        <v>1</v>
      </c>
      <c r="F28" s="72">
        <f>E28*VLOOKUP(B28,dagsoorttabel1,2,FALSE)</f>
        <v>0.5</v>
      </c>
      <c r="G28" s="73"/>
      <c r="H28" s="64"/>
      <c r="I28" s="61" t="s">
        <v>244</v>
      </c>
      <c r="J28" s="65">
        <f>Tariefopbouw1</f>
        <v>0</v>
      </c>
      <c r="K28" s="72">
        <f>F28</f>
        <v>0.5</v>
      </c>
      <c r="L28" s="65">
        <f>ROUND(J28,2)*K28</f>
        <v>0</v>
      </c>
      <c r="M28" s="72">
        <f>K28*dagenperjaar1</f>
        <v>100</v>
      </c>
      <c r="N28" s="65">
        <f>M28*ROUND(J28,2)</f>
        <v>0</v>
      </c>
    </row>
    <row r="29" spans="1:14" x14ac:dyDescent="0.25">
      <c r="A29" s="75" t="s">
        <v>245</v>
      </c>
      <c r="B29" s="76"/>
      <c r="C29" s="76"/>
      <c r="D29" s="76"/>
      <c r="E29" s="76"/>
      <c r="F29" s="76"/>
      <c r="G29" s="76"/>
      <c r="H29" s="76"/>
      <c r="I29" s="76"/>
      <c r="J29" s="76"/>
      <c r="K29" s="77">
        <f>SUM(K6:K28)</f>
        <v>0.5</v>
      </c>
      <c r="L29" s="78">
        <f>SUM(L6:L28)</f>
        <v>0</v>
      </c>
      <c r="M29" s="77">
        <f>SUM(M6:M28)</f>
        <v>100</v>
      </c>
      <c r="N29" s="79">
        <f>SUM(N6:N28)</f>
        <v>0</v>
      </c>
    </row>
    <row r="30" spans="1:14" x14ac:dyDescent="0.25">
      <c r="A30" s="80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81"/>
    </row>
    <row r="31" spans="1:14" x14ac:dyDescent="0.25">
      <c r="A31" s="75" t="s">
        <v>246</v>
      </c>
      <c r="B31" s="76"/>
      <c r="C31" s="76"/>
      <c r="D31" s="76"/>
      <c r="E31" s="76"/>
      <c r="F31" s="76"/>
      <c r="G31" s="76"/>
      <c r="H31" s="76"/>
      <c r="I31" s="76"/>
      <c r="J31" s="78">
        <f>IF(urenjaar1&gt;0,SUMIF(M6:M28,"&gt;0",N6:N28)/urenjaar1,0)</f>
        <v>0</v>
      </c>
      <c r="K31" s="76"/>
      <c r="L31" s="76"/>
      <c r="M31" s="76"/>
      <c r="N31" s="81"/>
    </row>
    <row r="32" spans="1:14" x14ac:dyDescent="0.25">
      <c r="A32" s="80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81"/>
    </row>
    <row r="34" spans="1:14" x14ac:dyDescent="0.25">
      <c r="A34" s="75" t="s">
        <v>247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7">
        <f>urenjaar1</f>
        <v>100</v>
      </c>
      <c r="N34" s="78">
        <f>prijsjaar1</f>
        <v>0</v>
      </c>
    </row>
  </sheetData>
  <sheetProtection algorithmName="SHA-512" hashValue="ujLtw5fZENNTKQy/5d93hb289XkdPVsPGO4w8WGgxhd/FmmijRO/J8b2S0CHginzE4XlS7SA3l8M9n6ZGxHYuA==" saltValue="m0d5znQAUhwiLCaOe44Hew==" spinCount="100000" sheet="1" objects="1" scenarios="1" autoFilter="0"/>
  <pageMargins left="0.7" right="0.7" top="0.75" bottom="0.75" header="0.3" footer="0.3"/>
  <pageSetup scale="70" orientation="landscape" horizontalDpi="300" verticalDpi="300" r:id="rId1"/>
  <headerFooter>
    <oddFooter>&amp;LOns Middelbaar Onderwijs                                    
CONCEPT PER 01-08-2026&amp;ROpmaakdatum: 15-01-2026
Intexso - Plantageweg 23E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64636-1CB1-4330-AE9D-D55449CACCFD}">
  <dimension ref="A1:V270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1.5" x14ac:dyDescent="0.25"/>
  <cols>
    <col min="1" max="1" width="8.6328125" customWidth="1"/>
    <col min="2" max="3" width="7.6328125" customWidth="1"/>
    <col min="4" max="4" width="10.6328125" customWidth="1"/>
    <col min="5" max="5" width="25.6328125" customWidth="1"/>
    <col min="6" max="6" width="11.6328125" customWidth="1"/>
    <col min="7" max="7" width="7.6328125" customWidth="1"/>
    <col min="8" max="8" width="6.6328125" customWidth="1"/>
    <col min="9" max="9" width="8.6328125" customWidth="1"/>
    <col min="10" max="10" width="40.6328125" customWidth="1"/>
    <col min="11" max="13" width="10.6328125" customWidth="1"/>
    <col min="14" max="15" width="11.6328125" customWidth="1"/>
    <col min="16" max="16" width="9.6328125" customWidth="1"/>
    <col min="17" max="20" width="11.6328125" customWidth="1"/>
    <col min="21" max="21" width="12.6328125" customWidth="1"/>
    <col min="22" max="22" width="14.6328125" customWidth="1"/>
  </cols>
  <sheetData>
    <row r="1" spans="1:22" x14ac:dyDescent="0.25">
      <c r="A1" s="1" t="str">
        <f>CONCATENATE("Bijlage 7.5.3: ",tabeltype," ruimten werkdag")</f>
        <v>Bijlage 7.5.3: Invultabel ruimten werkdag</v>
      </c>
    </row>
    <row r="3" spans="1:22" ht="34.5" x14ac:dyDescent="0.25">
      <c r="A3" s="82" t="s">
        <v>248</v>
      </c>
      <c r="B3" s="44" t="s">
        <v>249</v>
      </c>
      <c r="C3" s="44" t="s">
        <v>250</v>
      </c>
      <c r="D3" s="44" t="s">
        <v>251</v>
      </c>
      <c r="E3" s="44" t="s">
        <v>252</v>
      </c>
      <c r="F3" s="44" t="s">
        <v>253</v>
      </c>
      <c r="G3" s="44" t="s">
        <v>189</v>
      </c>
      <c r="H3" s="44" t="s">
        <v>7</v>
      </c>
      <c r="I3" s="44" t="s">
        <v>254</v>
      </c>
      <c r="J3" s="44" t="s">
        <v>255</v>
      </c>
      <c r="K3" s="44" t="s">
        <v>256</v>
      </c>
      <c r="L3" s="44" t="s">
        <v>191</v>
      </c>
      <c r="M3" s="44" t="s">
        <v>192</v>
      </c>
      <c r="N3" s="44" t="s">
        <v>100</v>
      </c>
      <c r="O3" s="44" t="s">
        <v>101</v>
      </c>
      <c r="P3" s="44" t="s">
        <v>102</v>
      </c>
      <c r="Q3" s="44" t="s">
        <v>103</v>
      </c>
      <c r="R3" s="44" t="s">
        <v>193</v>
      </c>
      <c r="S3" s="44" t="s">
        <v>257</v>
      </c>
      <c r="T3" s="44" t="s">
        <v>194</v>
      </c>
      <c r="U3" s="44" t="s">
        <v>195</v>
      </c>
      <c r="V3" s="83" t="s">
        <v>196</v>
      </c>
    </row>
    <row r="4" spans="1:22" x14ac:dyDescent="0.25">
      <c r="A4" s="84" t="s">
        <v>258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74"/>
    </row>
    <row r="5" spans="1:22" ht="23" x14ac:dyDescent="0.25">
      <c r="A5" s="85" t="s">
        <v>259</v>
      </c>
      <c r="B5" s="86" t="s">
        <v>41</v>
      </c>
      <c r="C5" s="86" t="s">
        <v>41</v>
      </c>
      <c r="D5" s="86" t="s">
        <v>41</v>
      </c>
      <c r="E5" s="87" t="s">
        <v>260</v>
      </c>
      <c r="F5" s="86" t="s">
        <v>41</v>
      </c>
      <c r="G5" s="86" t="s">
        <v>241</v>
      </c>
      <c r="H5" s="86" t="s">
        <v>14</v>
      </c>
      <c r="I5" s="86" t="s">
        <v>242</v>
      </c>
      <c r="J5" s="87" t="s">
        <v>243</v>
      </c>
      <c r="K5" s="86" t="s">
        <v>41</v>
      </c>
      <c r="L5" s="88">
        <v>1</v>
      </c>
      <c r="M5" s="88">
        <f>L5*VLOOKUP(H5,dagsoorttabel1,2,FALSE)</f>
        <v>0.5</v>
      </c>
      <c r="N5" s="89"/>
      <c r="O5" s="90">
        <f>dagwerk1</f>
        <v>0</v>
      </c>
      <c r="P5" s="86" t="s">
        <v>244</v>
      </c>
      <c r="Q5" s="91">
        <f>uurtarief1</f>
        <v>0</v>
      </c>
      <c r="R5" s="88">
        <f>M5</f>
        <v>0.5</v>
      </c>
      <c r="S5" s="88">
        <f>R5*ROUND(O5,2)</f>
        <v>0</v>
      </c>
      <c r="T5" s="91">
        <f>ROUND(Q5,2)*R5</f>
        <v>0</v>
      </c>
      <c r="U5" s="88">
        <f>R5*dagenperjaar1</f>
        <v>100</v>
      </c>
      <c r="V5" s="92">
        <f>U5*ROUND(Q5,2)</f>
        <v>0</v>
      </c>
    </row>
    <row r="6" spans="1:22" ht="23" x14ac:dyDescent="0.25">
      <c r="A6" s="93" t="s">
        <v>259</v>
      </c>
      <c r="B6" s="94" t="s">
        <v>41</v>
      </c>
      <c r="C6" s="94" t="s">
        <v>261</v>
      </c>
      <c r="D6" s="94" t="s">
        <v>262</v>
      </c>
      <c r="E6" s="95" t="s">
        <v>263</v>
      </c>
      <c r="F6" s="94" t="s">
        <v>264</v>
      </c>
      <c r="G6" s="94" t="s">
        <v>197</v>
      </c>
      <c r="H6" s="94" t="s">
        <v>16</v>
      </c>
      <c r="I6" s="94" t="s">
        <v>198</v>
      </c>
      <c r="J6" s="95" t="s">
        <v>199</v>
      </c>
      <c r="K6" s="94" t="s">
        <v>265</v>
      </c>
      <c r="L6" s="96">
        <v>16</v>
      </c>
      <c r="M6" s="96">
        <f>L6*VLOOKUP(H6,dagsoorttabel1,2,FALSE)</f>
        <v>3.28</v>
      </c>
      <c r="N6" s="97">
        <f>prodnorm3</f>
        <v>0</v>
      </c>
      <c r="O6" s="41">
        <f>dagwerk3</f>
        <v>0</v>
      </c>
      <c r="P6" s="94" t="s">
        <v>108</v>
      </c>
      <c r="Q6" s="26">
        <f>uurtarief3</f>
        <v>0</v>
      </c>
      <c r="R6" s="96" t="e">
        <f>IF(ISBLANK(N6),0,M6/ROUND(N6,4))</f>
        <v>#DIV/0!</v>
      </c>
      <c r="S6" s="96" t="e">
        <f>IF(ISBLANK(N6),0,R6*ROUND(O6,2))</f>
        <v>#DIV/0!</v>
      </c>
      <c r="T6" s="26" t="e">
        <f>ROUND(Q6,2)*R6</f>
        <v>#DIV/0!</v>
      </c>
      <c r="U6" s="96" t="e">
        <f>R6*dagenperjaar1</f>
        <v>#DIV/0!</v>
      </c>
      <c r="V6" s="27" t="e">
        <f>U6*ROUND(Q6,2)</f>
        <v>#DIV/0!</v>
      </c>
    </row>
    <row r="7" spans="1:22" x14ac:dyDescent="0.25">
      <c r="A7" s="93" t="s">
        <v>259</v>
      </c>
      <c r="B7" s="94" t="s">
        <v>41</v>
      </c>
      <c r="C7" s="94" t="s">
        <v>261</v>
      </c>
      <c r="D7" s="94" t="s">
        <v>266</v>
      </c>
      <c r="E7" s="95" t="s">
        <v>267</v>
      </c>
      <c r="F7" s="94" t="s">
        <v>264</v>
      </c>
      <c r="G7" s="94" t="s">
        <v>268</v>
      </c>
      <c r="H7" s="94"/>
      <c r="I7" s="94"/>
      <c r="J7" s="94"/>
      <c r="K7" s="94" t="s">
        <v>41</v>
      </c>
      <c r="L7" s="96">
        <v>41</v>
      </c>
      <c r="M7" s="96"/>
      <c r="N7" s="97"/>
      <c r="O7" s="41"/>
      <c r="P7" s="94"/>
      <c r="Q7" s="26"/>
      <c r="R7" s="96"/>
      <c r="S7" s="96"/>
      <c r="T7" s="26"/>
      <c r="U7" s="98"/>
      <c r="V7" s="27"/>
    </row>
    <row r="8" spans="1:22" x14ac:dyDescent="0.25">
      <c r="A8" s="93" t="s">
        <v>259</v>
      </c>
      <c r="B8" s="94" t="s">
        <v>41</v>
      </c>
      <c r="C8" s="94" t="s">
        <v>261</v>
      </c>
      <c r="D8" s="94" t="s">
        <v>269</v>
      </c>
      <c r="E8" s="95" t="s">
        <v>270</v>
      </c>
      <c r="F8" s="94" t="s">
        <v>264</v>
      </c>
      <c r="G8" s="94" t="s">
        <v>268</v>
      </c>
      <c r="H8" s="94"/>
      <c r="I8" s="94"/>
      <c r="J8" s="94"/>
      <c r="K8" s="94" t="s">
        <v>41</v>
      </c>
      <c r="L8" s="96">
        <v>11</v>
      </c>
      <c r="M8" s="96"/>
      <c r="N8" s="97"/>
      <c r="O8" s="41"/>
      <c r="P8" s="94"/>
      <c r="Q8" s="26"/>
      <c r="R8" s="96"/>
      <c r="S8" s="96"/>
      <c r="T8" s="26"/>
      <c r="U8" s="98"/>
      <c r="V8" s="27"/>
    </row>
    <row r="9" spans="1:22" x14ac:dyDescent="0.25">
      <c r="A9" s="93" t="s">
        <v>259</v>
      </c>
      <c r="B9" s="94" t="s">
        <v>41</v>
      </c>
      <c r="C9" s="94" t="s">
        <v>261</v>
      </c>
      <c r="D9" s="94" t="s">
        <v>271</v>
      </c>
      <c r="E9" s="95" t="s">
        <v>272</v>
      </c>
      <c r="F9" s="94" t="s">
        <v>264</v>
      </c>
      <c r="G9" s="94" t="s">
        <v>228</v>
      </c>
      <c r="H9" s="94" t="s">
        <v>9</v>
      </c>
      <c r="I9" s="94" t="s">
        <v>198</v>
      </c>
      <c r="J9" s="95" t="s">
        <v>229</v>
      </c>
      <c r="K9" s="94" t="s">
        <v>273</v>
      </c>
      <c r="L9" s="96">
        <v>18</v>
      </c>
      <c r="M9" s="96">
        <f>L9*VLOOKUP(H9,dagsoorttabel1,2,FALSE)</f>
        <v>18.45</v>
      </c>
      <c r="N9" s="97">
        <f>prodnorm18</f>
        <v>0</v>
      </c>
      <c r="O9" s="41">
        <f>dagwerk18</f>
        <v>0</v>
      </c>
      <c r="P9" s="94" t="s">
        <v>108</v>
      </c>
      <c r="Q9" s="26">
        <f>uurtarief18</f>
        <v>0</v>
      </c>
      <c r="R9" s="96" t="e">
        <f>IF(ISBLANK(N9),0,M9/ROUND(N9,4))</f>
        <v>#DIV/0!</v>
      </c>
      <c r="S9" s="96" t="e">
        <f>IF(ISBLANK(N9),0,R9*ROUND(O9,2))</f>
        <v>#DIV/0!</v>
      </c>
      <c r="T9" s="26" t="e">
        <f>ROUND(Q9,2)*R9</f>
        <v>#DIV/0!</v>
      </c>
      <c r="U9" s="96" t="e">
        <f>R9*dagenperjaar1</f>
        <v>#DIV/0!</v>
      </c>
      <c r="V9" s="27" t="e">
        <f>U9*ROUND(Q9,2)</f>
        <v>#DIV/0!</v>
      </c>
    </row>
    <row r="10" spans="1:22" x14ac:dyDescent="0.25">
      <c r="A10" s="93" t="s">
        <v>259</v>
      </c>
      <c r="B10" s="94" t="s">
        <v>41</v>
      </c>
      <c r="C10" s="94" t="s">
        <v>261</v>
      </c>
      <c r="D10" s="94" t="s">
        <v>274</v>
      </c>
      <c r="E10" s="95" t="s">
        <v>275</v>
      </c>
      <c r="F10" s="94" t="s">
        <v>264</v>
      </c>
      <c r="G10" s="94" t="s">
        <v>268</v>
      </c>
      <c r="H10" s="94"/>
      <c r="I10" s="94"/>
      <c r="J10" s="94"/>
      <c r="K10" s="94" t="s">
        <v>41</v>
      </c>
      <c r="L10" s="96">
        <v>7</v>
      </c>
      <c r="M10" s="96"/>
      <c r="N10" s="97"/>
      <c r="O10" s="41"/>
      <c r="P10" s="94"/>
      <c r="Q10" s="26"/>
      <c r="R10" s="96"/>
      <c r="S10" s="96"/>
      <c r="T10" s="26"/>
      <c r="U10" s="98"/>
      <c r="V10" s="27"/>
    </row>
    <row r="11" spans="1:22" x14ac:dyDescent="0.25">
      <c r="A11" s="93" t="s">
        <v>259</v>
      </c>
      <c r="B11" s="94" t="s">
        <v>41</v>
      </c>
      <c r="C11" s="94" t="s">
        <v>261</v>
      </c>
      <c r="D11" s="94" t="s">
        <v>276</v>
      </c>
      <c r="E11" s="95" t="s">
        <v>277</v>
      </c>
      <c r="F11" s="94" t="s">
        <v>264</v>
      </c>
      <c r="G11" s="94" t="s">
        <v>268</v>
      </c>
      <c r="H11" s="94"/>
      <c r="I11" s="94"/>
      <c r="J11" s="94"/>
      <c r="K11" s="94" t="s">
        <v>41</v>
      </c>
      <c r="L11" s="96">
        <v>41</v>
      </c>
      <c r="M11" s="96"/>
      <c r="N11" s="97"/>
      <c r="O11" s="41"/>
      <c r="P11" s="94"/>
      <c r="Q11" s="26"/>
      <c r="R11" s="96"/>
      <c r="S11" s="96"/>
      <c r="T11" s="26"/>
      <c r="U11" s="98"/>
      <c r="V11" s="27"/>
    </row>
    <row r="12" spans="1:22" x14ac:dyDescent="0.25">
      <c r="A12" s="93" t="s">
        <v>259</v>
      </c>
      <c r="B12" s="94" t="s">
        <v>41</v>
      </c>
      <c r="C12" s="94" t="s">
        <v>261</v>
      </c>
      <c r="D12" s="94" t="s">
        <v>278</v>
      </c>
      <c r="E12" s="95" t="s">
        <v>275</v>
      </c>
      <c r="F12" s="94" t="s">
        <v>264</v>
      </c>
      <c r="G12" s="94" t="s">
        <v>268</v>
      </c>
      <c r="H12" s="94"/>
      <c r="I12" s="94"/>
      <c r="J12" s="94"/>
      <c r="K12" s="94" t="s">
        <v>41</v>
      </c>
      <c r="L12" s="96">
        <v>10</v>
      </c>
      <c r="M12" s="96"/>
      <c r="N12" s="97"/>
      <c r="O12" s="41"/>
      <c r="P12" s="94"/>
      <c r="Q12" s="26"/>
      <c r="R12" s="96"/>
      <c r="S12" s="96"/>
      <c r="T12" s="26"/>
      <c r="U12" s="98"/>
      <c r="V12" s="27"/>
    </row>
    <row r="13" spans="1:22" x14ac:dyDescent="0.25">
      <c r="A13" s="93" t="s">
        <v>259</v>
      </c>
      <c r="B13" s="94" t="s">
        <v>41</v>
      </c>
      <c r="C13" s="94" t="s">
        <v>261</v>
      </c>
      <c r="D13" s="94" t="s">
        <v>279</v>
      </c>
      <c r="E13" s="95" t="s">
        <v>280</v>
      </c>
      <c r="F13" s="94" t="s">
        <v>264</v>
      </c>
      <c r="G13" s="94" t="s">
        <v>236</v>
      </c>
      <c r="H13" s="94" t="s">
        <v>9</v>
      </c>
      <c r="I13" s="94" t="s">
        <v>198</v>
      </c>
      <c r="J13" s="95" t="s">
        <v>237</v>
      </c>
      <c r="K13" s="94" t="s">
        <v>273</v>
      </c>
      <c r="L13" s="96">
        <v>19</v>
      </c>
      <c r="M13" s="96">
        <f>L13*VLOOKUP(H13,dagsoorttabel1,2,FALSE)</f>
        <v>19.474999999999998</v>
      </c>
      <c r="N13" s="97">
        <f>prodnorm22</f>
        <v>0</v>
      </c>
      <c r="O13" s="41">
        <f>dagwerk22</f>
        <v>0</v>
      </c>
      <c r="P13" s="94" t="s">
        <v>108</v>
      </c>
      <c r="Q13" s="26">
        <f>uurtarief22</f>
        <v>0</v>
      </c>
      <c r="R13" s="96" t="e">
        <f>IF(ISBLANK(N13),0,M13/ROUND(N13,4))</f>
        <v>#DIV/0!</v>
      </c>
      <c r="S13" s="96" t="e">
        <f>IF(ISBLANK(N13),0,R13*ROUND(O13,2))</f>
        <v>#DIV/0!</v>
      </c>
      <c r="T13" s="26" t="e">
        <f>ROUND(Q13,2)*R13</f>
        <v>#DIV/0!</v>
      </c>
      <c r="U13" s="96" t="e">
        <f>R13*dagenperjaar1</f>
        <v>#DIV/0!</v>
      </c>
      <c r="V13" s="27" t="e">
        <f>U13*ROUND(Q13,2)</f>
        <v>#DIV/0!</v>
      </c>
    </row>
    <row r="14" spans="1:22" x14ac:dyDescent="0.25">
      <c r="A14" s="93" t="s">
        <v>259</v>
      </c>
      <c r="B14" s="94" t="s">
        <v>41</v>
      </c>
      <c r="C14" s="94" t="s">
        <v>261</v>
      </c>
      <c r="D14" s="94" t="s">
        <v>281</v>
      </c>
      <c r="E14" s="95" t="s">
        <v>282</v>
      </c>
      <c r="F14" s="94" t="s">
        <v>283</v>
      </c>
      <c r="G14" s="94" t="s">
        <v>268</v>
      </c>
      <c r="H14" s="94"/>
      <c r="I14" s="94"/>
      <c r="J14" s="94"/>
      <c r="K14" s="94" t="s">
        <v>41</v>
      </c>
      <c r="L14" s="96">
        <v>128</v>
      </c>
      <c r="M14" s="96"/>
      <c r="N14" s="97"/>
      <c r="O14" s="41"/>
      <c r="P14" s="94"/>
      <c r="Q14" s="26"/>
      <c r="R14" s="96"/>
      <c r="S14" s="96"/>
      <c r="T14" s="26"/>
      <c r="U14" s="98"/>
      <c r="V14" s="27"/>
    </row>
    <row r="15" spans="1:22" x14ac:dyDescent="0.25">
      <c r="A15" s="93" t="s">
        <v>259</v>
      </c>
      <c r="B15" s="94" t="s">
        <v>41</v>
      </c>
      <c r="C15" s="94" t="s">
        <v>261</v>
      </c>
      <c r="D15" s="94" t="s">
        <v>284</v>
      </c>
      <c r="E15" s="95" t="s">
        <v>275</v>
      </c>
      <c r="F15" s="94" t="s">
        <v>41</v>
      </c>
      <c r="G15" s="94" t="s">
        <v>268</v>
      </c>
      <c r="H15" s="94"/>
      <c r="I15" s="94"/>
      <c r="J15" s="94"/>
      <c r="K15" s="94" t="s">
        <v>41</v>
      </c>
      <c r="L15" s="96">
        <v>2</v>
      </c>
      <c r="M15" s="96"/>
      <c r="N15" s="97"/>
      <c r="O15" s="41"/>
      <c r="P15" s="94"/>
      <c r="Q15" s="26"/>
      <c r="R15" s="96"/>
      <c r="S15" s="96"/>
      <c r="T15" s="26"/>
      <c r="U15" s="98"/>
      <c r="V15" s="27"/>
    </row>
    <row r="16" spans="1:22" x14ac:dyDescent="0.25">
      <c r="A16" s="93" t="s">
        <v>259</v>
      </c>
      <c r="B16" s="94" t="s">
        <v>41</v>
      </c>
      <c r="C16" s="94" t="s">
        <v>261</v>
      </c>
      <c r="D16" s="94" t="s">
        <v>285</v>
      </c>
      <c r="E16" s="95" t="s">
        <v>282</v>
      </c>
      <c r="F16" s="94" t="s">
        <v>283</v>
      </c>
      <c r="G16" s="94" t="s">
        <v>268</v>
      </c>
      <c r="H16" s="94"/>
      <c r="I16" s="94"/>
      <c r="J16" s="94"/>
      <c r="K16" s="94" t="s">
        <v>41</v>
      </c>
      <c r="L16" s="96">
        <v>79</v>
      </c>
      <c r="M16" s="96"/>
      <c r="N16" s="97"/>
      <c r="O16" s="41"/>
      <c r="P16" s="94"/>
      <c r="Q16" s="26"/>
      <c r="R16" s="96"/>
      <c r="S16" s="96"/>
      <c r="T16" s="26"/>
      <c r="U16" s="98"/>
      <c r="V16" s="27"/>
    </row>
    <row r="17" spans="1:22" x14ac:dyDescent="0.25">
      <c r="A17" s="93" t="s">
        <v>259</v>
      </c>
      <c r="B17" s="94" t="s">
        <v>41</v>
      </c>
      <c r="C17" s="94" t="s">
        <v>261</v>
      </c>
      <c r="D17" s="94" t="s">
        <v>286</v>
      </c>
      <c r="E17" s="95" t="s">
        <v>287</v>
      </c>
      <c r="F17" s="94" t="s">
        <v>264</v>
      </c>
      <c r="G17" s="94" t="s">
        <v>268</v>
      </c>
      <c r="H17" s="94"/>
      <c r="I17" s="94"/>
      <c r="J17" s="94"/>
      <c r="K17" s="94" t="s">
        <v>41</v>
      </c>
      <c r="L17" s="96">
        <v>14</v>
      </c>
      <c r="M17" s="96"/>
      <c r="N17" s="97"/>
      <c r="O17" s="41"/>
      <c r="P17" s="94"/>
      <c r="Q17" s="26"/>
      <c r="R17" s="96"/>
      <c r="S17" s="96"/>
      <c r="T17" s="26"/>
      <c r="U17" s="98"/>
      <c r="V17" s="27"/>
    </row>
    <row r="18" spans="1:22" x14ac:dyDescent="0.25">
      <c r="A18" s="93" t="s">
        <v>259</v>
      </c>
      <c r="B18" s="94" t="s">
        <v>41</v>
      </c>
      <c r="C18" s="94" t="s">
        <v>261</v>
      </c>
      <c r="D18" s="94" t="s">
        <v>288</v>
      </c>
      <c r="E18" s="95" t="s">
        <v>289</v>
      </c>
      <c r="F18" s="94" t="s">
        <v>264</v>
      </c>
      <c r="G18" s="94" t="s">
        <v>268</v>
      </c>
      <c r="H18" s="94"/>
      <c r="I18" s="94"/>
      <c r="J18" s="94"/>
      <c r="K18" s="94" t="s">
        <v>41</v>
      </c>
      <c r="L18" s="96">
        <v>4</v>
      </c>
      <c r="M18" s="96"/>
      <c r="N18" s="97"/>
      <c r="O18" s="41"/>
      <c r="P18" s="94"/>
      <c r="Q18" s="26"/>
      <c r="R18" s="96"/>
      <c r="S18" s="96"/>
      <c r="T18" s="26"/>
      <c r="U18" s="98"/>
      <c r="V18" s="27"/>
    </row>
    <row r="19" spans="1:22" x14ac:dyDescent="0.25">
      <c r="A19" s="93" t="s">
        <v>259</v>
      </c>
      <c r="B19" s="94" t="s">
        <v>41</v>
      </c>
      <c r="C19" s="94" t="s">
        <v>261</v>
      </c>
      <c r="D19" s="94" t="s">
        <v>290</v>
      </c>
      <c r="E19" s="95" t="s">
        <v>280</v>
      </c>
      <c r="F19" s="94" t="s">
        <v>264</v>
      </c>
      <c r="G19" s="94" t="s">
        <v>236</v>
      </c>
      <c r="H19" s="94" t="s">
        <v>9</v>
      </c>
      <c r="I19" s="94" t="s">
        <v>198</v>
      </c>
      <c r="J19" s="95" t="s">
        <v>237</v>
      </c>
      <c r="K19" s="94" t="s">
        <v>273</v>
      </c>
      <c r="L19" s="96">
        <v>18</v>
      </c>
      <c r="M19" s="96">
        <f>L19*VLOOKUP(H19,dagsoorttabel1,2,FALSE)</f>
        <v>18.45</v>
      </c>
      <c r="N19" s="97">
        <f>prodnorm22</f>
        <v>0</v>
      </c>
      <c r="O19" s="41">
        <f>dagwerk22</f>
        <v>0</v>
      </c>
      <c r="P19" s="94" t="s">
        <v>108</v>
      </c>
      <c r="Q19" s="26">
        <f>uurtarief22</f>
        <v>0</v>
      </c>
      <c r="R19" s="96" t="e">
        <f>IF(ISBLANK(N19),0,M19/ROUND(N19,4))</f>
        <v>#DIV/0!</v>
      </c>
      <c r="S19" s="96" t="e">
        <f>IF(ISBLANK(N19),0,R19*ROUND(O19,2))</f>
        <v>#DIV/0!</v>
      </c>
      <c r="T19" s="26" t="e">
        <f>ROUND(Q19,2)*R19</f>
        <v>#DIV/0!</v>
      </c>
      <c r="U19" s="96" t="e">
        <f>R19*dagenperjaar1</f>
        <v>#DIV/0!</v>
      </c>
      <c r="V19" s="27" t="e">
        <f>U19*ROUND(Q19,2)</f>
        <v>#DIV/0!</v>
      </c>
    </row>
    <row r="20" spans="1:22" x14ac:dyDescent="0.25">
      <c r="A20" s="93" t="s">
        <v>259</v>
      </c>
      <c r="B20" s="94" t="s">
        <v>41</v>
      </c>
      <c r="C20" s="94" t="s">
        <v>261</v>
      </c>
      <c r="D20" s="94" t="s">
        <v>291</v>
      </c>
      <c r="E20" s="95" t="s">
        <v>292</v>
      </c>
      <c r="F20" s="94" t="s">
        <v>264</v>
      </c>
      <c r="G20" s="94" t="s">
        <v>268</v>
      </c>
      <c r="H20" s="94"/>
      <c r="I20" s="94"/>
      <c r="J20" s="94"/>
      <c r="K20" s="94" t="s">
        <v>41</v>
      </c>
      <c r="L20" s="96">
        <v>10</v>
      </c>
      <c r="M20" s="96"/>
      <c r="N20" s="97"/>
      <c r="O20" s="41"/>
      <c r="P20" s="94"/>
      <c r="Q20" s="26"/>
      <c r="R20" s="96"/>
      <c r="S20" s="96"/>
      <c r="T20" s="26"/>
      <c r="U20" s="98"/>
      <c r="V20" s="27"/>
    </row>
    <row r="21" spans="1:22" x14ac:dyDescent="0.25">
      <c r="A21" s="93" t="s">
        <v>259</v>
      </c>
      <c r="B21" s="94" t="s">
        <v>41</v>
      </c>
      <c r="C21" s="94" t="s">
        <v>261</v>
      </c>
      <c r="D21" s="94" t="s">
        <v>293</v>
      </c>
      <c r="E21" s="95" t="s">
        <v>294</v>
      </c>
      <c r="F21" s="94" t="s">
        <v>295</v>
      </c>
      <c r="G21" s="94" t="s">
        <v>220</v>
      </c>
      <c r="H21" s="94" t="s">
        <v>9</v>
      </c>
      <c r="I21" s="94" t="s">
        <v>198</v>
      </c>
      <c r="J21" s="95" t="s">
        <v>221</v>
      </c>
      <c r="K21" s="94" t="s">
        <v>296</v>
      </c>
      <c r="L21" s="96">
        <v>3</v>
      </c>
      <c r="M21" s="96">
        <f>L21*VLOOKUP(H21,dagsoorttabel1,2,FALSE)</f>
        <v>3.0749999999999997</v>
      </c>
      <c r="N21" s="97">
        <f>prodnorm14</f>
        <v>0</v>
      </c>
      <c r="O21" s="41">
        <f>dagwerk14</f>
        <v>0</v>
      </c>
      <c r="P21" s="94" t="s">
        <v>108</v>
      </c>
      <c r="Q21" s="26">
        <f>uurtarief14</f>
        <v>0</v>
      </c>
      <c r="R21" s="96" t="e">
        <f>IF(ISBLANK(N21),0,M21/ROUND(N21,4))</f>
        <v>#DIV/0!</v>
      </c>
      <c r="S21" s="96" t="e">
        <f>IF(ISBLANK(N21),0,R21*ROUND(O21,2))</f>
        <v>#DIV/0!</v>
      </c>
      <c r="T21" s="26" t="e">
        <f>ROUND(Q21,2)*R21</f>
        <v>#DIV/0!</v>
      </c>
      <c r="U21" s="96" t="e">
        <f>R21*dagenperjaar1</f>
        <v>#DIV/0!</v>
      </c>
      <c r="V21" s="27" t="e">
        <f>U21*ROUND(Q21,2)</f>
        <v>#DIV/0!</v>
      </c>
    </row>
    <row r="22" spans="1:22" x14ac:dyDescent="0.25">
      <c r="A22" s="93" t="s">
        <v>259</v>
      </c>
      <c r="B22" s="94" t="s">
        <v>41</v>
      </c>
      <c r="C22" s="94" t="s">
        <v>261</v>
      </c>
      <c r="D22" s="94" t="s">
        <v>297</v>
      </c>
      <c r="E22" s="95" t="s">
        <v>294</v>
      </c>
      <c r="F22" s="94" t="s">
        <v>295</v>
      </c>
      <c r="G22" s="94" t="s">
        <v>220</v>
      </c>
      <c r="H22" s="94" t="s">
        <v>9</v>
      </c>
      <c r="I22" s="94" t="s">
        <v>198</v>
      </c>
      <c r="J22" s="95" t="s">
        <v>221</v>
      </c>
      <c r="K22" s="94" t="s">
        <v>296</v>
      </c>
      <c r="L22" s="96">
        <v>2</v>
      </c>
      <c r="M22" s="96">
        <f>L22*VLOOKUP(H22,dagsoorttabel1,2,FALSE)</f>
        <v>2.0499999999999998</v>
      </c>
      <c r="N22" s="97">
        <f>prodnorm14</f>
        <v>0</v>
      </c>
      <c r="O22" s="41">
        <f>dagwerk14</f>
        <v>0</v>
      </c>
      <c r="P22" s="94" t="s">
        <v>108</v>
      </c>
      <c r="Q22" s="26">
        <f>uurtarief14</f>
        <v>0</v>
      </c>
      <c r="R22" s="96" t="e">
        <f>IF(ISBLANK(N22),0,M22/ROUND(N22,4))</f>
        <v>#DIV/0!</v>
      </c>
      <c r="S22" s="96" t="e">
        <f>IF(ISBLANK(N22),0,R22*ROUND(O22,2))</f>
        <v>#DIV/0!</v>
      </c>
      <c r="T22" s="26" t="e">
        <f>ROUND(Q22,2)*R22</f>
        <v>#DIV/0!</v>
      </c>
      <c r="U22" s="96" t="e">
        <f>R22*dagenperjaar1</f>
        <v>#DIV/0!</v>
      </c>
      <c r="V22" s="27" t="e">
        <f>U22*ROUND(Q22,2)</f>
        <v>#DIV/0!</v>
      </c>
    </row>
    <row r="23" spans="1:22" x14ac:dyDescent="0.25">
      <c r="A23" s="93" t="s">
        <v>259</v>
      </c>
      <c r="B23" s="94" t="s">
        <v>41</v>
      </c>
      <c r="C23" s="94" t="s">
        <v>261</v>
      </c>
      <c r="D23" s="94" t="s">
        <v>298</v>
      </c>
      <c r="E23" s="95" t="s">
        <v>299</v>
      </c>
      <c r="F23" s="94" t="s">
        <v>300</v>
      </c>
      <c r="G23" s="94" t="s">
        <v>234</v>
      </c>
      <c r="H23" s="94" t="s">
        <v>9</v>
      </c>
      <c r="I23" s="94" t="s">
        <v>198</v>
      </c>
      <c r="J23" s="95" t="s">
        <v>235</v>
      </c>
      <c r="K23" s="94" t="s">
        <v>273</v>
      </c>
      <c r="L23" s="96">
        <v>14</v>
      </c>
      <c r="M23" s="96">
        <f>L23*VLOOKUP(H23,dagsoorttabel1,2,FALSE)</f>
        <v>14.349999999999998</v>
      </c>
      <c r="N23" s="97">
        <f>prodnorm21</f>
        <v>0</v>
      </c>
      <c r="O23" s="41">
        <f>dagwerk21</f>
        <v>0</v>
      </c>
      <c r="P23" s="94" t="s">
        <v>108</v>
      </c>
      <c r="Q23" s="26">
        <f>uurtarief21</f>
        <v>0</v>
      </c>
      <c r="R23" s="96" t="e">
        <f>IF(ISBLANK(N23),0,M23/ROUND(N23,4))</f>
        <v>#DIV/0!</v>
      </c>
      <c r="S23" s="96" t="e">
        <f>IF(ISBLANK(N23),0,R23*ROUND(O23,2))</f>
        <v>#DIV/0!</v>
      </c>
      <c r="T23" s="26" t="e">
        <f>ROUND(Q23,2)*R23</f>
        <v>#DIV/0!</v>
      </c>
      <c r="U23" s="96" t="e">
        <f>R23*dagenperjaar1</f>
        <v>#DIV/0!</v>
      </c>
      <c r="V23" s="27" t="e">
        <f>U23*ROUND(Q23,2)</f>
        <v>#DIV/0!</v>
      </c>
    </row>
    <row r="24" spans="1:22" x14ac:dyDescent="0.25">
      <c r="A24" s="93" t="s">
        <v>259</v>
      </c>
      <c r="B24" s="94" t="s">
        <v>41</v>
      </c>
      <c r="C24" s="94" t="s">
        <v>261</v>
      </c>
      <c r="D24" s="94" t="s">
        <v>301</v>
      </c>
      <c r="E24" s="95" t="s">
        <v>302</v>
      </c>
      <c r="F24" s="94" t="s">
        <v>300</v>
      </c>
      <c r="G24" s="94" t="s">
        <v>234</v>
      </c>
      <c r="H24" s="94" t="s">
        <v>9</v>
      </c>
      <c r="I24" s="94" t="s">
        <v>198</v>
      </c>
      <c r="J24" s="95" t="s">
        <v>235</v>
      </c>
      <c r="K24" s="94" t="s">
        <v>273</v>
      </c>
      <c r="L24" s="96">
        <v>90</v>
      </c>
      <c r="M24" s="96">
        <f>L24*VLOOKUP(H24,dagsoorttabel1,2,FALSE)</f>
        <v>92.249999999999986</v>
      </c>
      <c r="N24" s="97">
        <f>prodnorm21</f>
        <v>0</v>
      </c>
      <c r="O24" s="41">
        <f>dagwerk21</f>
        <v>0</v>
      </c>
      <c r="P24" s="94" t="s">
        <v>108</v>
      </c>
      <c r="Q24" s="26">
        <f>uurtarief21</f>
        <v>0</v>
      </c>
      <c r="R24" s="96" t="e">
        <f>IF(ISBLANK(N24),0,M24/ROUND(N24,4))</f>
        <v>#DIV/0!</v>
      </c>
      <c r="S24" s="96" t="e">
        <f>IF(ISBLANK(N24),0,R24*ROUND(O24,2))</f>
        <v>#DIV/0!</v>
      </c>
      <c r="T24" s="26" t="e">
        <f>ROUND(Q24,2)*R24</f>
        <v>#DIV/0!</v>
      </c>
      <c r="U24" s="96" t="e">
        <f>R24*dagenperjaar1</f>
        <v>#DIV/0!</v>
      </c>
      <c r="V24" s="27" t="e">
        <f>U24*ROUND(Q24,2)</f>
        <v>#DIV/0!</v>
      </c>
    </row>
    <row r="25" spans="1:22" x14ac:dyDescent="0.25">
      <c r="A25" s="93" t="s">
        <v>259</v>
      </c>
      <c r="B25" s="94" t="s">
        <v>41</v>
      </c>
      <c r="C25" s="94" t="s">
        <v>261</v>
      </c>
      <c r="D25" s="94" t="s">
        <v>303</v>
      </c>
      <c r="E25" s="95" t="s">
        <v>280</v>
      </c>
      <c r="F25" s="94" t="s">
        <v>304</v>
      </c>
      <c r="G25" s="94" t="s">
        <v>236</v>
      </c>
      <c r="H25" s="94" t="s">
        <v>9</v>
      </c>
      <c r="I25" s="94" t="s">
        <v>198</v>
      </c>
      <c r="J25" s="95" t="s">
        <v>237</v>
      </c>
      <c r="K25" s="94" t="s">
        <v>273</v>
      </c>
      <c r="L25" s="96">
        <v>45</v>
      </c>
      <c r="M25" s="96">
        <f>L25*VLOOKUP(H25,dagsoorttabel1,2,FALSE)</f>
        <v>46.124999999999993</v>
      </c>
      <c r="N25" s="97">
        <f>prodnorm22</f>
        <v>0</v>
      </c>
      <c r="O25" s="41">
        <f>dagwerk22</f>
        <v>0</v>
      </c>
      <c r="P25" s="94" t="s">
        <v>108</v>
      </c>
      <c r="Q25" s="26">
        <f>uurtarief22</f>
        <v>0</v>
      </c>
      <c r="R25" s="96" t="e">
        <f>IF(ISBLANK(N25),0,M25/ROUND(N25,4))</f>
        <v>#DIV/0!</v>
      </c>
      <c r="S25" s="96" t="e">
        <f>IF(ISBLANK(N25),0,R25*ROUND(O25,2))</f>
        <v>#DIV/0!</v>
      </c>
      <c r="T25" s="26" t="e">
        <f>ROUND(Q25,2)*R25</f>
        <v>#DIV/0!</v>
      </c>
      <c r="U25" s="96" t="e">
        <f>R25*dagenperjaar1</f>
        <v>#DIV/0!</v>
      </c>
      <c r="V25" s="27" t="e">
        <f>U25*ROUND(Q25,2)</f>
        <v>#DIV/0!</v>
      </c>
    </row>
    <row r="26" spans="1:22" x14ac:dyDescent="0.25">
      <c r="A26" s="93" t="s">
        <v>259</v>
      </c>
      <c r="B26" s="94" t="s">
        <v>41</v>
      </c>
      <c r="C26" s="94" t="s">
        <v>261</v>
      </c>
      <c r="D26" s="94" t="s">
        <v>305</v>
      </c>
      <c r="E26" s="95" t="s">
        <v>275</v>
      </c>
      <c r="F26" s="94" t="s">
        <v>304</v>
      </c>
      <c r="G26" s="94" t="s">
        <v>268</v>
      </c>
      <c r="H26" s="94"/>
      <c r="I26" s="94"/>
      <c r="J26" s="94"/>
      <c r="K26" s="94" t="s">
        <v>41</v>
      </c>
      <c r="L26" s="96">
        <v>7</v>
      </c>
      <c r="M26" s="96"/>
      <c r="N26" s="97"/>
      <c r="O26" s="41"/>
      <c r="P26" s="94"/>
      <c r="Q26" s="26"/>
      <c r="R26" s="96"/>
      <c r="S26" s="96"/>
      <c r="T26" s="26"/>
      <c r="U26" s="98"/>
      <c r="V26" s="27"/>
    </row>
    <row r="27" spans="1:22" x14ac:dyDescent="0.25">
      <c r="A27" s="93" t="s">
        <v>259</v>
      </c>
      <c r="B27" s="94" t="s">
        <v>41</v>
      </c>
      <c r="C27" s="94" t="s">
        <v>261</v>
      </c>
      <c r="D27" s="94" t="s">
        <v>306</v>
      </c>
      <c r="E27" s="95" t="s">
        <v>280</v>
      </c>
      <c r="F27" s="94" t="s">
        <v>304</v>
      </c>
      <c r="G27" s="94" t="s">
        <v>236</v>
      </c>
      <c r="H27" s="94" t="s">
        <v>9</v>
      </c>
      <c r="I27" s="94" t="s">
        <v>198</v>
      </c>
      <c r="J27" s="95" t="s">
        <v>237</v>
      </c>
      <c r="K27" s="94" t="s">
        <v>273</v>
      </c>
      <c r="L27" s="96">
        <v>17</v>
      </c>
      <c r="M27" s="96">
        <f>L27*VLOOKUP(H27,dagsoorttabel1,2,FALSE)</f>
        <v>17.424999999999997</v>
      </c>
      <c r="N27" s="97">
        <f>prodnorm22</f>
        <v>0</v>
      </c>
      <c r="O27" s="41">
        <f>dagwerk22</f>
        <v>0</v>
      </c>
      <c r="P27" s="94" t="s">
        <v>108</v>
      </c>
      <c r="Q27" s="26">
        <f>uurtarief22</f>
        <v>0</v>
      </c>
      <c r="R27" s="96" t="e">
        <f>IF(ISBLANK(N27),0,M27/ROUND(N27,4))</f>
        <v>#DIV/0!</v>
      </c>
      <c r="S27" s="96" t="e">
        <f>IF(ISBLANK(N27),0,R27*ROUND(O27,2))</f>
        <v>#DIV/0!</v>
      </c>
      <c r="T27" s="26" t="e">
        <f>ROUND(Q27,2)*R27</f>
        <v>#DIV/0!</v>
      </c>
      <c r="U27" s="96" t="e">
        <f>R27*dagenperjaar1</f>
        <v>#DIV/0!</v>
      </c>
      <c r="V27" s="27" t="e">
        <f>U27*ROUND(Q27,2)</f>
        <v>#DIV/0!</v>
      </c>
    </row>
    <row r="28" spans="1:22" x14ac:dyDescent="0.25">
      <c r="A28" s="93" t="s">
        <v>259</v>
      </c>
      <c r="B28" s="94" t="s">
        <v>41</v>
      </c>
      <c r="C28" s="94" t="s">
        <v>261</v>
      </c>
      <c r="D28" s="94" t="s">
        <v>307</v>
      </c>
      <c r="E28" s="95" t="s">
        <v>282</v>
      </c>
      <c r="F28" s="94" t="s">
        <v>283</v>
      </c>
      <c r="G28" s="94" t="s">
        <v>268</v>
      </c>
      <c r="H28" s="94"/>
      <c r="I28" s="94"/>
      <c r="J28" s="94"/>
      <c r="K28" s="94" t="s">
        <v>41</v>
      </c>
      <c r="L28" s="96">
        <v>821</v>
      </c>
      <c r="M28" s="96"/>
      <c r="N28" s="97"/>
      <c r="O28" s="41"/>
      <c r="P28" s="94"/>
      <c r="Q28" s="26"/>
      <c r="R28" s="96"/>
      <c r="S28" s="96"/>
      <c r="T28" s="26"/>
      <c r="U28" s="98"/>
      <c r="V28" s="27"/>
    </row>
    <row r="29" spans="1:22" x14ac:dyDescent="0.25">
      <c r="A29" s="93" t="s">
        <v>259</v>
      </c>
      <c r="B29" s="94" t="s">
        <v>41</v>
      </c>
      <c r="C29" s="94" t="s">
        <v>261</v>
      </c>
      <c r="D29" s="94" t="s">
        <v>308</v>
      </c>
      <c r="E29" s="95" t="s">
        <v>309</v>
      </c>
      <c r="F29" s="94" t="s">
        <v>310</v>
      </c>
      <c r="G29" s="94" t="s">
        <v>268</v>
      </c>
      <c r="H29" s="94"/>
      <c r="I29" s="94"/>
      <c r="J29" s="94"/>
      <c r="K29" s="94" t="s">
        <v>41</v>
      </c>
      <c r="L29" s="96">
        <v>34</v>
      </c>
      <c r="M29" s="96"/>
      <c r="N29" s="97"/>
      <c r="O29" s="41"/>
      <c r="P29" s="94"/>
      <c r="Q29" s="26"/>
      <c r="R29" s="96"/>
      <c r="S29" s="96"/>
      <c r="T29" s="26"/>
      <c r="U29" s="98"/>
      <c r="V29" s="27"/>
    </row>
    <row r="30" spans="1:22" x14ac:dyDescent="0.25">
      <c r="A30" s="93" t="s">
        <v>259</v>
      </c>
      <c r="B30" s="94" t="s">
        <v>41</v>
      </c>
      <c r="C30" s="94" t="s">
        <v>261</v>
      </c>
      <c r="D30" s="94" t="s">
        <v>311</v>
      </c>
      <c r="E30" s="95" t="s">
        <v>275</v>
      </c>
      <c r="F30" s="94" t="s">
        <v>41</v>
      </c>
      <c r="G30" s="94" t="s">
        <v>268</v>
      </c>
      <c r="H30" s="94"/>
      <c r="I30" s="94"/>
      <c r="J30" s="94"/>
      <c r="K30" s="94" t="s">
        <v>41</v>
      </c>
      <c r="L30" s="96">
        <v>5</v>
      </c>
      <c r="M30" s="96"/>
      <c r="N30" s="97"/>
      <c r="O30" s="41"/>
      <c r="P30" s="94"/>
      <c r="Q30" s="26"/>
      <c r="R30" s="96"/>
      <c r="S30" s="96"/>
      <c r="T30" s="26"/>
      <c r="U30" s="98"/>
      <c r="V30" s="27"/>
    </row>
    <row r="31" spans="1:22" x14ac:dyDescent="0.25">
      <c r="A31" s="93" t="s">
        <v>259</v>
      </c>
      <c r="B31" s="94" t="s">
        <v>41</v>
      </c>
      <c r="C31" s="94" t="s">
        <v>261</v>
      </c>
      <c r="D31" s="94" t="s">
        <v>312</v>
      </c>
      <c r="E31" s="95" t="s">
        <v>313</v>
      </c>
      <c r="F31" s="94" t="s">
        <v>264</v>
      </c>
      <c r="G31" s="94" t="s">
        <v>268</v>
      </c>
      <c r="H31" s="94"/>
      <c r="I31" s="94"/>
      <c r="J31" s="94"/>
      <c r="K31" s="94" t="s">
        <v>265</v>
      </c>
      <c r="L31" s="96">
        <v>7</v>
      </c>
      <c r="M31" s="96"/>
      <c r="N31" s="97"/>
      <c r="O31" s="41"/>
      <c r="P31" s="94"/>
      <c r="Q31" s="26"/>
      <c r="R31" s="96"/>
      <c r="S31" s="96"/>
      <c r="T31" s="26"/>
      <c r="U31" s="98"/>
      <c r="V31" s="27"/>
    </row>
    <row r="32" spans="1:22" x14ac:dyDescent="0.25">
      <c r="A32" s="93" t="s">
        <v>259</v>
      </c>
      <c r="B32" s="94" t="s">
        <v>41</v>
      </c>
      <c r="C32" s="94" t="s">
        <v>261</v>
      </c>
      <c r="D32" s="94" t="s">
        <v>314</v>
      </c>
      <c r="E32" s="95" t="s">
        <v>315</v>
      </c>
      <c r="F32" s="94" t="s">
        <v>264</v>
      </c>
      <c r="G32" s="94" t="s">
        <v>268</v>
      </c>
      <c r="H32" s="94"/>
      <c r="I32" s="94"/>
      <c r="J32" s="94"/>
      <c r="K32" s="94" t="s">
        <v>273</v>
      </c>
      <c r="L32" s="96">
        <v>13</v>
      </c>
      <c r="M32" s="96"/>
      <c r="N32" s="97"/>
      <c r="O32" s="41"/>
      <c r="P32" s="94"/>
      <c r="Q32" s="26"/>
      <c r="R32" s="96"/>
      <c r="S32" s="96"/>
      <c r="T32" s="26"/>
      <c r="U32" s="98"/>
      <c r="V32" s="27"/>
    </row>
    <row r="33" spans="1:22" x14ac:dyDescent="0.25">
      <c r="A33" s="93" t="s">
        <v>259</v>
      </c>
      <c r="B33" s="94" t="s">
        <v>41</v>
      </c>
      <c r="C33" s="94" t="s">
        <v>261</v>
      </c>
      <c r="D33" s="94" t="s">
        <v>316</v>
      </c>
      <c r="E33" s="95" t="s">
        <v>317</v>
      </c>
      <c r="F33" s="94" t="s">
        <v>41</v>
      </c>
      <c r="G33" s="94" t="s">
        <v>268</v>
      </c>
      <c r="H33" s="94"/>
      <c r="I33" s="94"/>
      <c r="J33" s="94"/>
      <c r="K33" s="94" t="s">
        <v>41</v>
      </c>
      <c r="L33" s="96">
        <v>4</v>
      </c>
      <c r="M33" s="96"/>
      <c r="N33" s="97"/>
      <c r="O33" s="41"/>
      <c r="P33" s="94"/>
      <c r="Q33" s="26"/>
      <c r="R33" s="96"/>
      <c r="S33" s="96"/>
      <c r="T33" s="26"/>
      <c r="U33" s="98"/>
      <c r="V33" s="27"/>
    </row>
    <row r="34" spans="1:22" x14ac:dyDescent="0.25">
      <c r="A34" s="93" t="s">
        <v>259</v>
      </c>
      <c r="B34" s="94" t="s">
        <v>41</v>
      </c>
      <c r="C34" s="94" t="s">
        <v>261</v>
      </c>
      <c r="D34" s="94" t="s">
        <v>318</v>
      </c>
      <c r="E34" s="95" t="s">
        <v>272</v>
      </c>
      <c r="F34" s="94" t="s">
        <v>264</v>
      </c>
      <c r="G34" s="94" t="s">
        <v>228</v>
      </c>
      <c r="H34" s="94" t="s">
        <v>9</v>
      </c>
      <c r="I34" s="94" t="s">
        <v>198</v>
      </c>
      <c r="J34" s="95" t="s">
        <v>229</v>
      </c>
      <c r="K34" s="94" t="s">
        <v>273</v>
      </c>
      <c r="L34" s="96">
        <v>18</v>
      </c>
      <c r="M34" s="96">
        <f>L34*VLOOKUP(H34,dagsoorttabel1,2,FALSE)</f>
        <v>18.45</v>
      </c>
      <c r="N34" s="97">
        <f>prodnorm18</f>
        <v>0</v>
      </c>
      <c r="O34" s="41">
        <f>dagwerk18</f>
        <v>0</v>
      </c>
      <c r="P34" s="94" t="s">
        <v>108</v>
      </c>
      <c r="Q34" s="26">
        <f>uurtarief18</f>
        <v>0</v>
      </c>
      <c r="R34" s="96" t="e">
        <f>IF(ISBLANK(N34),0,M34/ROUND(N34,4))</f>
        <v>#DIV/0!</v>
      </c>
      <c r="S34" s="96" t="e">
        <f>IF(ISBLANK(N34),0,R34*ROUND(O34,2))</f>
        <v>#DIV/0!</v>
      </c>
      <c r="T34" s="26" t="e">
        <f>ROUND(Q34,2)*R34</f>
        <v>#DIV/0!</v>
      </c>
      <c r="U34" s="96" t="e">
        <f>R34*dagenperjaar1</f>
        <v>#DIV/0!</v>
      </c>
      <c r="V34" s="27" t="e">
        <f>U34*ROUND(Q34,2)</f>
        <v>#DIV/0!</v>
      </c>
    </row>
    <row r="35" spans="1:22" x14ac:dyDescent="0.25">
      <c r="A35" s="93" t="s">
        <v>259</v>
      </c>
      <c r="B35" s="94" t="s">
        <v>41</v>
      </c>
      <c r="C35" s="94" t="s">
        <v>261</v>
      </c>
      <c r="D35" s="94" t="s">
        <v>319</v>
      </c>
      <c r="E35" s="95" t="s">
        <v>320</v>
      </c>
      <c r="F35" s="94" t="s">
        <v>264</v>
      </c>
      <c r="G35" s="94" t="s">
        <v>268</v>
      </c>
      <c r="H35" s="94"/>
      <c r="I35" s="94"/>
      <c r="J35" s="94"/>
      <c r="K35" s="94" t="s">
        <v>41</v>
      </c>
      <c r="L35" s="96">
        <v>5</v>
      </c>
      <c r="M35" s="96"/>
      <c r="N35" s="97"/>
      <c r="O35" s="41"/>
      <c r="P35" s="94"/>
      <c r="Q35" s="26"/>
      <c r="R35" s="96"/>
      <c r="S35" s="96"/>
      <c r="T35" s="26"/>
      <c r="U35" s="98"/>
      <c r="V35" s="27"/>
    </row>
    <row r="36" spans="1:22" x14ac:dyDescent="0.25">
      <c r="A36" s="93" t="s">
        <v>259</v>
      </c>
      <c r="B36" s="94" t="s">
        <v>41</v>
      </c>
      <c r="C36" s="94" t="s">
        <v>261</v>
      </c>
      <c r="D36" s="94" t="s">
        <v>321</v>
      </c>
      <c r="E36" s="95" t="s">
        <v>320</v>
      </c>
      <c r="F36" s="94" t="s">
        <v>264</v>
      </c>
      <c r="G36" s="94" t="s">
        <v>268</v>
      </c>
      <c r="H36" s="94"/>
      <c r="I36" s="94"/>
      <c r="J36" s="94"/>
      <c r="K36" s="94" t="s">
        <v>41</v>
      </c>
      <c r="L36" s="96">
        <v>1</v>
      </c>
      <c r="M36" s="96"/>
      <c r="N36" s="97"/>
      <c r="O36" s="41"/>
      <c r="P36" s="94"/>
      <c r="Q36" s="26"/>
      <c r="R36" s="96"/>
      <c r="S36" s="96"/>
      <c r="T36" s="26"/>
      <c r="U36" s="98"/>
      <c r="V36" s="27"/>
    </row>
    <row r="37" spans="1:22" x14ac:dyDescent="0.25">
      <c r="A37" s="93" t="s">
        <v>259</v>
      </c>
      <c r="B37" s="94" t="s">
        <v>41</v>
      </c>
      <c r="C37" s="94" t="s">
        <v>261</v>
      </c>
      <c r="D37" s="94" t="s">
        <v>322</v>
      </c>
      <c r="E37" s="95" t="s">
        <v>323</v>
      </c>
      <c r="F37" s="94" t="s">
        <v>283</v>
      </c>
      <c r="G37" s="94" t="s">
        <v>268</v>
      </c>
      <c r="H37" s="94"/>
      <c r="I37" s="94"/>
      <c r="J37" s="94"/>
      <c r="K37" s="94" t="s">
        <v>41</v>
      </c>
      <c r="L37" s="96">
        <v>48</v>
      </c>
      <c r="M37" s="96"/>
      <c r="N37" s="97"/>
      <c r="O37" s="41"/>
      <c r="P37" s="94"/>
      <c r="Q37" s="26"/>
      <c r="R37" s="96"/>
      <c r="S37" s="96"/>
      <c r="T37" s="26"/>
      <c r="U37" s="98"/>
      <c r="V37" s="27"/>
    </row>
    <row r="38" spans="1:22" x14ac:dyDescent="0.25">
      <c r="A38" s="93" t="s">
        <v>259</v>
      </c>
      <c r="B38" s="94" t="s">
        <v>41</v>
      </c>
      <c r="C38" s="94" t="s">
        <v>261</v>
      </c>
      <c r="D38" s="94" t="s">
        <v>324</v>
      </c>
      <c r="E38" s="95" t="s">
        <v>325</v>
      </c>
      <c r="F38" s="94" t="s">
        <v>283</v>
      </c>
      <c r="G38" s="94" t="s">
        <v>268</v>
      </c>
      <c r="H38" s="94"/>
      <c r="I38" s="94"/>
      <c r="J38" s="94"/>
      <c r="K38" s="94" t="s">
        <v>41</v>
      </c>
      <c r="L38" s="96">
        <v>11</v>
      </c>
      <c r="M38" s="96"/>
      <c r="N38" s="97"/>
      <c r="O38" s="41"/>
      <c r="P38" s="94"/>
      <c r="Q38" s="26"/>
      <c r="R38" s="96"/>
      <c r="S38" s="96"/>
      <c r="T38" s="26"/>
      <c r="U38" s="98"/>
      <c r="V38" s="27"/>
    </row>
    <row r="39" spans="1:22" x14ac:dyDescent="0.25">
      <c r="A39" s="93" t="s">
        <v>259</v>
      </c>
      <c r="B39" s="94" t="s">
        <v>41</v>
      </c>
      <c r="C39" s="94" t="s">
        <v>261</v>
      </c>
      <c r="D39" s="94" t="s">
        <v>326</v>
      </c>
      <c r="E39" s="95" t="s">
        <v>275</v>
      </c>
      <c r="F39" s="94" t="s">
        <v>264</v>
      </c>
      <c r="G39" s="94" t="s">
        <v>268</v>
      </c>
      <c r="H39" s="94"/>
      <c r="I39" s="94"/>
      <c r="J39" s="94"/>
      <c r="K39" s="94" t="s">
        <v>41</v>
      </c>
      <c r="L39" s="96">
        <v>4</v>
      </c>
      <c r="M39" s="96"/>
      <c r="N39" s="97"/>
      <c r="O39" s="41"/>
      <c r="P39" s="94"/>
      <c r="Q39" s="26"/>
      <c r="R39" s="96"/>
      <c r="S39" s="96"/>
      <c r="T39" s="26"/>
      <c r="U39" s="98"/>
      <c r="V39" s="27"/>
    </row>
    <row r="40" spans="1:22" x14ac:dyDescent="0.25">
      <c r="A40" s="93" t="s">
        <v>259</v>
      </c>
      <c r="B40" s="94" t="s">
        <v>41</v>
      </c>
      <c r="C40" s="94" t="s">
        <v>261</v>
      </c>
      <c r="D40" s="94" t="s">
        <v>327</v>
      </c>
      <c r="E40" s="95" t="s">
        <v>282</v>
      </c>
      <c r="F40" s="94" t="s">
        <v>283</v>
      </c>
      <c r="G40" s="94" t="s">
        <v>268</v>
      </c>
      <c r="H40" s="94"/>
      <c r="I40" s="94"/>
      <c r="J40" s="94"/>
      <c r="K40" s="94" t="s">
        <v>41</v>
      </c>
      <c r="L40" s="96">
        <v>450</v>
      </c>
      <c r="M40" s="96"/>
      <c r="N40" s="97"/>
      <c r="O40" s="41"/>
      <c r="P40" s="94"/>
      <c r="Q40" s="26"/>
      <c r="R40" s="96"/>
      <c r="S40" s="96"/>
      <c r="T40" s="26"/>
      <c r="U40" s="98"/>
      <c r="V40" s="27"/>
    </row>
    <row r="41" spans="1:22" x14ac:dyDescent="0.25">
      <c r="A41" s="93" t="s">
        <v>259</v>
      </c>
      <c r="B41" s="94" t="s">
        <v>41</v>
      </c>
      <c r="C41" s="94" t="s">
        <v>261</v>
      </c>
      <c r="D41" s="94" t="s">
        <v>328</v>
      </c>
      <c r="E41" s="95" t="s">
        <v>309</v>
      </c>
      <c r="F41" s="94" t="s">
        <v>264</v>
      </c>
      <c r="G41" s="94" t="s">
        <v>268</v>
      </c>
      <c r="H41" s="94"/>
      <c r="I41" s="94"/>
      <c r="J41" s="94"/>
      <c r="K41" s="94" t="s">
        <v>41</v>
      </c>
      <c r="L41" s="96">
        <v>108</v>
      </c>
      <c r="M41" s="96"/>
      <c r="N41" s="97"/>
      <c r="O41" s="41"/>
      <c r="P41" s="94"/>
      <c r="Q41" s="26"/>
      <c r="R41" s="96"/>
      <c r="S41" s="96"/>
      <c r="T41" s="26"/>
      <c r="U41" s="98"/>
      <c r="V41" s="27"/>
    </row>
    <row r="42" spans="1:22" x14ac:dyDescent="0.25">
      <c r="A42" s="93" t="s">
        <v>259</v>
      </c>
      <c r="B42" s="94" t="s">
        <v>41</v>
      </c>
      <c r="C42" s="94" t="s">
        <v>329</v>
      </c>
      <c r="D42" s="94" t="s">
        <v>330</v>
      </c>
      <c r="E42" s="95" t="s">
        <v>331</v>
      </c>
      <c r="F42" s="94" t="s">
        <v>300</v>
      </c>
      <c r="G42" s="94" t="s">
        <v>197</v>
      </c>
      <c r="H42" s="94" t="s">
        <v>9</v>
      </c>
      <c r="I42" s="94" t="s">
        <v>198</v>
      </c>
      <c r="J42" s="95" t="s">
        <v>199</v>
      </c>
      <c r="K42" s="94" t="s">
        <v>265</v>
      </c>
      <c r="L42" s="96">
        <v>15</v>
      </c>
      <c r="M42" s="96">
        <f>L42*VLOOKUP(H42,dagsoorttabel1,2,FALSE)</f>
        <v>15.374999999999998</v>
      </c>
      <c r="N42" s="97">
        <f>prodnorm2</f>
        <v>0</v>
      </c>
      <c r="O42" s="41">
        <f>dagwerk2</f>
        <v>0</v>
      </c>
      <c r="P42" s="94" t="s">
        <v>108</v>
      </c>
      <c r="Q42" s="26">
        <f>uurtarief2</f>
        <v>0</v>
      </c>
      <c r="R42" s="96" t="e">
        <f>IF(ISBLANK(N42),0,M42/ROUND(N42,4))</f>
        <v>#DIV/0!</v>
      </c>
      <c r="S42" s="96" t="e">
        <f>IF(ISBLANK(N42),0,R42*ROUND(O42,2))</f>
        <v>#DIV/0!</v>
      </c>
      <c r="T42" s="26" t="e">
        <f>ROUND(Q42,2)*R42</f>
        <v>#DIV/0!</v>
      </c>
      <c r="U42" s="96" t="e">
        <f>R42*dagenperjaar1</f>
        <v>#DIV/0!</v>
      </c>
      <c r="V42" s="27" t="e">
        <f>U42*ROUND(Q42,2)</f>
        <v>#DIV/0!</v>
      </c>
    </row>
    <row r="43" spans="1:22" x14ac:dyDescent="0.25">
      <c r="A43" s="93" t="s">
        <v>259</v>
      </c>
      <c r="B43" s="94" t="s">
        <v>41</v>
      </c>
      <c r="C43" s="94" t="s">
        <v>329</v>
      </c>
      <c r="D43" s="94" t="s">
        <v>332</v>
      </c>
      <c r="E43" s="95" t="s">
        <v>333</v>
      </c>
      <c r="F43" s="94" t="s">
        <v>300</v>
      </c>
      <c r="G43" s="94" t="s">
        <v>230</v>
      </c>
      <c r="H43" s="94" t="s">
        <v>9</v>
      </c>
      <c r="I43" s="94" t="s">
        <v>198</v>
      </c>
      <c r="J43" s="95" t="s">
        <v>231</v>
      </c>
      <c r="K43" s="94" t="s">
        <v>273</v>
      </c>
      <c r="L43" s="96">
        <v>32</v>
      </c>
      <c r="M43" s="96">
        <f>L43*VLOOKUP(H43,dagsoorttabel1,2,FALSE)</f>
        <v>32.799999999999997</v>
      </c>
      <c r="N43" s="97">
        <f>prodnorm19</f>
        <v>0</v>
      </c>
      <c r="O43" s="41">
        <f>dagwerk19</f>
        <v>0</v>
      </c>
      <c r="P43" s="94" t="s">
        <v>108</v>
      </c>
      <c r="Q43" s="26">
        <f>uurtarief19</f>
        <v>0</v>
      </c>
      <c r="R43" s="96" t="e">
        <f>IF(ISBLANK(N43),0,M43/ROUND(N43,4))</f>
        <v>#DIV/0!</v>
      </c>
      <c r="S43" s="96" t="e">
        <f>IF(ISBLANK(N43),0,R43*ROUND(O43,2))</f>
        <v>#DIV/0!</v>
      </c>
      <c r="T43" s="26" t="e">
        <f>ROUND(Q43,2)*R43</f>
        <v>#DIV/0!</v>
      </c>
      <c r="U43" s="96" t="e">
        <f>R43*dagenperjaar1</f>
        <v>#DIV/0!</v>
      </c>
      <c r="V43" s="27" t="e">
        <f>U43*ROUND(Q43,2)</f>
        <v>#DIV/0!</v>
      </c>
    </row>
    <row r="44" spans="1:22" x14ac:dyDescent="0.25">
      <c r="A44" s="93" t="s">
        <v>259</v>
      </c>
      <c r="B44" s="94" t="s">
        <v>41</v>
      </c>
      <c r="C44" s="94" t="s">
        <v>329</v>
      </c>
      <c r="D44" s="94" t="s">
        <v>334</v>
      </c>
      <c r="E44" s="95" t="s">
        <v>335</v>
      </c>
      <c r="F44" s="94" t="s">
        <v>336</v>
      </c>
      <c r="G44" s="94" t="s">
        <v>218</v>
      </c>
      <c r="H44" s="94" t="s">
        <v>12</v>
      </c>
      <c r="I44" s="94" t="s">
        <v>198</v>
      </c>
      <c r="J44" s="95" t="s">
        <v>219</v>
      </c>
      <c r="K44" s="94" t="s">
        <v>337</v>
      </c>
      <c r="L44" s="96">
        <v>125</v>
      </c>
      <c r="M44" s="96">
        <f>L44*VLOOKUP(H44,dagsoorttabel1,2,FALSE)</f>
        <v>76.875</v>
      </c>
      <c r="N44" s="97">
        <f>prodnorm13</f>
        <v>0</v>
      </c>
      <c r="O44" s="41">
        <f>dagwerk13</f>
        <v>0</v>
      </c>
      <c r="P44" s="94" t="s">
        <v>108</v>
      </c>
      <c r="Q44" s="26">
        <f>uurtarief13</f>
        <v>0</v>
      </c>
      <c r="R44" s="96" t="e">
        <f>IF(ISBLANK(N44),0,M44/ROUND(N44,4))</f>
        <v>#DIV/0!</v>
      </c>
      <c r="S44" s="96" t="e">
        <f>IF(ISBLANK(N44),0,R44*ROUND(O44,2))</f>
        <v>#DIV/0!</v>
      </c>
      <c r="T44" s="26" t="e">
        <f>ROUND(Q44,2)*R44</f>
        <v>#DIV/0!</v>
      </c>
      <c r="U44" s="96" t="e">
        <f>R44*dagenperjaar1</f>
        <v>#DIV/0!</v>
      </c>
      <c r="V44" s="27" t="e">
        <f>U44*ROUND(Q44,2)</f>
        <v>#DIV/0!</v>
      </c>
    </row>
    <row r="45" spans="1:22" x14ac:dyDescent="0.25">
      <c r="A45" s="93" t="s">
        <v>259</v>
      </c>
      <c r="B45" s="94" t="s">
        <v>41</v>
      </c>
      <c r="C45" s="94" t="s">
        <v>329</v>
      </c>
      <c r="D45" s="94" t="s">
        <v>338</v>
      </c>
      <c r="E45" s="95" t="s">
        <v>339</v>
      </c>
      <c r="F45" s="94" t="s">
        <v>336</v>
      </c>
      <c r="G45" s="94" t="s">
        <v>218</v>
      </c>
      <c r="H45" s="94" t="s">
        <v>12</v>
      </c>
      <c r="I45" s="94" t="s">
        <v>198</v>
      </c>
      <c r="J45" s="95" t="s">
        <v>219</v>
      </c>
      <c r="K45" s="94" t="s">
        <v>337</v>
      </c>
      <c r="L45" s="96">
        <v>103</v>
      </c>
      <c r="M45" s="96">
        <f>L45*VLOOKUP(H45,dagsoorttabel1,2,FALSE)</f>
        <v>63.344999999999999</v>
      </c>
      <c r="N45" s="97">
        <f>prodnorm13</f>
        <v>0</v>
      </c>
      <c r="O45" s="41">
        <f>dagwerk13</f>
        <v>0</v>
      </c>
      <c r="P45" s="94" t="s">
        <v>108</v>
      </c>
      <c r="Q45" s="26">
        <f>uurtarief13</f>
        <v>0</v>
      </c>
      <c r="R45" s="96" t="e">
        <f>IF(ISBLANK(N45),0,M45/ROUND(N45,4))</f>
        <v>#DIV/0!</v>
      </c>
      <c r="S45" s="96" t="e">
        <f>IF(ISBLANK(N45),0,R45*ROUND(O45,2))</f>
        <v>#DIV/0!</v>
      </c>
      <c r="T45" s="26" t="e">
        <f>ROUND(Q45,2)*R45</f>
        <v>#DIV/0!</v>
      </c>
      <c r="U45" s="96" t="e">
        <f>R45*dagenperjaar1</f>
        <v>#DIV/0!</v>
      </c>
      <c r="V45" s="27" t="e">
        <f>U45*ROUND(Q45,2)</f>
        <v>#DIV/0!</v>
      </c>
    </row>
    <row r="46" spans="1:22" x14ac:dyDescent="0.25">
      <c r="A46" s="93" t="s">
        <v>259</v>
      </c>
      <c r="B46" s="94" t="s">
        <v>41</v>
      </c>
      <c r="C46" s="94" t="s">
        <v>329</v>
      </c>
      <c r="D46" s="94" t="s">
        <v>340</v>
      </c>
      <c r="E46" s="95" t="s">
        <v>341</v>
      </c>
      <c r="F46" s="94" t="s">
        <v>336</v>
      </c>
      <c r="G46" s="94" t="s">
        <v>222</v>
      </c>
      <c r="H46" s="94" t="s">
        <v>9</v>
      </c>
      <c r="I46" s="94" t="s">
        <v>198</v>
      </c>
      <c r="J46" s="95" t="s">
        <v>223</v>
      </c>
      <c r="K46" s="94" t="s">
        <v>296</v>
      </c>
      <c r="L46" s="96">
        <v>14</v>
      </c>
      <c r="M46" s="96">
        <f>L46*VLOOKUP(H46,dagsoorttabel1,2,FALSE)</f>
        <v>14.349999999999998</v>
      </c>
      <c r="N46" s="97">
        <f>prodnorm15</f>
        <v>0</v>
      </c>
      <c r="O46" s="41">
        <f>dagwerk15</f>
        <v>0</v>
      </c>
      <c r="P46" s="94" t="s">
        <v>108</v>
      </c>
      <c r="Q46" s="26">
        <f>uurtarief15</f>
        <v>0</v>
      </c>
      <c r="R46" s="96" t="e">
        <f>IF(ISBLANK(N46),0,M46/ROUND(N46,4))</f>
        <v>#DIV/0!</v>
      </c>
      <c r="S46" s="96" t="e">
        <f>IF(ISBLANK(N46),0,R46*ROUND(O46,2))</f>
        <v>#DIV/0!</v>
      </c>
      <c r="T46" s="26" t="e">
        <f>ROUND(Q46,2)*R46</f>
        <v>#DIV/0!</v>
      </c>
      <c r="U46" s="96" t="e">
        <f>R46*dagenperjaar1</f>
        <v>#DIV/0!</v>
      </c>
      <c r="V46" s="27" t="e">
        <f>U46*ROUND(Q46,2)</f>
        <v>#DIV/0!</v>
      </c>
    </row>
    <row r="47" spans="1:22" x14ac:dyDescent="0.25">
      <c r="A47" s="93" t="s">
        <v>259</v>
      </c>
      <c r="B47" s="94" t="s">
        <v>41</v>
      </c>
      <c r="C47" s="94" t="s">
        <v>329</v>
      </c>
      <c r="D47" s="94" t="s">
        <v>342</v>
      </c>
      <c r="E47" s="95" t="s">
        <v>343</v>
      </c>
      <c r="F47" s="94" t="s">
        <v>336</v>
      </c>
      <c r="G47" s="94" t="s">
        <v>268</v>
      </c>
      <c r="H47" s="94"/>
      <c r="I47" s="94"/>
      <c r="J47" s="94"/>
      <c r="K47" s="94" t="s">
        <v>41</v>
      </c>
      <c r="L47" s="96">
        <v>6</v>
      </c>
      <c r="M47" s="96"/>
      <c r="N47" s="97"/>
      <c r="O47" s="41"/>
      <c r="P47" s="94"/>
      <c r="Q47" s="26"/>
      <c r="R47" s="96"/>
      <c r="S47" s="96"/>
      <c r="T47" s="26"/>
      <c r="U47" s="98"/>
      <c r="V47" s="27"/>
    </row>
    <row r="48" spans="1:22" x14ac:dyDescent="0.25">
      <c r="A48" s="93" t="s">
        <v>259</v>
      </c>
      <c r="B48" s="94" t="s">
        <v>41</v>
      </c>
      <c r="C48" s="94" t="s">
        <v>329</v>
      </c>
      <c r="D48" s="94" t="s">
        <v>344</v>
      </c>
      <c r="E48" s="95" t="s">
        <v>272</v>
      </c>
      <c r="F48" s="94" t="s">
        <v>300</v>
      </c>
      <c r="G48" s="94" t="s">
        <v>228</v>
      </c>
      <c r="H48" s="94" t="s">
        <v>9</v>
      </c>
      <c r="I48" s="94" t="s">
        <v>198</v>
      </c>
      <c r="J48" s="95" t="s">
        <v>229</v>
      </c>
      <c r="K48" s="94" t="s">
        <v>273</v>
      </c>
      <c r="L48" s="96">
        <v>54</v>
      </c>
      <c r="M48" s="96">
        <f>L48*VLOOKUP(H48,dagsoorttabel1,2,FALSE)</f>
        <v>55.349999999999994</v>
      </c>
      <c r="N48" s="97">
        <f>prodnorm18</f>
        <v>0</v>
      </c>
      <c r="O48" s="41">
        <f>dagwerk18</f>
        <v>0</v>
      </c>
      <c r="P48" s="94" t="s">
        <v>108</v>
      </c>
      <c r="Q48" s="26">
        <f>uurtarief18</f>
        <v>0</v>
      </c>
      <c r="R48" s="96" t="e">
        <f>IF(ISBLANK(N48),0,M48/ROUND(N48,4))</f>
        <v>#DIV/0!</v>
      </c>
      <c r="S48" s="96" t="e">
        <f>IF(ISBLANK(N48),0,R48*ROUND(O48,2))</f>
        <v>#DIV/0!</v>
      </c>
      <c r="T48" s="26" t="e">
        <f>ROUND(Q48,2)*R48</f>
        <v>#DIV/0!</v>
      </c>
      <c r="U48" s="96" t="e">
        <f>R48*dagenperjaar1</f>
        <v>#DIV/0!</v>
      </c>
      <c r="V48" s="27" t="e">
        <f>U48*ROUND(Q48,2)</f>
        <v>#DIV/0!</v>
      </c>
    </row>
    <row r="49" spans="1:22" x14ac:dyDescent="0.25">
      <c r="A49" s="93" t="s">
        <v>259</v>
      </c>
      <c r="B49" s="94" t="s">
        <v>41</v>
      </c>
      <c r="C49" s="94" t="s">
        <v>329</v>
      </c>
      <c r="D49" s="94" t="s">
        <v>345</v>
      </c>
      <c r="E49" s="95" t="s">
        <v>346</v>
      </c>
      <c r="F49" s="94" t="s">
        <v>336</v>
      </c>
      <c r="G49" s="94" t="s">
        <v>200</v>
      </c>
      <c r="H49" s="94" t="s">
        <v>16</v>
      </c>
      <c r="I49" s="94" t="s">
        <v>198</v>
      </c>
      <c r="J49" s="95" t="s">
        <v>201</v>
      </c>
      <c r="K49" s="94" t="s">
        <v>265</v>
      </c>
      <c r="L49" s="96">
        <v>14</v>
      </c>
      <c r="M49" s="96">
        <f>L49*VLOOKUP(H49,dagsoorttabel1,2,FALSE)</f>
        <v>2.8699999999999997</v>
      </c>
      <c r="N49" s="97">
        <f>prodnorm4</f>
        <v>0</v>
      </c>
      <c r="O49" s="41">
        <f>dagwerk4</f>
        <v>0</v>
      </c>
      <c r="P49" s="94" t="s">
        <v>108</v>
      </c>
      <c r="Q49" s="26">
        <f>uurtarief4</f>
        <v>0</v>
      </c>
      <c r="R49" s="96" t="e">
        <f>IF(ISBLANK(N49),0,M49/ROUND(N49,4))</f>
        <v>#DIV/0!</v>
      </c>
      <c r="S49" s="96" t="e">
        <f>IF(ISBLANK(N49),0,R49*ROUND(O49,2))</f>
        <v>#DIV/0!</v>
      </c>
      <c r="T49" s="26" t="e">
        <f>ROUND(Q49,2)*R49</f>
        <v>#DIV/0!</v>
      </c>
      <c r="U49" s="96" t="e">
        <f>R49*dagenperjaar1</f>
        <v>#DIV/0!</v>
      </c>
      <c r="V49" s="27" t="e">
        <f>U49*ROUND(Q49,2)</f>
        <v>#DIV/0!</v>
      </c>
    </row>
    <row r="50" spans="1:22" ht="23" x14ac:dyDescent="0.25">
      <c r="A50" s="93" t="s">
        <v>259</v>
      </c>
      <c r="B50" s="94" t="s">
        <v>41</v>
      </c>
      <c r="C50" s="94" t="s">
        <v>329</v>
      </c>
      <c r="D50" s="94" t="s">
        <v>347</v>
      </c>
      <c r="E50" s="95" t="s">
        <v>348</v>
      </c>
      <c r="F50" s="94" t="s">
        <v>336</v>
      </c>
      <c r="G50" s="94" t="s">
        <v>208</v>
      </c>
      <c r="H50" s="94" t="s">
        <v>12</v>
      </c>
      <c r="I50" s="94" t="s">
        <v>198</v>
      </c>
      <c r="J50" s="95" t="s">
        <v>209</v>
      </c>
      <c r="K50" s="94" t="s">
        <v>337</v>
      </c>
      <c r="L50" s="96">
        <v>126</v>
      </c>
      <c r="M50" s="96">
        <f>L50*VLOOKUP(H50,dagsoorttabel1,2,FALSE)</f>
        <v>77.489999999999995</v>
      </c>
      <c r="N50" s="97">
        <f>prodnorm8</f>
        <v>0</v>
      </c>
      <c r="O50" s="41">
        <f>dagwerk8</f>
        <v>0</v>
      </c>
      <c r="P50" s="94" t="s">
        <v>108</v>
      </c>
      <c r="Q50" s="26">
        <f>uurtarief8</f>
        <v>0</v>
      </c>
      <c r="R50" s="96" t="e">
        <f>IF(ISBLANK(N50),0,M50/ROUND(N50,4))</f>
        <v>#DIV/0!</v>
      </c>
      <c r="S50" s="96" t="e">
        <f>IF(ISBLANK(N50),0,R50*ROUND(O50,2))</f>
        <v>#DIV/0!</v>
      </c>
      <c r="T50" s="26" t="e">
        <f>ROUND(Q50,2)*R50</f>
        <v>#DIV/0!</v>
      </c>
      <c r="U50" s="96" t="e">
        <f>R50*dagenperjaar1</f>
        <v>#DIV/0!</v>
      </c>
      <c r="V50" s="27" t="e">
        <f>U50*ROUND(Q50,2)</f>
        <v>#DIV/0!</v>
      </c>
    </row>
    <row r="51" spans="1:22" x14ac:dyDescent="0.25">
      <c r="A51" s="93" t="s">
        <v>259</v>
      </c>
      <c r="B51" s="94" t="s">
        <v>41</v>
      </c>
      <c r="C51" s="94" t="s">
        <v>329</v>
      </c>
      <c r="D51" s="94" t="s">
        <v>349</v>
      </c>
      <c r="E51" s="95" t="s">
        <v>350</v>
      </c>
      <c r="F51" s="94" t="s">
        <v>336</v>
      </c>
      <c r="G51" s="94" t="s">
        <v>206</v>
      </c>
      <c r="H51" s="94" t="s">
        <v>9</v>
      </c>
      <c r="I51" s="94" t="s">
        <v>198</v>
      </c>
      <c r="J51" s="95" t="s">
        <v>207</v>
      </c>
      <c r="K51" s="94" t="s">
        <v>273</v>
      </c>
      <c r="L51" s="96">
        <v>126</v>
      </c>
      <c r="M51" s="96">
        <f>L51*VLOOKUP(H51,dagsoorttabel1,2,FALSE)</f>
        <v>129.14999999999998</v>
      </c>
      <c r="N51" s="97">
        <f>prodnorm7</f>
        <v>0</v>
      </c>
      <c r="O51" s="41">
        <f>dagwerk7</f>
        <v>0</v>
      </c>
      <c r="P51" s="94" t="s">
        <v>108</v>
      </c>
      <c r="Q51" s="26">
        <f>uurtarief7</f>
        <v>0</v>
      </c>
      <c r="R51" s="96" t="e">
        <f>IF(ISBLANK(N51),0,M51/ROUND(N51,4))</f>
        <v>#DIV/0!</v>
      </c>
      <c r="S51" s="96" t="e">
        <f>IF(ISBLANK(N51),0,R51*ROUND(O51,2))</f>
        <v>#DIV/0!</v>
      </c>
      <c r="T51" s="26" t="e">
        <f>ROUND(Q51,2)*R51</f>
        <v>#DIV/0!</v>
      </c>
      <c r="U51" s="96" t="e">
        <f>R51*dagenperjaar1</f>
        <v>#DIV/0!</v>
      </c>
      <c r="V51" s="27" t="e">
        <f>U51*ROUND(Q51,2)</f>
        <v>#DIV/0!</v>
      </c>
    </row>
    <row r="52" spans="1:22" x14ac:dyDescent="0.25">
      <c r="A52" s="93" t="s">
        <v>259</v>
      </c>
      <c r="B52" s="94" t="s">
        <v>41</v>
      </c>
      <c r="C52" s="94" t="s">
        <v>329</v>
      </c>
      <c r="D52" s="94" t="s">
        <v>351</v>
      </c>
      <c r="E52" s="95" t="s">
        <v>352</v>
      </c>
      <c r="F52" s="94" t="s">
        <v>300</v>
      </c>
      <c r="G52" s="94" t="s">
        <v>224</v>
      </c>
      <c r="H52" s="94" t="s">
        <v>9</v>
      </c>
      <c r="I52" s="94" t="s">
        <v>198</v>
      </c>
      <c r="J52" s="95" t="s">
        <v>225</v>
      </c>
      <c r="K52" s="94" t="s">
        <v>296</v>
      </c>
      <c r="L52" s="96">
        <v>22</v>
      </c>
      <c r="M52" s="96">
        <f>L52*VLOOKUP(H52,dagsoorttabel1,2,FALSE)</f>
        <v>22.549999999999997</v>
      </c>
      <c r="N52" s="97">
        <f>prodnorm16</f>
        <v>0</v>
      </c>
      <c r="O52" s="41">
        <f>dagwerk16</f>
        <v>0</v>
      </c>
      <c r="P52" s="94" t="s">
        <v>108</v>
      </c>
      <c r="Q52" s="26">
        <f>uurtarief16</f>
        <v>0</v>
      </c>
      <c r="R52" s="96" t="e">
        <f>IF(ISBLANK(N52),0,M52/ROUND(N52,4))</f>
        <v>#DIV/0!</v>
      </c>
      <c r="S52" s="96" t="e">
        <f>IF(ISBLANK(N52),0,R52*ROUND(O52,2))</f>
        <v>#DIV/0!</v>
      </c>
      <c r="T52" s="26" t="e">
        <f>ROUND(Q52,2)*R52</f>
        <v>#DIV/0!</v>
      </c>
      <c r="U52" s="96" t="e">
        <f>R52*dagenperjaar1</f>
        <v>#DIV/0!</v>
      </c>
      <c r="V52" s="27" t="e">
        <f>U52*ROUND(Q52,2)</f>
        <v>#DIV/0!</v>
      </c>
    </row>
    <row r="53" spans="1:22" x14ac:dyDescent="0.25">
      <c r="A53" s="93" t="s">
        <v>259</v>
      </c>
      <c r="B53" s="94" t="s">
        <v>41</v>
      </c>
      <c r="C53" s="94" t="s">
        <v>329</v>
      </c>
      <c r="D53" s="94" t="s">
        <v>353</v>
      </c>
      <c r="E53" s="95" t="s">
        <v>275</v>
      </c>
      <c r="F53" s="94" t="s">
        <v>300</v>
      </c>
      <c r="G53" s="94" t="s">
        <v>268</v>
      </c>
      <c r="H53" s="94"/>
      <c r="I53" s="94"/>
      <c r="J53" s="94"/>
      <c r="K53" s="94" t="s">
        <v>41</v>
      </c>
      <c r="L53" s="96">
        <v>2</v>
      </c>
      <c r="M53" s="96"/>
      <c r="N53" s="97"/>
      <c r="O53" s="41"/>
      <c r="P53" s="94"/>
      <c r="Q53" s="26"/>
      <c r="R53" s="96"/>
      <c r="S53" s="96"/>
      <c r="T53" s="26"/>
      <c r="U53" s="98"/>
      <c r="V53" s="27"/>
    </row>
    <row r="54" spans="1:22" x14ac:dyDescent="0.25">
      <c r="A54" s="93" t="s">
        <v>259</v>
      </c>
      <c r="B54" s="94" t="s">
        <v>41</v>
      </c>
      <c r="C54" s="94" t="s">
        <v>329</v>
      </c>
      <c r="D54" s="94" t="s">
        <v>354</v>
      </c>
      <c r="E54" s="95" t="s">
        <v>275</v>
      </c>
      <c r="F54" s="94" t="s">
        <v>300</v>
      </c>
      <c r="G54" s="94" t="s">
        <v>268</v>
      </c>
      <c r="H54" s="94"/>
      <c r="I54" s="94"/>
      <c r="J54" s="94"/>
      <c r="K54" s="94" t="s">
        <v>41</v>
      </c>
      <c r="L54" s="96">
        <v>2</v>
      </c>
      <c r="M54" s="96"/>
      <c r="N54" s="97"/>
      <c r="O54" s="41"/>
      <c r="P54" s="94"/>
      <c r="Q54" s="26"/>
      <c r="R54" s="96"/>
      <c r="S54" s="96"/>
      <c r="T54" s="26"/>
      <c r="U54" s="98"/>
      <c r="V54" s="27"/>
    </row>
    <row r="55" spans="1:22" x14ac:dyDescent="0.25">
      <c r="A55" s="93" t="s">
        <v>259</v>
      </c>
      <c r="B55" s="94" t="s">
        <v>41</v>
      </c>
      <c r="C55" s="94" t="s">
        <v>329</v>
      </c>
      <c r="D55" s="94" t="s">
        <v>355</v>
      </c>
      <c r="E55" s="95" t="s">
        <v>356</v>
      </c>
      <c r="F55" s="94" t="s">
        <v>300</v>
      </c>
      <c r="G55" s="94" t="s">
        <v>224</v>
      </c>
      <c r="H55" s="94" t="s">
        <v>9</v>
      </c>
      <c r="I55" s="94" t="s">
        <v>198</v>
      </c>
      <c r="J55" s="95" t="s">
        <v>225</v>
      </c>
      <c r="K55" s="94" t="s">
        <v>296</v>
      </c>
      <c r="L55" s="96">
        <v>5</v>
      </c>
      <c r="M55" s="96">
        <f>L55*VLOOKUP(H55,dagsoorttabel1,2,FALSE)</f>
        <v>5.125</v>
      </c>
      <c r="N55" s="97">
        <f>prodnorm16</f>
        <v>0</v>
      </c>
      <c r="O55" s="41">
        <f>dagwerk16</f>
        <v>0</v>
      </c>
      <c r="P55" s="94" t="s">
        <v>108</v>
      </c>
      <c r="Q55" s="26">
        <f>uurtarief16</f>
        <v>0</v>
      </c>
      <c r="R55" s="96" t="e">
        <f>IF(ISBLANK(N55),0,M55/ROUND(N55,4))</f>
        <v>#DIV/0!</v>
      </c>
      <c r="S55" s="96" t="e">
        <f>IF(ISBLANK(N55),0,R55*ROUND(O55,2))</f>
        <v>#DIV/0!</v>
      </c>
      <c r="T55" s="26" t="e">
        <f>ROUND(Q55,2)*R55</f>
        <v>#DIV/0!</v>
      </c>
      <c r="U55" s="96" t="e">
        <f>R55*dagenperjaar1</f>
        <v>#DIV/0!</v>
      </c>
      <c r="V55" s="27" t="e">
        <f>U55*ROUND(Q55,2)</f>
        <v>#DIV/0!</v>
      </c>
    </row>
    <row r="56" spans="1:22" x14ac:dyDescent="0.25">
      <c r="A56" s="93" t="s">
        <v>259</v>
      </c>
      <c r="B56" s="94" t="s">
        <v>41</v>
      </c>
      <c r="C56" s="94" t="s">
        <v>329</v>
      </c>
      <c r="D56" s="94" t="s">
        <v>357</v>
      </c>
      <c r="E56" s="95" t="s">
        <v>358</v>
      </c>
      <c r="F56" s="94" t="s">
        <v>300</v>
      </c>
      <c r="G56" s="94" t="s">
        <v>224</v>
      </c>
      <c r="H56" s="94" t="s">
        <v>9</v>
      </c>
      <c r="I56" s="94" t="s">
        <v>198</v>
      </c>
      <c r="J56" s="95" t="s">
        <v>225</v>
      </c>
      <c r="K56" s="94" t="s">
        <v>296</v>
      </c>
      <c r="L56" s="96">
        <v>7</v>
      </c>
      <c r="M56" s="96">
        <f>L56*VLOOKUP(H56,dagsoorttabel1,2,FALSE)</f>
        <v>7.1749999999999989</v>
      </c>
      <c r="N56" s="97">
        <f>prodnorm16</f>
        <v>0</v>
      </c>
      <c r="O56" s="41">
        <f>dagwerk16</f>
        <v>0</v>
      </c>
      <c r="P56" s="94" t="s">
        <v>108</v>
      </c>
      <c r="Q56" s="26">
        <f>uurtarief16</f>
        <v>0</v>
      </c>
      <c r="R56" s="96" t="e">
        <f>IF(ISBLANK(N56),0,M56/ROUND(N56,4))</f>
        <v>#DIV/0!</v>
      </c>
      <c r="S56" s="96" t="e">
        <f>IF(ISBLANK(N56),0,R56*ROUND(O56,2))</f>
        <v>#DIV/0!</v>
      </c>
      <c r="T56" s="26" t="e">
        <f>ROUND(Q56,2)*R56</f>
        <v>#DIV/0!</v>
      </c>
      <c r="U56" s="96" t="e">
        <f>R56*dagenperjaar1</f>
        <v>#DIV/0!</v>
      </c>
      <c r="V56" s="27" t="e">
        <f>U56*ROUND(Q56,2)</f>
        <v>#DIV/0!</v>
      </c>
    </row>
    <row r="57" spans="1:22" x14ac:dyDescent="0.25">
      <c r="A57" s="93" t="s">
        <v>259</v>
      </c>
      <c r="B57" s="94" t="s">
        <v>41</v>
      </c>
      <c r="C57" s="94" t="s">
        <v>329</v>
      </c>
      <c r="D57" s="94" t="s">
        <v>357</v>
      </c>
      <c r="E57" s="95" t="s">
        <v>358</v>
      </c>
      <c r="F57" s="94" t="s">
        <v>300</v>
      </c>
      <c r="G57" s="94" t="s">
        <v>226</v>
      </c>
      <c r="H57" s="94" t="s">
        <v>9</v>
      </c>
      <c r="I57" s="94" t="s">
        <v>198</v>
      </c>
      <c r="J57" s="95" t="s">
        <v>227</v>
      </c>
      <c r="K57" s="94" t="s">
        <v>296</v>
      </c>
      <c r="L57" s="96">
        <v>7</v>
      </c>
      <c r="M57" s="96">
        <f>L57*VLOOKUP(H57,dagsoorttabel1,2,FALSE)</f>
        <v>7.1749999999999989</v>
      </c>
      <c r="N57" s="97">
        <f>prodnorm17</f>
        <v>0</v>
      </c>
      <c r="O57" s="41">
        <f>dagwerk17</f>
        <v>0</v>
      </c>
      <c r="P57" s="94" t="s">
        <v>108</v>
      </c>
      <c r="Q57" s="26">
        <f>uurtarief17</f>
        <v>0</v>
      </c>
      <c r="R57" s="96" t="e">
        <f>IF(ISBLANK(N57),0,M57/ROUND(N57,4))</f>
        <v>#DIV/0!</v>
      </c>
      <c r="S57" s="96" t="e">
        <f>IF(ISBLANK(N57),0,R57*ROUND(O57,2))</f>
        <v>#DIV/0!</v>
      </c>
      <c r="T57" s="26" t="e">
        <f>ROUND(Q57,2)*R57</f>
        <v>#DIV/0!</v>
      </c>
      <c r="U57" s="96" t="e">
        <f>R57*dagenperjaar1</f>
        <v>#DIV/0!</v>
      </c>
      <c r="V57" s="27" t="e">
        <f>U57*ROUND(Q57,2)</f>
        <v>#DIV/0!</v>
      </c>
    </row>
    <row r="58" spans="1:22" x14ac:dyDescent="0.25">
      <c r="A58" s="93" t="s">
        <v>259</v>
      </c>
      <c r="B58" s="94" t="s">
        <v>41</v>
      </c>
      <c r="C58" s="94" t="s">
        <v>329</v>
      </c>
      <c r="D58" s="94" t="s">
        <v>359</v>
      </c>
      <c r="E58" s="95" t="s">
        <v>302</v>
      </c>
      <c r="F58" s="94" t="s">
        <v>336</v>
      </c>
      <c r="G58" s="94" t="s">
        <v>234</v>
      </c>
      <c r="H58" s="94" t="s">
        <v>9</v>
      </c>
      <c r="I58" s="94" t="s">
        <v>198</v>
      </c>
      <c r="J58" s="95" t="s">
        <v>235</v>
      </c>
      <c r="K58" s="94" t="s">
        <v>273</v>
      </c>
      <c r="L58" s="96">
        <v>51</v>
      </c>
      <c r="M58" s="96">
        <f>L58*VLOOKUP(H58,dagsoorttabel1,2,FALSE)</f>
        <v>52.274999999999999</v>
      </c>
      <c r="N58" s="97">
        <f>prodnorm21</f>
        <v>0</v>
      </c>
      <c r="O58" s="41">
        <f>dagwerk21</f>
        <v>0</v>
      </c>
      <c r="P58" s="94" t="s">
        <v>108</v>
      </c>
      <c r="Q58" s="26">
        <f>uurtarief21</f>
        <v>0</v>
      </c>
      <c r="R58" s="96" t="e">
        <f>IF(ISBLANK(N58),0,M58/ROUND(N58,4))</f>
        <v>#DIV/0!</v>
      </c>
      <c r="S58" s="96" t="e">
        <f>IF(ISBLANK(N58),0,R58*ROUND(O58,2))</f>
        <v>#DIV/0!</v>
      </c>
      <c r="T58" s="26" t="e">
        <f>ROUND(Q58,2)*R58</f>
        <v>#DIV/0!</v>
      </c>
      <c r="U58" s="96" t="e">
        <f>R58*dagenperjaar1</f>
        <v>#DIV/0!</v>
      </c>
      <c r="V58" s="27" t="e">
        <f>U58*ROUND(Q58,2)</f>
        <v>#DIV/0!</v>
      </c>
    </row>
    <row r="59" spans="1:22" x14ac:dyDescent="0.25">
      <c r="A59" s="93" t="s">
        <v>259</v>
      </c>
      <c r="B59" s="94" t="s">
        <v>41</v>
      </c>
      <c r="C59" s="94" t="s">
        <v>329</v>
      </c>
      <c r="D59" s="94" t="s">
        <v>360</v>
      </c>
      <c r="E59" s="95" t="s">
        <v>361</v>
      </c>
      <c r="F59" s="94" t="s">
        <v>336</v>
      </c>
      <c r="G59" s="94" t="s">
        <v>234</v>
      </c>
      <c r="H59" s="94" t="s">
        <v>9</v>
      </c>
      <c r="I59" s="94" t="s">
        <v>198</v>
      </c>
      <c r="J59" s="95" t="s">
        <v>235</v>
      </c>
      <c r="K59" s="94" t="s">
        <v>273</v>
      </c>
      <c r="L59" s="96">
        <v>14</v>
      </c>
      <c r="M59" s="96">
        <f>L59*VLOOKUP(H59,dagsoorttabel1,2,FALSE)</f>
        <v>14.349999999999998</v>
      </c>
      <c r="N59" s="97">
        <f>prodnorm21</f>
        <v>0</v>
      </c>
      <c r="O59" s="41">
        <f>dagwerk21</f>
        <v>0</v>
      </c>
      <c r="P59" s="94" t="s">
        <v>108</v>
      </c>
      <c r="Q59" s="26">
        <f>uurtarief21</f>
        <v>0</v>
      </c>
      <c r="R59" s="96" t="e">
        <f>IF(ISBLANK(N59),0,M59/ROUND(N59,4))</f>
        <v>#DIV/0!</v>
      </c>
      <c r="S59" s="96" t="e">
        <f>IF(ISBLANK(N59),0,R59*ROUND(O59,2))</f>
        <v>#DIV/0!</v>
      </c>
      <c r="T59" s="26" t="e">
        <f>ROUND(Q59,2)*R59</f>
        <v>#DIV/0!</v>
      </c>
      <c r="U59" s="96" t="e">
        <f>R59*dagenperjaar1</f>
        <v>#DIV/0!</v>
      </c>
      <c r="V59" s="27" t="e">
        <f>U59*ROUND(Q59,2)</f>
        <v>#DIV/0!</v>
      </c>
    </row>
    <row r="60" spans="1:22" x14ac:dyDescent="0.25">
      <c r="A60" s="93" t="s">
        <v>259</v>
      </c>
      <c r="B60" s="94" t="s">
        <v>41</v>
      </c>
      <c r="C60" s="94" t="s">
        <v>329</v>
      </c>
      <c r="D60" s="94" t="s">
        <v>362</v>
      </c>
      <c r="E60" s="95" t="s">
        <v>363</v>
      </c>
      <c r="F60" s="94" t="s">
        <v>336</v>
      </c>
      <c r="G60" s="94" t="s">
        <v>197</v>
      </c>
      <c r="H60" s="94" t="s">
        <v>16</v>
      </c>
      <c r="I60" s="94" t="s">
        <v>198</v>
      </c>
      <c r="J60" s="95" t="s">
        <v>199</v>
      </c>
      <c r="K60" s="94" t="s">
        <v>265</v>
      </c>
      <c r="L60" s="96">
        <v>20</v>
      </c>
      <c r="M60" s="96">
        <f>L60*VLOOKUP(H60,dagsoorttabel1,2,FALSE)</f>
        <v>4.0999999999999996</v>
      </c>
      <c r="N60" s="97">
        <f>prodnorm3</f>
        <v>0</v>
      </c>
      <c r="O60" s="41">
        <f>dagwerk3</f>
        <v>0</v>
      </c>
      <c r="P60" s="94" t="s">
        <v>108</v>
      </c>
      <c r="Q60" s="26">
        <f>uurtarief3</f>
        <v>0</v>
      </c>
      <c r="R60" s="96" t="e">
        <f>IF(ISBLANK(N60),0,M60/ROUND(N60,4))</f>
        <v>#DIV/0!</v>
      </c>
      <c r="S60" s="96" t="e">
        <f>IF(ISBLANK(N60),0,R60*ROUND(O60,2))</f>
        <v>#DIV/0!</v>
      </c>
      <c r="T60" s="26" t="e">
        <f>ROUND(Q60,2)*R60</f>
        <v>#DIV/0!</v>
      </c>
      <c r="U60" s="96" t="e">
        <f>R60*dagenperjaar1</f>
        <v>#DIV/0!</v>
      </c>
      <c r="V60" s="27" t="e">
        <f>U60*ROUND(Q60,2)</f>
        <v>#DIV/0!</v>
      </c>
    </row>
    <row r="61" spans="1:22" ht="23" x14ac:dyDescent="0.25">
      <c r="A61" s="93" t="s">
        <v>259</v>
      </c>
      <c r="B61" s="94" t="s">
        <v>41</v>
      </c>
      <c r="C61" s="94" t="s">
        <v>329</v>
      </c>
      <c r="D61" s="94" t="s">
        <v>364</v>
      </c>
      <c r="E61" s="95" t="s">
        <v>365</v>
      </c>
      <c r="F61" s="94" t="s">
        <v>264</v>
      </c>
      <c r="G61" s="94" t="s">
        <v>236</v>
      </c>
      <c r="H61" s="94" t="s">
        <v>9</v>
      </c>
      <c r="I61" s="94" t="s">
        <v>198</v>
      </c>
      <c r="J61" s="95" t="s">
        <v>237</v>
      </c>
      <c r="K61" s="94" t="s">
        <v>273</v>
      </c>
      <c r="L61" s="96">
        <v>25</v>
      </c>
      <c r="M61" s="96">
        <f>L61*VLOOKUP(H61,dagsoorttabel1,2,FALSE)</f>
        <v>25.624999999999996</v>
      </c>
      <c r="N61" s="97">
        <f>prodnorm22</f>
        <v>0</v>
      </c>
      <c r="O61" s="41">
        <f>dagwerk22</f>
        <v>0</v>
      </c>
      <c r="P61" s="94" t="s">
        <v>108</v>
      </c>
      <c r="Q61" s="26">
        <f>uurtarief22</f>
        <v>0</v>
      </c>
      <c r="R61" s="96" t="e">
        <f>IF(ISBLANK(N61),0,M61/ROUND(N61,4))</f>
        <v>#DIV/0!</v>
      </c>
      <c r="S61" s="96" t="e">
        <f>IF(ISBLANK(N61),0,R61*ROUND(O61,2))</f>
        <v>#DIV/0!</v>
      </c>
      <c r="T61" s="26" t="e">
        <f>ROUND(Q61,2)*R61</f>
        <v>#DIV/0!</v>
      </c>
      <c r="U61" s="96" t="e">
        <f>R61*dagenperjaar1</f>
        <v>#DIV/0!</v>
      </c>
      <c r="V61" s="27" t="e">
        <f>U61*ROUND(Q61,2)</f>
        <v>#DIV/0!</v>
      </c>
    </row>
    <row r="62" spans="1:22" ht="23" x14ac:dyDescent="0.25">
      <c r="A62" s="93" t="s">
        <v>259</v>
      </c>
      <c r="B62" s="94" t="s">
        <v>41</v>
      </c>
      <c r="C62" s="94" t="s">
        <v>329</v>
      </c>
      <c r="D62" s="94" t="s">
        <v>366</v>
      </c>
      <c r="E62" s="95" t="s">
        <v>367</v>
      </c>
      <c r="F62" s="94" t="s">
        <v>336</v>
      </c>
      <c r="G62" s="94" t="s">
        <v>208</v>
      </c>
      <c r="H62" s="94" t="s">
        <v>12</v>
      </c>
      <c r="I62" s="94" t="s">
        <v>198</v>
      </c>
      <c r="J62" s="95" t="s">
        <v>209</v>
      </c>
      <c r="K62" s="94" t="s">
        <v>337</v>
      </c>
      <c r="L62" s="96">
        <v>56</v>
      </c>
      <c r="M62" s="96">
        <f>L62*VLOOKUP(H62,dagsoorttabel1,2,FALSE)</f>
        <v>34.44</v>
      </c>
      <c r="N62" s="97">
        <f>prodnorm8</f>
        <v>0</v>
      </c>
      <c r="O62" s="41">
        <f>dagwerk8</f>
        <v>0</v>
      </c>
      <c r="P62" s="94" t="s">
        <v>108</v>
      </c>
      <c r="Q62" s="26">
        <f>uurtarief8</f>
        <v>0</v>
      </c>
      <c r="R62" s="96" t="e">
        <f>IF(ISBLANK(N62),0,M62/ROUND(N62,4))</f>
        <v>#DIV/0!</v>
      </c>
      <c r="S62" s="96" t="e">
        <f>IF(ISBLANK(N62),0,R62*ROUND(O62,2))</f>
        <v>#DIV/0!</v>
      </c>
      <c r="T62" s="26" t="e">
        <f>ROUND(Q62,2)*R62</f>
        <v>#DIV/0!</v>
      </c>
      <c r="U62" s="96" t="e">
        <f>R62*dagenperjaar1</f>
        <v>#DIV/0!</v>
      </c>
      <c r="V62" s="27" t="e">
        <f>U62*ROUND(Q62,2)</f>
        <v>#DIV/0!</v>
      </c>
    </row>
    <row r="63" spans="1:22" ht="23" x14ac:dyDescent="0.25">
      <c r="A63" s="93" t="s">
        <v>259</v>
      </c>
      <c r="B63" s="94" t="s">
        <v>41</v>
      </c>
      <c r="C63" s="94" t="s">
        <v>329</v>
      </c>
      <c r="D63" s="94" t="s">
        <v>368</v>
      </c>
      <c r="E63" s="95" t="s">
        <v>367</v>
      </c>
      <c r="F63" s="94" t="s">
        <v>336</v>
      </c>
      <c r="G63" s="94" t="s">
        <v>208</v>
      </c>
      <c r="H63" s="94" t="s">
        <v>12</v>
      </c>
      <c r="I63" s="94" t="s">
        <v>198</v>
      </c>
      <c r="J63" s="95" t="s">
        <v>209</v>
      </c>
      <c r="K63" s="94" t="s">
        <v>337</v>
      </c>
      <c r="L63" s="96">
        <v>57</v>
      </c>
      <c r="M63" s="96">
        <f>L63*VLOOKUP(H63,dagsoorttabel1,2,FALSE)</f>
        <v>35.055</v>
      </c>
      <c r="N63" s="97">
        <f>prodnorm8</f>
        <v>0</v>
      </c>
      <c r="O63" s="41">
        <f>dagwerk8</f>
        <v>0</v>
      </c>
      <c r="P63" s="94" t="s">
        <v>108</v>
      </c>
      <c r="Q63" s="26">
        <f>uurtarief8</f>
        <v>0</v>
      </c>
      <c r="R63" s="96" t="e">
        <f>IF(ISBLANK(N63),0,M63/ROUND(N63,4))</f>
        <v>#DIV/0!</v>
      </c>
      <c r="S63" s="96" t="e">
        <f>IF(ISBLANK(N63),0,R63*ROUND(O63,2))</f>
        <v>#DIV/0!</v>
      </c>
      <c r="T63" s="26" t="e">
        <f>ROUND(Q63,2)*R63</f>
        <v>#DIV/0!</v>
      </c>
      <c r="U63" s="96" t="e">
        <f>R63*dagenperjaar1</f>
        <v>#DIV/0!</v>
      </c>
      <c r="V63" s="27" t="e">
        <f>U63*ROUND(Q63,2)</f>
        <v>#DIV/0!</v>
      </c>
    </row>
    <row r="64" spans="1:22" x14ac:dyDescent="0.25">
      <c r="A64" s="93" t="s">
        <v>259</v>
      </c>
      <c r="B64" s="94" t="s">
        <v>41</v>
      </c>
      <c r="C64" s="94" t="s">
        <v>329</v>
      </c>
      <c r="D64" s="94" t="s">
        <v>369</v>
      </c>
      <c r="E64" s="95" t="s">
        <v>280</v>
      </c>
      <c r="F64" s="94" t="s">
        <v>264</v>
      </c>
      <c r="G64" s="94" t="s">
        <v>236</v>
      </c>
      <c r="H64" s="94" t="s">
        <v>9</v>
      </c>
      <c r="I64" s="94" t="s">
        <v>198</v>
      </c>
      <c r="J64" s="95" t="s">
        <v>237</v>
      </c>
      <c r="K64" s="94" t="s">
        <v>273</v>
      </c>
      <c r="L64" s="96">
        <v>47</v>
      </c>
      <c r="M64" s="96">
        <f>L64*VLOOKUP(H64,dagsoorttabel1,2,FALSE)</f>
        <v>48.174999999999997</v>
      </c>
      <c r="N64" s="97">
        <f>prodnorm22</f>
        <v>0</v>
      </c>
      <c r="O64" s="41">
        <f>dagwerk22</f>
        <v>0</v>
      </c>
      <c r="P64" s="94" t="s">
        <v>108</v>
      </c>
      <c r="Q64" s="26">
        <f>uurtarief22</f>
        <v>0</v>
      </c>
      <c r="R64" s="96" t="e">
        <f>IF(ISBLANK(N64),0,M64/ROUND(N64,4))</f>
        <v>#DIV/0!</v>
      </c>
      <c r="S64" s="96" t="e">
        <f>IF(ISBLANK(N64),0,R64*ROUND(O64,2))</f>
        <v>#DIV/0!</v>
      </c>
      <c r="T64" s="26" t="e">
        <f>ROUND(Q64,2)*R64</f>
        <v>#DIV/0!</v>
      </c>
      <c r="U64" s="96" t="e">
        <f>R64*dagenperjaar1</f>
        <v>#DIV/0!</v>
      </c>
      <c r="V64" s="27" t="e">
        <f>U64*ROUND(Q64,2)</f>
        <v>#DIV/0!</v>
      </c>
    </row>
    <row r="65" spans="1:22" ht="23" x14ac:dyDescent="0.25">
      <c r="A65" s="93" t="s">
        <v>259</v>
      </c>
      <c r="B65" s="94" t="s">
        <v>41</v>
      </c>
      <c r="C65" s="94" t="s">
        <v>329</v>
      </c>
      <c r="D65" s="94" t="s">
        <v>370</v>
      </c>
      <c r="E65" s="95" t="s">
        <v>367</v>
      </c>
      <c r="F65" s="94" t="s">
        <v>336</v>
      </c>
      <c r="G65" s="94" t="s">
        <v>208</v>
      </c>
      <c r="H65" s="94" t="s">
        <v>12</v>
      </c>
      <c r="I65" s="94" t="s">
        <v>198</v>
      </c>
      <c r="J65" s="95" t="s">
        <v>209</v>
      </c>
      <c r="K65" s="94" t="s">
        <v>337</v>
      </c>
      <c r="L65" s="96">
        <v>55</v>
      </c>
      <c r="M65" s="96">
        <f>L65*VLOOKUP(H65,dagsoorttabel1,2,FALSE)</f>
        <v>33.825000000000003</v>
      </c>
      <c r="N65" s="97">
        <f>prodnorm8</f>
        <v>0</v>
      </c>
      <c r="O65" s="41">
        <f>dagwerk8</f>
        <v>0</v>
      </c>
      <c r="P65" s="94" t="s">
        <v>108</v>
      </c>
      <c r="Q65" s="26">
        <f>uurtarief8</f>
        <v>0</v>
      </c>
      <c r="R65" s="96" t="e">
        <f>IF(ISBLANK(N65),0,M65/ROUND(N65,4))</f>
        <v>#DIV/0!</v>
      </c>
      <c r="S65" s="96" t="e">
        <f>IF(ISBLANK(N65),0,R65*ROUND(O65,2))</f>
        <v>#DIV/0!</v>
      </c>
      <c r="T65" s="26" t="e">
        <f>ROUND(Q65,2)*R65</f>
        <v>#DIV/0!</v>
      </c>
      <c r="U65" s="96" t="e">
        <f>R65*dagenperjaar1</f>
        <v>#DIV/0!</v>
      </c>
      <c r="V65" s="27" t="e">
        <f>U65*ROUND(Q65,2)</f>
        <v>#DIV/0!</v>
      </c>
    </row>
    <row r="66" spans="1:22" ht="23" x14ac:dyDescent="0.25">
      <c r="A66" s="93" t="s">
        <v>259</v>
      </c>
      <c r="B66" s="94" t="s">
        <v>41</v>
      </c>
      <c r="C66" s="94" t="s">
        <v>329</v>
      </c>
      <c r="D66" s="94" t="s">
        <v>371</v>
      </c>
      <c r="E66" s="95" t="s">
        <v>367</v>
      </c>
      <c r="F66" s="94" t="s">
        <v>336</v>
      </c>
      <c r="G66" s="94" t="s">
        <v>208</v>
      </c>
      <c r="H66" s="94" t="s">
        <v>12</v>
      </c>
      <c r="I66" s="94" t="s">
        <v>198</v>
      </c>
      <c r="J66" s="95" t="s">
        <v>209</v>
      </c>
      <c r="K66" s="94" t="s">
        <v>337</v>
      </c>
      <c r="L66" s="96">
        <v>55</v>
      </c>
      <c r="M66" s="96">
        <f>L66*VLOOKUP(H66,dagsoorttabel1,2,FALSE)</f>
        <v>33.825000000000003</v>
      </c>
      <c r="N66" s="97">
        <f>prodnorm8</f>
        <v>0</v>
      </c>
      <c r="O66" s="41">
        <f>dagwerk8</f>
        <v>0</v>
      </c>
      <c r="P66" s="94" t="s">
        <v>108</v>
      </c>
      <c r="Q66" s="26">
        <f>uurtarief8</f>
        <v>0</v>
      </c>
      <c r="R66" s="96" t="e">
        <f>IF(ISBLANK(N66),0,M66/ROUND(N66,4))</f>
        <v>#DIV/0!</v>
      </c>
      <c r="S66" s="96" t="e">
        <f>IF(ISBLANK(N66),0,R66*ROUND(O66,2))</f>
        <v>#DIV/0!</v>
      </c>
      <c r="T66" s="26" t="e">
        <f>ROUND(Q66,2)*R66</f>
        <v>#DIV/0!</v>
      </c>
      <c r="U66" s="96" t="e">
        <f>R66*dagenperjaar1</f>
        <v>#DIV/0!</v>
      </c>
      <c r="V66" s="27" t="e">
        <f>U66*ROUND(Q66,2)</f>
        <v>#DIV/0!</v>
      </c>
    </row>
    <row r="67" spans="1:22" x14ac:dyDescent="0.25">
      <c r="A67" s="93" t="s">
        <v>259</v>
      </c>
      <c r="B67" s="94" t="s">
        <v>41</v>
      </c>
      <c r="C67" s="94" t="s">
        <v>329</v>
      </c>
      <c r="D67" s="94" t="s">
        <v>372</v>
      </c>
      <c r="E67" s="95" t="s">
        <v>280</v>
      </c>
      <c r="F67" s="94" t="s">
        <v>264</v>
      </c>
      <c r="G67" s="94" t="s">
        <v>236</v>
      </c>
      <c r="H67" s="94" t="s">
        <v>9</v>
      </c>
      <c r="I67" s="94" t="s">
        <v>198</v>
      </c>
      <c r="J67" s="95" t="s">
        <v>237</v>
      </c>
      <c r="K67" s="94" t="s">
        <v>273</v>
      </c>
      <c r="L67" s="96">
        <v>23</v>
      </c>
      <c r="M67" s="96">
        <f>L67*VLOOKUP(H67,dagsoorttabel1,2,FALSE)</f>
        <v>23.574999999999999</v>
      </c>
      <c r="N67" s="97">
        <f>prodnorm22</f>
        <v>0</v>
      </c>
      <c r="O67" s="41">
        <f>dagwerk22</f>
        <v>0</v>
      </c>
      <c r="P67" s="94" t="s">
        <v>108</v>
      </c>
      <c r="Q67" s="26">
        <f>uurtarief22</f>
        <v>0</v>
      </c>
      <c r="R67" s="96" t="e">
        <f>IF(ISBLANK(N67),0,M67/ROUND(N67,4))</f>
        <v>#DIV/0!</v>
      </c>
      <c r="S67" s="96" t="e">
        <f>IF(ISBLANK(N67),0,R67*ROUND(O67,2))</f>
        <v>#DIV/0!</v>
      </c>
      <c r="T67" s="26" t="e">
        <f>ROUND(Q67,2)*R67</f>
        <v>#DIV/0!</v>
      </c>
      <c r="U67" s="96" t="e">
        <f>R67*dagenperjaar1</f>
        <v>#DIV/0!</v>
      </c>
      <c r="V67" s="27" t="e">
        <f>U67*ROUND(Q67,2)</f>
        <v>#DIV/0!</v>
      </c>
    </row>
    <row r="68" spans="1:22" x14ac:dyDescent="0.25">
      <c r="A68" s="93" t="s">
        <v>259</v>
      </c>
      <c r="B68" s="94" t="s">
        <v>41</v>
      </c>
      <c r="C68" s="94" t="s">
        <v>329</v>
      </c>
      <c r="D68" s="94" t="s">
        <v>373</v>
      </c>
      <c r="E68" s="95" t="s">
        <v>374</v>
      </c>
      <c r="F68" s="94" t="s">
        <v>336</v>
      </c>
      <c r="G68" s="94" t="s">
        <v>208</v>
      </c>
      <c r="H68" s="94" t="s">
        <v>12</v>
      </c>
      <c r="I68" s="94" t="s">
        <v>198</v>
      </c>
      <c r="J68" s="95" t="s">
        <v>209</v>
      </c>
      <c r="K68" s="94" t="s">
        <v>337</v>
      </c>
      <c r="L68" s="96">
        <v>56</v>
      </c>
      <c r="M68" s="96">
        <f>L68*VLOOKUP(H68,dagsoorttabel1,2,FALSE)</f>
        <v>34.44</v>
      </c>
      <c r="N68" s="97">
        <f>prodnorm8</f>
        <v>0</v>
      </c>
      <c r="O68" s="41">
        <f>dagwerk8</f>
        <v>0</v>
      </c>
      <c r="P68" s="94" t="s">
        <v>108</v>
      </c>
      <c r="Q68" s="26">
        <f>uurtarief8</f>
        <v>0</v>
      </c>
      <c r="R68" s="96" t="e">
        <f>IF(ISBLANK(N68),0,M68/ROUND(N68,4))</f>
        <v>#DIV/0!</v>
      </c>
      <c r="S68" s="96" t="e">
        <f>IF(ISBLANK(N68),0,R68*ROUND(O68,2))</f>
        <v>#DIV/0!</v>
      </c>
      <c r="T68" s="26" t="e">
        <f>ROUND(Q68,2)*R68</f>
        <v>#DIV/0!</v>
      </c>
      <c r="U68" s="96" t="e">
        <f>R68*dagenperjaar1</f>
        <v>#DIV/0!</v>
      </c>
      <c r="V68" s="27" t="e">
        <f>U68*ROUND(Q68,2)</f>
        <v>#DIV/0!</v>
      </c>
    </row>
    <row r="69" spans="1:22" x14ac:dyDescent="0.25">
      <c r="A69" s="93" t="s">
        <v>259</v>
      </c>
      <c r="B69" s="94" t="s">
        <v>41</v>
      </c>
      <c r="C69" s="94" t="s">
        <v>329</v>
      </c>
      <c r="D69" s="94" t="s">
        <v>375</v>
      </c>
      <c r="E69" s="95" t="s">
        <v>376</v>
      </c>
      <c r="F69" s="94" t="s">
        <v>336</v>
      </c>
      <c r="G69" s="94" t="s">
        <v>268</v>
      </c>
      <c r="H69" s="94"/>
      <c r="I69" s="94"/>
      <c r="J69" s="94"/>
      <c r="K69" s="94" t="s">
        <v>41</v>
      </c>
      <c r="L69" s="96">
        <v>26</v>
      </c>
      <c r="M69" s="96"/>
      <c r="N69" s="97"/>
      <c r="O69" s="41"/>
      <c r="P69" s="94"/>
      <c r="Q69" s="26"/>
      <c r="R69" s="96"/>
      <c r="S69" s="96"/>
      <c r="T69" s="26"/>
      <c r="U69" s="98"/>
      <c r="V69" s="27"/>
    </row>
    <row r="70" spans="1:22" x14ac:dyDescent="0.25">
      <c r="A70" s="93" t="s">
        <v>259</v>
      </c>
      <c r="B70" s="94" t="s">
        <v>41</v>
      </c>
      <c r="C70" s="94" t="s">
        <v>329</v>
      </c>
      <c r="D70" s="94" t="s">
        <v>377</v>
      </c>
      <c r="E70" s="95" t="s">
        <v>378</v>
      </c>
      <c r="F70" s="94" t="s">
        <v>336</v>
      </c>
      <c r="G70" s="94" t="s">
        <v>197</v>
      </c>
      <c r="H70" s="94" t="s">
        <v>16</v>
      </c>
      <c r="I70" s="94" t="s">
        <v>198</v>
      </c>
      <c r="J70" s="95" t="s">
        <v>199</v>
      </c>
      <c r="K70" s="94" t="s">
        <v>265</v>
      </c>
      <c r="L70" s="96">
        <v>14</v>
      </c>
      <c r="M70" s="96">
        <f>L70*VLOOKUP(H70,dagsoorttabel1,2,FALSE)</f>
        <v>2.8699999999999997</v>
      </c>
      <c r="N70" s="97">
        <f>prodnorm3</f>
        <v>0</v>
      </c>
      <c r="O70" s="41">
        <f>dagwerk3</f>
        <v>0</v>
      </c>
      <c r="P70" s="94" t="s">
        <v>108</v>
      </c>
      <c r="Q70" s="26">
        <f>uurtarief3</f>
        <v>0</v>
      </c>
      <c r="R70" s="96" t="e">
        <f>IF(ISBLANK(N70),0,M70/ROUND(N70,4))</f>
        <v>#DIV/0!</v>
      </c>
      <c r="S70" s="96" t="e">
        <f>IF(ISBLANK(N70),0,R70*ROUND(O70,2))</f>
        <v>#DIV/0!</v>
      </c>
      <c r="T70" s="26" t="e">
        <f>ROUND(Q70,2)*R70</f>
        <v>#DIV/0!</v>
      </c>
      <c r="U70" s="96" t="e">
        <f>R70*dagenperjaar1</f>
        <v>#DIV/0!</v>
      </c>
      <c r="V70" s="27" t="e">
        <f>U70*ROUND(Q70,2)</f>
        <v>#DIV/0!</v>
      </c>
    </row>
    <row r="71" spans="1:22" x14ac:dyDescent="0.25">
      <c r="A71" s="93" t="s">
        <v>259</v>
      </c>
      <c r="B71" s="94" t="s">
        <v>41</v>
      </c>
      <c r="C71" s="94" t="s">
        <v>329</v>
      </c>
      <c r="D71" s="94" t="s">
        <v>379</v>
      </c>
      <c r="E71" s="95" t="s">
        <v>380</v>
      </c>
      <c r="F71" s="94" t="s">
        <v>41</v>
      </c>
      <c r="G71" s="94" t="s">
        <v>268</v>
      </c>
      <c r="H71" s="94"/>
      <c r="I71" s="94"/>
      <c r="J71" s="94"/>
      <c r="K71" s="94" t="s">
        <v>41</v>
      </c>
      <c r="L71" s="96">
        <v>4</v>
      </c>
      <c r="M71" s="96"/>
      <c r="N71" s="97"/>
      <c r="O71" s="41"/>
      <c r="P71" s="94"/>
      <c r="Q71" s="26"/>
      <c r="R71" s="96"/>
      <c r="S71" s="96"/>
      <c r="T71" s="26"/>
      <c r="U71" s="98"/>
      <c r="V71" s="27"/>
    </row>
    <row r="72" spans="1:22" x14ac:dyDescent="0.25">
      <c r="A72" s="93" t="s">
        <v>259</v>
      </c>
      <c r="B72" s="94" t="s">
        <v>41</v>
      </c>
      <c r="C72" s="94" t="s">
        <v>329</v>
      </c>
      <c r="D72" s="94" t="s">
        <v>381</v>
      </c>
      <c r="E72" s="95" t="s">
        <v>317</v>
      </c>
      <c r="F72" s="94" t="s">
        <v>41</v>
      </c>
      <c r="G72" s="94" t="s">
        <v>268</v>
      </c>
      <c r="H72" s="94"/>
      <c r="I72" s="94"/>
      <c r="J72" s="94"/>
      <c r="K72" s="94" t="s">
        <v>41</v>
      </c>
      <c r="L72" s="96">
        <v>4</v>
      </c>
      <c r="M72" s="96"/>
      <c r="N72" s="97"/>
      <c r="O72" s="41"/>
      <c r="P72" s="94"/>
      <c r="Q72" s="26"/>
      <c r="R72" s="96"/>
      <c r="S72" s="96"/>
      <c r="T72" s="26"/>
      <c r="U72" s="98"/>
      <c r="V72" s="27"/>
    </row>
    <row r="73" spans="1:22" x14ac:dyDescent="0.25">
      <c r="A73" s="93" t="s">
        <v>259</v>
      </c>
      <c r="B73" s="94" t="s">
        <v>41</v>
      </c>
      <c r="C73" s="94" t="s">
        <v>329</v>
      </c>
      <c r="D73" s="94" t="s">
        <v>382</v>
      </c>
      <c r="E73" s="95" t="s">
        <v>346</v>
      </c>
      <c r="F73" s="94" t="s">
        <v>336</v>
      </c>
      <c r="G73" s="94" t="s">
        <v>200</v>
      </c>
      <c r="H73" s="94" t="s">
        <v>16</v>
      </c>
      <c r="I73" s="94" t="s">
        <v>198</v>
      </c>
      <c r="J73" s="95" t="s">
        <v>201</v>
      </c>
      <c r="K73" s="94" t="s">
        <v>265</v>
      </c>
      <c r="L73" s="96">
        <v>9</v>
      </c>
      <c r="M73" s="96">
        <f>L73*VLOOKUP(H73,dagsoorttabel1,2,FALSE)</f>
        <v>1.845</v>
      </c>
      <c r="N73" s="97">
        <f>prodnorm4</f>
        <v>0</v>
      </c>
      <c r="O73" s="41">
        <f>dagwerk4</f>
        <v>0</v>
      </c>
      <c r="P73" s="94" t="s">
        <v>108</v>
      </c>
      <c r="Q73" s="26">
        <f>uurtarief4</f>
        <v>0</v>
      </c>
      <c r="R73" s="96" t="e">
        <f>IF(ISBLANK(N73),0,M73/ROUND(N73,4))</f>
        <v>#DIV/0!</v>
      </c>
      <c r="S73" s="96" t="e">
        <f>IF(ISBLANK(N73),0,R73*ROUND(O73,2))</f>
        <v>#DIV/0!</v>
      </c>
      <c r="T73" s="26" t="e">
        <f>ROUND(Q73,2)*R73</f>
        <v>#DIV/0!</v>
      </c>
      <c r="U73" s="96" t="e">
        <f>R73*dagenperjaar1</f>
        <v>#DIV/0!</v>
      </c>
      <c r="V73" s="27" t="e">
        <f>U73*ROUND(Q73,2)</f>
        <v>#DIV/0!</v>
      </c>
    </row>
    <row r="74" spans="1:22" x14ac:dyDescent="0.25">
      <c r="A74" s="93" t="s">
        <v>259</v>
      </c>
      <c r="B74" s="94" t="s">
        <v>41</v>
      </c>
      <c r="C74" s="94" t="s">
        <v>329</v>
      </c>
      <c r="D74" s="94" t="s">
        <v>383</v>
      </c>
      <c r="E74" s="95" t="s">
        <v>272</v>
      </c>
      <c r="F74" s="94" t="s">
        <v>264</v>
      </c>
      <c r="G74" s="94" t="s">
        <v>228</v>
      </c>
      <c r="H74" s="94" t="s">
        <v>9</v>
      </c>
      <c r="I74" s="94" t="s">
        <v>198</v>
      </c>
      <c r="J74" s="95" t="s">
        <v>229</v>
      </c>
      <c r="K74" s="94" t="s">
        <v>273</v>
      </c>
      <c r="L74" s="96">
        <v>158</v>
      </c>
      <c r="M74" s="96">
        <f>L74*VLOOKUP(H74,dagsoorttabel1,2,FALSE)</f>
        <v>161.94999999999999</v>
      </c>
      <c r="N74" s="97">
        <f>prodnorm18</f>
        <v>0</v>
      </c>
      <c r="O74" s="41">
        <f>dagwerk18</f>
        <v>0</v>
      </c>
      <c r="P74" s="94" t="s">
        <v>108</v>
      </c>
      <c r="Q74" s="26">
        <f>uurtarief18</f>
        <v>0</v>
      </c>
      <c r="R74" s="96" t="e">
        <f>IF(ISBLANK(N74),0,M74/ROUND(N74,4))</f>
        <v>#DIV/0!</v>
      </c>
      <c r="S74" s="96" t="e">
        <f>IF(ISBLANK(N74),0,R74*ROUND(O74,2))</f>
        <v>#DIV/0!</v>
      </c>
      <c r="T74" s="26" t="e">
        <f>ROUND(Q74,2)*R74</f>
        <v>#DIV/0!</v>
      </c>
      <c r="U74" s="96" t="e">
        <f>R74*dagenperjaar1</f>
        <v>#DIV/0!</v>
      </c>
      <c r="V74" s="27" t="e">
        <f>U74*ROUND(Q74,2)</f>
        <v>#DIV/0!</v>
      </c>
    </row>
    <row r="75" spans="1:22" x14ac:dyDescent="0.25">
      <c r="A75" s="93" t="s">
        <v>259</v>
      </c>
      <c r="B75" s="94" t="s">
        <v>41</v>
      </c>
      <c r="C75" s="94" t="s">
        <v>329</v>
      </c>
      <c r="D75" s="94" t="s">
        <v>384</v>
      </c>
      <c r="E75" s="95" t="s">
        <v>385</v>
      </c>
      <c r="F75" s="94" t="s">
        <v>264</v>
      </c>
      <c r="G75" s="94" t="s">
        <v>204</v>
      </c>
      <c r="H75" s="94" t="s">
        <v>9</v>
      </c>
      <c r="I75" s="94" t="s">
        <v>198</v>
      </c>
      <c r="J75" s="95" t="s">
        <v>205</v>
      </c>
      <c r="K75" s="94" t="s">
        <v>273</v>
      </c>
      <c r="L75" s="96">
        <v>280</v>
      </c>
      <c r="M75" s="96">
        <f>L75*VLOOKUP(H75,dagsoorttabel1,2,FALSE)</f>
        <v>287</v>
      </c>
      <c r="N75" s="97">
        <f>prodnorm6</f>
        <v>0</v>
      </c>
      <c r="O75" s="41">
        <f>dagwerk6</f>
        <v>0</v>
      </c>
      <c r="P75" s="94" t="s">
        <v>108</v>
      </c>
      <c r="Q75" s="26">
        <f>uurtarief6</f>
        <v>0</v>
      </c>
      <c r="R75" s="96" t="e">
        <f>IF(ISBLANK(N75),0,M75/ROUND(N75,4))</f>
        <v>#DIV/0!</v>
      </c>
      <c r="S75" s="96" t="e">
        <f>IF(ISBLANK(N75),0,R75*ROUND(O75,2))</f>
        <v>#DIV/0!</v>
      </c>
      <c r="T75" s="26" t="e">
        <f>ROUND(Q75,2)*R75</f>
        <v>#DIV/0!</v>
      </c>
      <c r="U75" s="96" t="e">
        <f>R75*dagenperjaar1</f>
        <v>#DIV/0!</v>
      </c>
      <c r="V75" s="27" t="e">
        <f>U75*ROUND(Q75,2)</f>
        <v>#DIV/0!</v>
      </c>
    </row>
    <row r="76" spans="1:22" x14ac:dyDescent="0.25">
      <c r="A76" s="93" t="s">
        <v>259</v>
      </c>
      <c r="B76" s="94" t="s">
        <v>41</v>
      </c>
      <c r="C76" s="94" t="s">
        <v>329</v>
      </c>
      <c r="D76" s="94" t="s">
        <v>386</v>
      </c>
      <c r="E76" s="95" t="s">
        <v>387</v>
      </c>
      <c r="F76" s="94" t="s">
        <v>264</v>
      </c>
      <c r="G76" s="94" t="s">
        <v>210</v>
      </c>
      <c r="H76" s="94" t="s">
        <v>9</v>
      </c>
      <c r="I76" s="94" t="s">
        <v>198</v>
      </c>
      <c r="J76" s="95" t="s">
        <v>211</v>
      </c>
      <c r="K76" s="94" t="s">
        <v>337</v>
      </c>
      <c r="L76" s="96">
        <v>116</v>
      </c>
      <c r="M76" s="96">
        <f>L76*VLOOKUP(H76,dagsoorttabel1,2,FALSE)</f>
        <v>118.89999999999999</v>
      </c>
      <c r="N76" s="97">
        <f>prodnorm9</f>
        <v>0</v>
      </c>
      <c r="O76" s="41">
        <f>dagwerk9</f>
        <v>0</v>
      </c>
      <c r="P76" s="94" t="s">
        <v>108</v>
      </c>
      <c r="Q76" s="26">
        <f>uurtarief9</f>
        <v>0</v>
      </c>
      <c r="R76" s="96" t="e">
        <f>IF(ISBLANK(N76),0,M76/ROUND(N76,4))</f>
        <v>#DIV/0!</v>
      </c>
      <c r="S76" s="96" t="e">
        <f>IF(ISBLANK(N76),0,R76*ROUND(O76,2))</f>
        <v>#DIV/0!</v>
      </c>
      <c r="T76" s="26" t="e">
        <f>ROUND(Q76,2)*R76</f>
        <v>#DIV/0!</v>
      </c>
      <c r="U76" s="96" t="e">
        <f>R76*dagenperjaar1</f>
        <v>#DIV/0!</v>
      </c>
      <c r="V76" s="27" t="e">
        <f>U76*ROUND(Q76,2)</f>
        <v>#DIV/0!</v>
      </c>
    </row>
    <row r="77" spans="1:22" x14ac:dyDescent="0.25">
      <c r="A77" s="93" t="s">
        <v>259</v>
      </c>
      <c r="B77" s="94" t="s">
        <v>41</v>
      </c>
      <c r="C77" s="94" t="s">
        <v>329</v>
      </c>
      <c r="D77" s="94" t="s">
        <v>388</v>
      </c>
      <c r="E77" s="95" t="s">
        <v>272</v>
      </c>
      <c r="F77" s="94" t="s">
        <v>264</v>
      </c>
      <c r="G77" s="94" t="s">
        <v>228</v>
      </c>
      <c r="H77" s="94" t="s">
        <v>9</v>
      </c>
      <c r="I77" s="94" t="s">
        <v>198</v>
      </c>
      <c r="J77" s="95" t="s">
        <v>229</v>
      </c>
      <c r="K77" s="94" t="s">
        <v>273</v>
      </c>
      <c r="L77" s="96">
        <v>147</v>
      </c>
      <c r="M77" s="96">
        <f>L77*VLOOKUP(H77,dagsoorttabel1,2,FALSE)</f>
        <v>150.67499999999998</v>
      </c>
      <c r="N77" s="97">
        <f>prodnorm18</f>
        <v>0</v>
      </c>
      <c r="O77" s="41">
        <f>dagwerk18</f>
        <v>0</v>
      </c>
      <c r="P77" s="94" t="s">
        <v>108</v>
      </c>
      <c r="Q77" s="26">
        <f>uurtarief18</f>
        <v>0</v>
      </c>
      <c r="R77" s="96" t="e">
        <f>IF(ISBLANK(N77),0,M77/ROUND(N77,4))</f>
        <v>#DIV/0!</v>
      </c>
      <c r="S77" s="96" t="e">
        <f>IF(ISBLANK(N77),0,R77*ROUND(O77,2))</f>
        <v>#DIV/0!</v>
      </c>
      <c r="T77" s="26" t="e">
        <f>ROUND(Q77,2)*R77</f>
        <v>#DIV/0!</v>
      </c>
      <c r="U77" s="96" t="e">
        <f>R77*dagenperjaar1</f>
        <v>#DIV/0!</v>
      </c>
      <c r="V77" s="27" t="e">
        <f>U77*ROUND(Q77,2)</f>
        <v>#DIV/0!</v>
      </c>
    </row>
    <row r="78" spans="1:22" x14ac:dyDescent="0.25">
      <c r="A78" s="93" t="s">
        <v>259</v>
      </c>
      <c r="B78" s="94" t="s">
        <v>41</v>
      </c>
      <c r="C78" s="94" t="s">
        <v>329</v>
      </c>
      <c r="D78" s="94" t="s">
        <v>389</v>
      </c>
      <c r="E78" s="95" t="s">
        <v>358</v>
      </c>
      <c r="F78" s="94" t="s">
        <v>300</v>
      </c>
      <c r="G78" s="94" t="s">
        <v>224</v>
      </c>
      <c r="H78" s="94" t="s">
        <v>9</v>
      </c>
      <c r="I78" s="94" t="s">
        <v>198</v>
      </c>
      <c r="J78" s="95" t="s">
        <v>225</v>
      </c>
      <c r="K78" s="94" t="s">
        <v>296</v>
      </c>
      <c r="L78" s="96">
        <v>7</v>
      </c>
      <c r="M78" s="96">
        <f>L78*VLOOKUP(H78,dagsoorttabel1,2,FALSE)</f>
        <v>7.1749999999999989</v>
      </c>
      <c r="N78" s="97">
        <f>prodnorm16</f>
        <v>0</v>
      </c>
      <c r="O78" s="41">
        <f>dagwerk16</f>
        <v>0</v>
      </c>
      <c r="P78" s="94" t="s">
        <v>108</v>
      </c>
      <c r="Q78" s="26">
        <f>uurtarief16</f>
        <v>0</v>
      </c>
      <c r="R78" s="96" t="e">
        <f>IF(ISBLANK(N78),0,M78/ROUND(N78,4))</f>
        <v>#DIV/0!</v>
      </c>
      <c r="S78" s="96" t="e">
        <f>IF(ISBLANK(N78),0,R78*ROUND(O78,2))</f>
        <v>#DIV/0!</v>
      </c>
      <c r="T78" s="26" t="e">
        <f>ROUND(Q78,2)*R78</f>
        <v>#DIV/0!</v>
      </c>
      <c r="U78" s="96" t="e">
        <f>R78*dagenperjaar1</f>
        <v>#DIV/0!</v>
      </c>
      <c r="V78" s="27" t="e">
        <f>U78*ROUND(Q78,2)</f>
        <v>#DIV/0!</v>
      </c>
    </row>
    <row r="79" spans="1:22" x14ac:dyDescent="0.25">
      <c r="A79" s="93" t="s">
        <v>259</v>
      </c>
      <c r="B79" s="94" t="s">
        <v>41</v>
      </c>
      <c r="C79" s="94" t="s">
        <v>329</v>
      </c>
      <c r="D79" s="94" t="s">
        <v>389</v>
      </c>
      <c r="E79" s="95" t="s">
        <v>358</v>
      </c>
      <c r="F79" s="94" t="s">
        <v>300</v>
      </c>
      <c r="G79" s="94" t="s">
        <v>226</v>
      </c>
      <c r="H79" s="94" t="s">
        <v>9</v>
      </c>
      <c r="I79" s="94" t="s">
        <v>198</v>
      </c>
      <c r="J79" s="95" t="s">
        <v>227</v>
      </c>
      <c r="K79" s="94" t="s">
        <v>296</v>
      </c>
      <c r="L79" s="96">
        <v>7</v>
      </c>
      <c r="M79" s="96">
        <f>L79*VLOOKUP(H79,dagsoorttabel1,2,FALSE)</f>
        <v>7.1749999999999989</v>
      </c>
      <c r="N79" s="97">
        <f>prodnorm17</f>
        <v>0</v>
      </c>
      <c r="O79" s="41">
        <f>dagwerk17</f>
        <v>0</v>
      </c>
      <c r="P79" s="94" t="s">
        <v>108</v>
      </c>
      <c r="Q79" s="26">
        <f>uurtarief17</f>
        <v>0</v>
      </c>
      <c r="R79" s="96" t="e">
        <f>IF(ISBLANK(N79),0,M79/ROUND(N79,4))</f>
        <v>#DIV/0!</v>
      </c>
      <c r="S79" s="96" t="e">
        <f>IF(ISBLANK(N79),0,R79*ROUND(O79,2))</f>
        <v>#DIV/0!</v>
      </c>
      <c r="T79" s="26" t="e">
        <f>ROUND(Q79,2)*R79</f>
        <v>#DIV/0!</v>
      </c>
      <c r="U79" s="96" t="e">
        <f>R79*dagenperjaar1</f>
        <v>#DIV/0!</v>
      </c>
      <c r="V79" s="27" t="e">
        <f>U79*ROUND(Q79,2)</f>
        <v>#DIV/0!</v>
      </c>
    </row>
    <row r="80" spans="1:22" x14ac:dyDescent="0.25">
      <c r="A80" s="93" t="s">
        <v>259</v>
      </c>
      <c r="B80" s="94" t="s">
        <v>41</v>
      </c>
      <c r="C80" s="94" t="s">
        <v>329</v>
      </c>
      <c r="D80" s="94" t="s">
        <v>390</v>
      </c>
      <c r="E80" s="95" t="s">
        <v>391</v>
      </c>
      <c r="F80" s="94" t="s">
        <v>300</v>
      </c>
      <c r="G80" s="94" t="s">
        <v>230</v>
      </c>
      <c r="H80" s="94" t="s">
        <v>9</v>
      </c>
      <c r="I80" s="94" t="s">
        <v>198</v>
      </c>
      <c r="J80" s="95" t="s">
        <v>231</v>
      </c>
      <c r="K80" s="94" t="s">
        <v>273</v>
      </c>
      <c r="L80" s="96">
        <v>38</v>
      </c>
      <c r="M80" s="96">
        <f>L80*VLOOKUP(H80,dagsoorttabel1,2,FALSE)</f>
        <v>38.949999999999996</v>
      </c>
      <c r="N80" s="97">
        <f>prodnorm19</f>
        <v>0</v>
      </c>
      <c r="O80" s="41">
        <f>dagwerk19</f>
        <v>0</v>
      </c>
      <c r="P80" s="94" t="s">
        <v>108</v>
      </c>
      <c r="Q80" s="26">
        <f>uurtarief19</f>
        <v>0</v>
      </c>
      <c r="R80" s="96" t="e">
        <f>IF(ISBLANK(N80),0,M80/ROUND(N80,4))</f>
        <v>#DIV/0!</v>
      </c>
      <c r="S80" s="96" t="e">
        <f>IF(ISBLANK(N80),0,R80*ROUND(O80,2))</f>
        <v>#DIV/0!</v>
      </c>
      <c r="T80" s="26" t="e">
        <f>ROUND(Q80,2)*R80</f>
        <v>#DIV/0!</v>
      </c>
      <c r="U80" s="96" t="e">
        <f>R80*dagenperjaar1</f>
        <v>#DIV/0!</v>
      </c>
      <c r="V80" s="27" t="e">
        <f>U80*ROUND(Q80,2)</f>
        <v>#DIV/0!</v>
      </c>
    </row>
    <row r="81" spans="1:22" x14ac:dyDescent="0.25">
      <c r="A81" s="93" t="s">
        <v>259</v>
      </c>
      <c r="B81" s="94" t="s">
        <v>41</v>
      </c>
      <c r="C81" s="94" t="s">
        <v>329</v>
      </c>
      <c r="D81" s="94" t="s">
        <v>392</v>
      </c>
      <c r="E81" s="95" t="s">
        <v>385</v>
      </c>
      <c r="F81" s="94" t="s">
        <v>300</v>
      </c>
      <c r="G81" s="94" t="s">
        <v>204</v>
      </c>
      <c r="H81" s="94" t="s">
        <v>9</v>
      </c>
      <c r="I81" s="94" t="s">
        <v>198</v>
      </c>
      <c r="J81" s="95" t="s">
        <v>205</v>
      </c>
      <c r="K81" s="94" t="s">
        <v>273</v>
      </c>
      <c r="L81" s="96">
        <v>48</v>
      </c>
      <c r="M81" s="96">
        <f>L81*VLOOKUP(H81,dagsoorttabel1,2,FALSE)</f>
        <v>49.199999999999996</v>
      </c>
      <c r="N81" s="97">
        <f>prodnorm6</f>
        <v>0</v>
      </c>
      <c r="O81" s="41">
        <f>dagwerk6</f>
        <v>0</v>
      </c>
      <c r="P81" s="94" t="s">
        <v>108</v>
      </c>
      <c r="Q81" s="26">
        <f>uurtarief6</f>
        <v>0</v>
      </c>
      <c r="R81" s="96" t="e">
        <f>IF(ISBLANK(N81),0,M81/ROUND(N81,4))</f>
        <v>#DIV/0!</v>
      </c>
      <c r="S81" s="96" t="e">
        <f>IF(ISBLANK(N81),0,R81*ROUND(O81,2))</f>
        <v>#DIV/0!</v>
      </c>
      <c r="T81" s="26" t="e">
        <f>ROUND(Q81,2)*R81</f>
        <v>#DIV/0!</v>
      </c>
      <c r="U81" s="96" t="e">
        <f>R81*dagenperjaar1</f>
        <v>#DIV/0!</v>
      </c>
      <c r="V81" s="27" t="e">
        <f>U81*ROUND(Q81,2)</f>
        <v>#DIV/0!</v>
      </c>
    </row>
    <row r="82" spans="1:22" x14ac:dyDescent="0.25">
      <c r="A82" s="93" t="s">
        <v>259</v>
      </c>
      <c r="B82" s="94" t="s">
        <v>41</v>
      </c>
      <c r="C82" s="94" t="s">
        <v>329</v>
      </c>
      <c r="D82" s="94" t="s">
        <v>393</v>
      </c>
      <c r="E82" s="95" t="s">
        <v>394</v>
      </c>
      <c r="F82" s="94" t="s">
        <v>336</v>
      </c>
      <c r="G82" s="94" t="s">
        <v>200</v>
      </c>
      <c r="H82" s="94" t="s">
        <v>16</v>
      </c>
      <c r="I82" s="94" t="s">
        <v>198</v>
      </c>
      <c r="J82" s="95" t="s">
        <v>201</v>
      </c>
      <c r="K82" s="94" t="s">
        <v>265</v>
      </c>
      <c r="L82" s="96">
        <v>10</v>
      </c>
      <c r="M82" s="96">
        <f>L82*VLOOKUP(H82,dagsoorttabel1,2,FALSE)</f>
        <v>2.0499999999999998</v>
      </c>
      <c r="N82" s="97">
        <f>prodnorm4</f>
        <v>0</v>
      </c>
      <c r="O82" s="41">
        <f>dagwerk4</f>
        <v>0</v>
      </c>
      <c r="P82" s="94" t="s">
        <v>108</v>
      </c>
      <c r="Q82" s="26">
        <f>uurtarief4</f>
        <v>0</v>
      </c>
      <c r="R82" s="96" t="e">
        <f>IF(ISBLANK(N82),0,M82/ROUND(N82,4))</f>
        <v>#DIV/0!</v>
      </c>
      <c r="S82" s="96" t="e">
        <f>IF(ISBLANK(N82),0,R82*ROUND(O82,2))</f>
        <v>#DIV/0!</v>
      </c>
      <c r="T82" s="26" t="e">
        <f>ROUND(Q82,2)*R82</f>
        <v>#DIV/0!</v>
      </c>
      <c r="U82" s="96" t="e">
        <f>R82*dagenperjaar1</f>
        <v>#DIV/0!</v>
      </c>
      <c r="V82" s="27" t="e">
        <f>U82*ROUND(Q82,2)</f>
        <v>#DIV/0!</v>
      </c>
    </row>
    <row r="83" spans="1:22" x14ac:dyDescent="0.25">
      <c r="A83" s="93" t="s">
        <v>259</v>
      </c>
      <c r="B83" s="94" t="s">
        <v>41</v>
      </c>
      <c r="C83" s="94" t="s">
        <v>329</v>
      </c>
      <c r="D83" s="94" t="s">
        <v>395</v>
      </c>
      <c r="E83" s="95" t="s">
        <v>394</v>
      </c>
      <c r="F83" s="94" t="s">
        <v>336</v>
      </c>
      <c r="G83" s="94" t="s">
        <v>200</v>
      </c>
      <c r="H83" s="94" t="s">
        <v>16</v>
      </c>
      <c r="I83" s="94" t="s">
        <v>198</v>
      </c>
      <c r="J83" s="95" t="s">
        <v>201</v>
      </c>
      <c r="K83" s="94" t="s">
        <v>265</v>
      </c>
      <c r="L83" s="96">
        <v>9</v>
      </c>
      <c r="M83" s="96">
        <f>L83*VLOOKUP(H83,dagsoorttabel1,2,FALSE)</f>
        <v>1.845</v>
      </c>
      <c r="N83" s="97">
        <f>prodnorm4</f>
        <v>0</v>
      </c>
      <c r="O83" s="41">
        <f>dagwerk4</f>
        <v>0</v>
      </c>
      <c r="P83" s="94" t="s">
        <v>108</v>
      </c>
      <c r="Q83" s="26">
        <f>uurtarief4</f>
        <v>0</v>
      </c>
      <c r="R83" s="96" t="e">
        <f>IF(ISBLANK(N83),0,M83/ROUND(N83,4))</f>
        <v>#DIV/0!</v>
      </c>
      <c r="S83" s="96" t="e">
        <f>IF(ISBLANK(N83),0,R83*ROUND(O83,2))</f>
        <v>#DIV/0!</v>
      </c>
      <c r="T83" s="26" t="e">
        <f>ROUND(Q83,2)*R83</f>
        <v>#DIV/0!</v>
      </c>
      <c r="U83" s="96" t="e">
        <f>R83*dagenperjaar1</f>
        <v>#DIV/0!</v>
      </c>
      <c r="V83" s="27" t="e">
        <f>U83*ROUND(Q83,2)</f>
        <v>#DIV/0!</v>
      </c>
    </row>
    <row r="84" spans="1:22" x14ac:dyDescent="0.25">
      <c r="A84" s="93" t="s">
        <v>259</v>
      </c>
      <c r="B84" s="94" t="s">
        <v>41</v>
      </c>
      <c r="C84" s="94" t="s">
        <v>329</v>
      </c>
      <c r="D84" s="94" t="s">
        <v>396</v>
      </c>
      <c r="E84" s="95" t="s">
        <v>272</v>
      </c>
      <c r="F84" s="94" t="s">
        <v>300</v>
      </c>
      <c r="G84" s="94" t="s">
        <v>228</v>
      </c>
      <c r="H84" s="94" t="s">
        <v>9</v>
      </c>
      <c r="I84" s="94" t="s">
        <v>198</v>
      </c>
      <c r="J84" s="95" t="s">
        <v>229</v>
      </c>
      <c r="K84" s="94" t="s">
        <v>273</v>
      </c>
      <c r="L84" s="96">
        <v>19</v>
      </c>
      <c r="M84" s="96">
        <f>L84*VLOOKUP(H84,dagsoorttabel1,2,FALSE)</f>
        <v>19.474999999999998</v>
      </c>
      <c r="N84" s="97">
        <f>prodnorm18</f>
        <v>0</v>
      </c>
      <c r="O84" s="41">
        <f>dagwerk18</f>
        <v>0</v>
      </c>
      <c r="P84" s="94" t="s">
        <v>108</v>
      </c>
      <c r="Q84" s="26">
        <f>uurtarief18</f>
        <v>0</v>
      </c>
      <c r="R84" s="96" t="e">
        <f>IF(ISBLANK(N84),0,M84/ROUND(N84,4))</f>
        <v>#DIV/0!</v>
      </c>
      <c r="S84" s="96" t="e">
        <f>IF(ISBLANK(N84),0,R84*ROUND(O84,2))</f>
        <v>#DIV/0!</v>
      </c>
      <c r="T84" s="26" t="e">
        <f>ROUND(Q84,2)*R84</f>
        <v>#DIV/0!</v>
      </c>
      <c r="U84" s="96" t="e">
        <f>R84*dagenperjaar1</f>
        <v>#DIV/0!</v>
      </c>
      <c r="V84" s="27" t="e">
        <f>U84*ROUND(Q84,2)</f>
        <v>#DIV/0!</v>
      </c>
    </row>
    <row r="85" spans="1:22" x14ac:dyDescent="0.25">
      <c r="A85" s="93" t="s">
        <v>259</v>
      </c>
      <c r="B85" s="94" t="s">
        <v>41</v>
      </c>
      <c r="C85" s="94" t="s">
        <v>329</v>
      </c>
      <c r="D85" s="94" t="s">
        <v>397</v>
      </c>
      <c r="E85" s="95" t="s">
        <v>272</v>
      </c>
      <c r="F85" s="94" t="s">
        <v>300</v>
      </c>
      <c r="G85" s="94" t="s">
        <v>228</v>
      </c>
      <c r="H85" s="94" t="s">
        <v>9</v>
      </c>
      <c r="I85" s="94" t="s">
        <v>198</v>
      </c>
      <c r="J85" s="95" t="s">
        <v>229</v>
      </c>
      <c r="K85" s="94" t="s">
        <v>273</v>
      </c>
      <c r="L85" s="96">
        <v>58</v>
      </c>
      <c r="M85" s="96">
        <f>L85*VLOOKUP(H85,dagsoorttabel1,2,FALSE)</f>
        <v>59.449999999999996</v>
      </c>
      <c r="N85" s="97">
        <f>prodnorm18</f>
        <v>0</v>
      </c>
      <c r="O85" s="41">
        <f>dagwerk18</f>
        <v>0</v>
      </c>
      <c r="P85" s="94" t="s">
        <v>108</v>
      </c>
      <c r="Q85" s="26">
        <f>uurtarief18</f>
        <v>0</v>
      </c>
      <c r="R85" s="96" t="e">
        <f>IF(ISBLANK(N85),0,M85/ROUND(N85,4))</f>
        <v>#DIV/0!</v>
      </c>
      <c r="S85" s="96" t="e">
        <f>IF(ISBLANK(N85),0,R85*ROUND(O85,2))</f>
        <v>#DIV/0!</v>
      </c>
      <c r="T85" s="26" t="e">
        <f>ROUND(Q85,2)*R85</f>
        <v>#DIV/0!</v>
      </c>
      <c r="U85" s="96" t="e">
        <f>R85*dagenperjaar1</f>
        <v>#DIV/0!</v>
      </c>
      <c r="V85" s="27" t="e">
        <f>U85*ROUND(Q85,2)</f>
        <v>#DIV/0!</v>
      </c>
    </row>
    <row r="86" spans="1:22" x14ac:dyDescent="0.25">
      <c r="A86" s="93" t="s">
        <v>259</v>
      </c>
      <c r="B86" s="94" t="s">
        <v>41</v>
      </c>
      <c r="C86" s="94" t="s">
        <v>329</v>
      </c>
      <c r="D86" s="94" t="s">
        <v>398</v>
      </c>
      <c r="E86" s="95" t="s">
        <v>399</v>
      </c>
      <c r="F86" s="94" t="s">
        <v>300</v>
      </c>
      <c r="G86" s="94" t="s">
        <v>218</v>
      </c>
      <c r="H86" s="94" t="s">
        <v>12</v>
      </c>
      <c r="I86" s="94" t="s">
        <v>198</v>
      </c>
      <c r="J86" s="95" t="s">
        <v>219</v>
      </c>
      <c r="K86" s="94" t="s">
        <v>337</v>
      </c>
      <c r="L86" s="96">
        <v>10</v>
      </c>
      <c r="M86" s="96">
        <f>L86*VLOOKUP(H86,dagsoorttabel1,2,FALSE)</f>
        <v>6.15</v>
      </c>
      <c r="N86" s="97">
        <f>prodnorm13</f>
        <v>0</v>
      </c>
      <c r="O86" s="41">
        <f>dagwerk13</f>
        <v>0</v>
      </c>
      <c r="P86" s="94" t="s">
        <v>108</v>
      </c>
      <c r="Q86" s="26">
        <f>uurtarief13</f>
        <v>0</v>
      </c>
      <c r="R86" s="96" t="e">
        <f>IF(ISBLANK(N86),0,M86/ROUND(N86,4))</f>
        <v>#DIV/0!</v>
      </c>
      <c r="S86" s="96" t="e">
        <f>IF(ISBLANK(N86),0,R86*ROUND(O86,2))</f>
        <v>#DIV/0!</v>
      </c>
      <c r="T86" s="26" t="e">
        <f>ROUND(Q86,2)*R86</f>
        <v>#DIV/0!</v>
      </c>
      <c r="U86" s="96" t="e">
        <f>R86*dagenperjaar1</f>
        <v>#DIV/0!</v>
      </c>
      <c r="V86" s="27" t="e">
        <f>U86*ROUND(Q86,2)</f>
        <v>#DIV/0!</v>
      </c>
    </row>
    <row r="87" spans="1:22" x14ac:dyDescent="0.25">
      <c r="A87" s="93" t="s">
        <v>259</v>
      </c>
      <c r="B87" s="94" t="s">
        <v>41</v>
      </c>
      <c r="C87" s="94" t="s">
        <v>329</v>
      </c>
      <c r="D87" s="94" t="s">
        <v>400</v>
      </c>
      <c r="E87" s="95" t="s">
        <v>399</v>
      </c>
      <c r="F87" s="94" t="s">
        <v>300</v>
      </c>
      <c r="G87" s="94" t="s">
        <v>218</v>
      </c>
      <c r="H87" s="94" t="s">
        <v>12</v>
      </c>
      <c r="I87" s="94" t="s">
        <v>198</v>
      </c>
      <c r="J87" s="95" t="s">
        <v>219</v>
      </c>
      <c r="K87" s="94" t="s">
        <v>337</v>
      </c>
      <c r="L87" s="96">
        <v>10</v>
      </c>
      <c r="M87" s="96">
        <f>L87*VLOOKUP(H87,dagsoorttabel1,2,FALSE)</f>
        <v>6.15</v>
      </c>
      <c r="N87" s="97">
        <f>prodnorm13</f>
        <v>0</v>
      </c>
      <c r="O87" s="41">
        <f>dagwerk13</f>
        <v>0</v>
      </c>
      <c r="P87" s="94" t="s">
        <v>108</v>
      </c>
      <c r="Q87" s="26">
        <f>uurtarief13</f>
        <v>0</v>
      </c>
      <c r="R87" s="96" t="e">
        <f>IF(ISBLANK(N87),0,M87/ROUND(N87,4))</f>
        <v>#DIV/0!</v>
      </c>
      <c r="S87" s="96" t="e">
        <f>IF(ISBLANK(N87),0,R87*ROUND(O87,2))</f>
        <v>#DIV/0!</v>
      </c>
      <c r="T87" s="26" t="e">
        <f>ROUND(Q87,2)*R87</f>
        <v>#DIV/0!</v>
      </c>
      <c r="U87" s="96" t="e">
        <f>R87*dagenperjaar1</f>
        <v>#DIV/0!</v>
      </c>
      <c r="V87" s="27" t="e">
        <f>U87*ROUND(Q87,2)</f>
        <v>#DIV/0!</v>
      </c>
    </row>
    <row r="88" spans="1:22" x14ac:dyDescent="0.25">
      <c r="A88" s="93" t="s">
        <v>259</v>
      </c>
      <c r="B88" s="94" t="s">
        <v>41</v>
      </c>
      <c r="C88" s="94" t="s">
        <v>329</v>
      </c>
      <c r="D88" s="94" t="s">
        <v>401</v>
      </c>
      <c r="E88" s="95" t="s">
        <v>399</v>
      </c>
      <c r="F88" s="94" t="s">
        <v>300</v>
      </c>
      <c r="G88" s="94" t="s">
        <v>218</v>
      </c>
      <c r="H88" s="94" t="s">
        <v>12</v>
      </c>
      <c r="I88" s="94" t="s">
        <v>198</v>
      </c>
      <c r="J88" s="95" t="s">
        <v>219</v>
      </c>
      <c r="K88" s="94" t="s">
        <v>337</v>
      </c>
      <c r="L88" s="96">
        <v>10</v>
      </c>
      <c r="M88" s="96">
        <f>L88*VLOOKUP(H88,dagsoorttabel1,2,FALSE)</f>
        <v>6.15</v>
      </c>
      <c r="N88" s="97">
        <f>prodnorm13</f>
        <v>0</v>
      </c>
      <c r="O88" s="41">
        <f>dagwerk13</f>
        <v>0</v>
      </c>
      <c r="P88" s="94" t="s">
        <v>108</v>
      </c>
      <c r="Q88" s="26">
        <f>uurtarief13</f>
        <v>0</v>
      </c>
      <c r="R88" s="96" t="e">
        <f>IF(ISBLANK(N88),0,M88/ROUND(N88,4))</f>
        <v>#DIV/0!</v>
      </c>
      <c r="S88" s="96" t="e">
        <f>IF(ISBLANK(N88),0,R88*ROUND(O88,2))</f>
        <v>#DIV/0!</v>
      </c>
      <c r="T88" s="26" t="e">
        <f>ROUND(Q88,2)*R88</f>
        <v>#DIV/0!</v>
      </c>
      <c r="U88" s="96" t="e">
        <f>R88*dagenperjaar1</f>
        <v>#DIV/0!</v>
      </c>
      <c r="V88" s="27" t="e">
        <f>U88*ROUND(Q88,2)</f>
        <v>#DIV/0!</v>
      </c>
    </row>
    <row r="89" spans="1:22" ht="23" x14ac:dyDescent="0.25">
      <c r="A89" s="93" t="s">
        <v>259</v>
      </c>
      <c r="B89" s="94" t="s">
        <v>41</v>
      </c>
      <c r="C89" s="94" t="s">
        <v>329</v>
      </c>
      <c r="D89" s="94" t="s">
        <v>402</v>
      </c>
      <c r="E89" s="95" t="s">
        <v>403</v>
      </c>
      <c r="F89" s="94" t="s">
        <v>404</v>
      </c>
      <c r="G89" s="94" t="s">
        <v>202</v>
      </c>
      <c r="H89" s="94" t="s">
        <v>9</v>
      </c>
      <c r="I89" s="94" t="s">
        <v>198</v>
      </c>
      <c r="J89" s="95" t="s">
        <v>203</v>
      </c>
      <c r="K89" s="94" t="s">
        <v>273</v>
      </c>
      <c r="L89" s="96">
        <v>22</v>
      </c>
      <c r="M89" s="96">
        <f>L89*VLOOKUP(H89,dagsoorttabel1,2,FALSE)</f>
        <v>22.549999999999997</v>
      </c>
      <c r="N89" s="97">
        <f>prodnorm5</f>
        <v>0</v>
      </c>
      <c r="O89" s="41">
        <f>dagwerk5</f>
        <v>0</v>
      </c>
      <c r="P89" s="94" t="s">
        <v>108</v>
      </c>
      <c r="Q89" s="26">
        <f>uurtarief5</f>
        <v>0</v>
      </c>
      <c r="R89" s="96" t="e">
        <f>IF(ISBLANK(N89),0,M89/ROUND(N89,4))</f>
        <v>#DIV/0!</v>
      </c>
      <c r="S89" s="96" t="e">
        <f>IF(ISBLANK(N89),0,R89*ROUND(O89,2))</f>
        <v>#DIV/0!</v>
      </c>
      <c r="T89" s="26" t="e">
        <f>ROUND(Q89,2)*R89</f>
        <v>#DIV/0!</v>
      </c>
      <c r="U89" s="96" t="e">
        <f>R89*dagenperjaar1</f>
        <v>#DIV/0!</v>
      </c>
      <c r="V89" s="27" t="e">
        <f>U89*ROUND(Q89,2)</f>
        <v>#DIV/0!</v>
      </c>
    </row>
    <row r="90" spans="1:22" ht="23" x14ac:dyDescent="0.25">
      <c r="A90" s="93" t="s">
        <v>259</v>
      </c>
      <c r="B90" s="94" t="s">
        <v>41</v>
      </c>
      <c r="C90" s="94" t="s">
        <v>329</v>
      </c>
      <c r="D90" s="94" t="s">
        <v>405</v>
      </c>
      <c r="E90" s="95" t="s">
        <v>406</v>
      </c>
      <c r="F90" s="94" t="s">
        <v>404</v>
      </c>
      <c r="G90" s="94" t="s">
        <v>202</v>
      </c>
      <c r="H90" s="94" t="s">
        <v>9</v>
      </c>
      <c r="I90" s="94" t="s">
        <v>198</v>
      </c>
      <c r="J90" s="95" t="s">
        <v>203</v>
      </c>
      <c r="K90" s="94" t="s">
        <v>273</v>
      </c>
      <c r="L90" s="96">
        <v>306</v>
      </c>
      <c r="M90" s="96">
        <f>L90*VLOOKUP(H90,dagsoorttabel1,2,FALSE)</f>
        <v>313.64999999999998</v>
      </c>
      <c r="N90" s="97">
        <f>prodnorm5</f>
        <v>0</v>
      </c>
      <c r="O90" s="41">
        <f>dagwerk5</f>
        <v>0</v>
      </c>
      <c r="P90" s="94" t="s">
        <v>108</v>
      </c>
      <c r="Q90" s="26">
        <f>uurtarief5</f>
        <v>0</v>
      </c>
      <c r="R90" s="96" t="e">
        <f>IF(ISBLANK(N90),0,M90/ROUND(N90,4))</f>
        <v>#DIV/0!</v>
      </c>
      <c r="S90" s="96" t="e">
        <f>IF(ISBLANK(N90),0,R90*ROUND(O90,2))</f>
        <v>#DIV/0!</v>
      </c>
      <c r="T90" s="26" t="e">
        <f>ROUND(Q90,2)*R90</f>
        <v>#DIV/0!</v>
      </c>
      <c r="U90" s="96" t="e">
        <f>R90*dagenperjaar1</f>
        <v>#DIV/0!</v>
      </c>
      <c r="V90" s="27" t="e">
        <f>U90*ROUND(Q90,2)</f>
        <v>#DIV/0!</v>
      </c>
    </row>
    <row r="91" spans="1:22" x14ac:dyDescent="0.25">
      <c r="A91" s="93" t="s">
        <v>259</v>
      </c>
      <c r="B91" s="94" t="s">
        <v>41</v>
      </c>
      <c r="C91" s="94" t="s">
        <v>329</v>
      </c>
      <c r="D91" s="94" t="s">
        <v>405</v>
      </c>
      <c r="E91" s="95" t="s">
        <v>406</v>
      </c>
      <c r="F91" s="94" t="s">
        <v>404</v>
      </c>
      <c r="G91" s="94" t="s">
        <v>238</v>
      </c>
      <c r="H91" s="94" t="s">
        <v>23</v>
      </c>
      <c r="I91" s="94" t="s">
        <v>239</v>
      </c>
      <c r="J91" s="95" t="s">
        <v>240</v>
      </c>
      <c r="K91" s="94" t="s">
        <v>273</v>
      </c>
      <c r="L91" s="96">
        <v>306</v>
      </c>
      <c r="M91" s="96">
        <f>L91*VLOOKUP(H91,dagsoorttabel1,2,FALSE)</f>
        <v>3.06</v>
      </c>
      <c r="N91" s="97">
        <f>prodnorm23</f>
        <v>0</v>
      </c>
      <c r="O91" s="41">
        <f>dagwerk23</f>
        <v>0</v>
      </c>
      <c r="P91" s="94" t="s">
        <v>108</v>
      </c>
      <c r="Q91" s="26">
        <f>uurtarief23</f>
        <v>0</v>
      </c>
      <c r="R91" s="96" t="e">
        <f>IF(ISBLANK(N91),0,M91/ROUND(N91,4))</f>
        <v>#DIV/0!</v>
      </c>
      <c r="S91" s="96" t="e">
        <f>IF(ISBLANK(N91),0,R91*ROUND(O91,2))</f>
        <v>#DIV/0!</v>
      </c>
      <c r="T91" s="26" t="e">
        <f>ROUND(Q91,2)*R91</f>
        <v>#DIV/0!</v>
      </c>
      <c r="U91" s="96" t="e">
        <f>R91*dagenperjaar1</f>
        <v>#DIV/0!</v>
      </c>
      <c r="V91" s="27" t="e">
        <f>U91*ROUND(Q91,2)</f>
        <v>#DIV/0!</v>
      </c>
    </row>
    <row r="92" spans="1:22" ht="23" x14ac:dyDescent="0.25">
      <c r="A92" s="93" t="s">
        <v>259</v>
      </c>
      <c r="B92" s="94" t="s">
        <v>41</v>
      </c>
      <c r="C92" s="94" t="s">
        <v>329</v>
      </c>
      <c r="D92" s="94" t="s">
        <v>407</v>
      </c>
      <c r="E92" s="95" t="s">
        <v>406</v>
      </c>
      <c r="F92" s="94" t="s">
        <v>404</v>
      </c>
      <c r="G92" s="94" t="s">
        <v>202</v>
      </c>
      <c r="H92" s="94" t="s">
        <v>9</v>
      </c>
      <c r="I92" s="94" t="s">
        <v>198</v>
      </c>
      <c r="J92" s="95" t="s">
        <v>203</v>
      </c>
      <c r="K92" s="94" t="s">
        <v>273</v>
      </c>
      <c r="L92" s="96">
        <v>306</v>
      </c>
      <c r="M92" s="96">
        <f>L92*VLOOKUP(H92,dagsoorttabel1,2,FALSE)</f>
        <v>313.64999999999998</v>
      </c>
      <c r="N92" s="97">
        <f>prodnorm5</f>
        <v>0</v>
      </c>
      <c r="O92" s="41">
        <f>dagwerk5</f>
        <v>0</v>
      </c>
      <c r="P92" s="94" t="s">
        <v>108</v>
      </c>
      <c r="Q92" s="26">
        <f>uurtarief5</f>
        <v>0</v>
      </c>
      <c r="R92" s="96" t="e">
        <f>IF(ISBLANK(N92),0,M92/ROUND(N92,4))</f>
        <v>#DIV/0!</v>
      </c>
      <c r="S92" s="96" t="e">
        <f>IF(ISBLANK(N92),0,R92*ROUND(O92,2))</f>
        <v>#DIV/0!</v>
      </c>
      <c r="T92" s="26" t="e">
        <f>ROUND(Q92,2)*R92</f>
        <v>#DIV/0!</v>
      </c>
      <c r="U92" s="96" t="e">
        <f>R92*dagenperjaar1</f>
        <v>#DIV/0!</v>
      </c>
      <c r="V92" s="27" t="e">
        <f>U92*ROUND(Q92,2)</f>
        <v>#DIV/0!</v>
      </c>
    </row>
    <row r="93" spans="1:22" x14ac:dyDescent="0.25">
      <c r="A93" s="93" t="s">
        <v>259</v>
      </c>
      <c r="B93" s="94" t="s">
        <v>41</v>
      </c>
      <c r="C93" s="94" t="s">
        <v>329</v>
      </c>
      <c r="D93" s="94" t="s">
        <v>407</v>
      </c>
      <c r="E93" s="95" t="s">
        <v>406</v>
      </c>
      <c r="F93" s="94" t="s">
        <v>404</v>
      </c>
      <c r="G93" s="94" t="s">
        <v>238</v>
      </c>
      <c r="H93" s="94" t="s">
        <v>23</v>
      </c>
      <c r="I93" s="94" t="s">
        <v>239</v>
      </c>
      <c r="J93" s="95" t="s">
        <v>240</v>
      </c>
      <c r="K93" s="94" t="s">
        <v>273</v>
      </c>
      <c r="L93" s="96">
        <v>306</v>
      </c>
      <c r="M93" s="96">
        <f>L93*VLOOKUP(H93,dagsoorttabel1,2,FALSE)</f>
        <v>3.06</v>
      </c>
      <c r="N93" s="97">
        <f>prodnorm23</f>
        <v>0</v>
      </c>
      <c r="O93" s="41">
        <f>dagwerk23</f>
        <v>0</v>
      </c>
      <c r="P93" s="94" t="s">
        <v>108</v>
      </c>
      <c r="Q93" s="26">
        <f>uurtarief23</f>
        <v>0</v>
      </c>
      <c r="R93" s="96" t="e">
        <f>IF(ISBLANK(N93),0,M93/ROUND(N93,4))</f>
        <v>#DIV/0!</v>
      </c>
      <c r="S93" s="96" t="e">
        <f>IF(ISBLANK(N93),0,R93*ROUND(O93,2))</f>
        <v>#DIV/0!</v>
      </c>
      <c r="T93" s="26" t="e">
        <f>ROUND(Q93,2)*R93</f>
        <v>#DIV/0!</v>
      </c>
      <c r="U93" s="96" t="e">
        <f>R93*dagenperjaar1</f>
        <v>#DIV/0!</v>
      </c>
      <c r="V93" s="27" t="e">
        <f>U93*ROUND(Q93,2)</f>
        <v>#DIV/0!</v>
      </c>
    </row>
    <row r="94" spans="1:22" ht="23" x14ac:dyDescent="0.25">
      <c r="A94" s="93" t="s">
        <v>259</v>
      </c>
      <c r="B94" s="94" t="s">
        <v>41</v>
      </c>
      <c r="C94" s="94" t="s">
        <v>329</v>
      </c>
      <c r="D94" s="94" t="s">
        <v>408</v>
      </c>
      <c r="E94" s="95" t="s">
        <v>406</v>
      </c>
      <c r="F94" s="94" t="s">
        <v>404</v>
      </c>
      <c r="G94" s="94" t="s">
        <v>202</v>
      </c>
      <c r="H94" s="94" t="s">
        <v>9</v>
      </c>
      <c r="I94" s="94" t="s">
        <v>198</v>
      </c>
      <c r="J94" s="95" t="s">
        <v>203</v>
      </c>
      <c r="K94" s="94" t="s">
        <v>273</v>
      </c>
      <c r="L94" s="96">
        <v>302</v>
      </c>
      <c r="M94" s="96">
        <f>L94*VLOOKUP(H94,dagsoorttabel1,2,FALSE)</f>
        <v>309.54999999999995</v>
      </c>
      <c r="N94" s="97">
        <f>prodnorm5</f>
        <v>0</v>
      </c>
      <c r="O94" s="41">
        <f>dagwerk5</f>
        <v>0</v>
      </c>
      <c r="P94" s="94" t="s">
        <v>108</v>
      </c>
      <c r="Q94" s="26">
        <f>uurtarief5</f>
        <v>0</v>
      </c>
      <c r="R94" s="96" t="e">
        <f>IF(ISBLANK(N94),0,M94/ROUND(N94,4))</f>
        <v>#DIV/0!</v>
      </c>
      <c r="S94" s="96" t="e">
        <f>IF(ISBLANK(N94),0,R94*ROUND(O94,2))</f>
        <v>#DIV/0!</v>
      </c>
      <c r="T94" s="26" t="e">
        <f>ROUND(Q94,2)*R94</f>
        <v>#DIV/0!</v>
      </c>
      <c r="U94" s="96" t="e">
        <f>R94*dagenperjaar1</f>
        <v>#DIV/0!</v>
      </c>
      <c r="V94" s="27" t="e">
        <f>U94*ROUND(Q94,2)</f>
        <v>#DIV/0!</v>
      </c>
    </row>
    <row r="95" spans="1:22" x14ac:dyDescent="0.25">
      <c r="A95" s="93" t="s">
        <v>259</v>
      </c>
      <c r="B95" s="94" t="s">
        <v>41</v>
      </c>
      <c r="C95" s="94" t="s">
        <v>329</v>
      </c>
      <c r="D95" s="94" t="s">
        <v>408</v>
      </c>
      <c r="E95" s="95" t="s">
        <v>406</v>
      </c>
      <c r="F95" s="94" t="s">
        <v>404</v>
      </c>
      <c r="G95" s="94" t="s">
        <v>238</v>
      </c>
      <c r="H95" s="94" t="s">
        <v>23</v>
      </c>
      <c r="I95" s="94" t="s">
        <v>239</v>
      </c>
      <c r="J95" s="95" t="s">
        <v>240</v>
      </c>
      <c r="K95" s="94" t="s">
        <v>273</v>
      </c>
      <c r="L95" s="96">
        <v>302</v>
      </c>
      <c r="M95" s="96">
        <f>L95*VLOOKUP(H95,dagsoorttabel1,2,FALSE)</f>
        <v>3.02</v>
      </c>
      <c r="N95" s="97">
        <f>prodnorm23</f>
        <v>0</v>
      </c>
      <c r="O95" s="41">
        <f>dagwerk23</f>
        <v>0</v>
      </c>
      <c r="P95" s="94" t="s">
        <v>108</v>
      </c>
      <c r="Q95" s="26">
        <f>uurtarief23</f>
        <v>0</v>
      </c>
      <c r="R95" s="96" t="e">
        <f>IF(ISBLANK(N95),0,M95/ROUND(N95,4))</f>
        <v>#DIV/0!</v>
      </c>
      <c r="S95" s="96" t="e">
        <f>IF(ISBLANK(N95),0,R95*ROUND(O95,2))</f>
        <v>#DIV/0!</v>
      </c>
      <c r="T95" s="26" t="e">
        <f>ROUND(Q95,2)*R95</f>
        <v>#DIV/0!</v>
      </c>
      <c r="U95" s="96" t="e">
        <f>R95*dagenperjaar1</f>
        <v>#DIV/0!</v>
      </c>
      <c r="V95" s="27" t="e">
        <f>U95*ROUND(Q95,2)</f>
        <v>#DIV/0!</v>
      </c>
    </row>
    <row r="96" spans="1:22" x14ac:dyDescent="0.25">
      <c r="A96" s="93" t="s">
        <v>259</v>
      </c>
      <c r="B96" s="94" t="s">
        <v>41</v>
      </c>
      <c r="C96" s="94" t="s">
        <v>329</v>
      </c>
      <c r="D96" s="94" t="s">
        <v>409</v>
      </c>
      <c r="E96" s="95" t="s">
        <v>410</v>
      </c>
      <c r="F96" s="94" t="s">
        <v>41</v>
      </c>
      <c r="G96" s="94" t="s">
        <v>268</v>
      </c>
      <c r="H96" s="94"/>
      <c r="I96" s="94"/>
      <c r="J96" s="94"/>
      <c r="K96" s="94" t="s">
        <v>41</v>
      </c>
      <c r="L96" s="96">
        <v>11</v>
      </c>
      <c r="M96" s="96"/>
      <c r="N96" s="97"/>
      <c r="O96" s="41"/>
      <c r="P96" s="94"/>
      <c r="Q96" s="26"/>
      <c r="R96" s="96"/>
      <c r="S96" s="96"/>
      <c r="T96" s="26"/>
      <c r="U96" s="98"/>
      <c r="V96" s="27"/>
    </row>
    <row r="97" spans="1:22" ht="23" x14ac:dyDescent="0.25">
      <c r="A97" s="93" t="s">
        <v>259</v>
      </c>
      <c r="B97" s="94" t="s">
        <v>41</v>
      </c>
      <c r="C97" s="94" t="s">
        <v>329</v>
      </c>
      <c r="D97" s="94" t="s">
        <v>411</v>
      </c>
      <c r="E97" s="95" t="s">
        <v>403</v>
      </c>
      <c r="F97" s="94" t="s">
        <v>404</v>
      </c>
      <c r="G97" s="94" t="s">
        <v>202</v>
      </c>
      <c r="H97" s="94" t="s">
        <v>9</v>
      </c>
      <c r="I97" s="94" t="s">
        <v>198</v>
      </c>
      <c r="J97" s="95" t="s">
        <v>203</v>
      </c>
      <c r="K97" s="94" t="s">
        <v>273</v>
      </c>
      <c r="L97" s="96">
        <v>39</v>
      </c>
      <c r="M97" s="96">
        <f>L97*VLOOKUP(H97,dagsoorttabel1,2,FALSE)</f>
        <v>39.974999999999994</v>
      </c>
      <c r="N97" s="97">
        <f>prodnorm5</f>
        <v>0</v>
      </c>
      <c r="O97" s="41">
        <f>dagwerk5</f>
        <v>0</v>
      </c>
      <c r="P97" s="94" t="s">
        <v>108</v>
      </c>
      <c r="Q97" s="26">
        <f>uurtarief5</f>
        <v>0</v>
      </c>
      <c r="R97" s="96" t="e">
        <f>IF(ISBLANK(N97),0,M97/ROUND(N97,4))</f>
        <v>#DIV/0!</v>
      </c>
      <c r="S97" s="96" t="e">
        <f>IF(ISBLANK(N97),0,R97*ROUND(O97,2))</f>
        <v>#DIV/0!</v>
      </c>
      <c r="T97" s="26" t="e">
        <f>ROUND(Q97,2)*R97</f>
        <v>#DIV/0!</v>
      </c>
      <c r="U97" s="96" t="e">
        <f>R97*dagenperjaar1</f>
        <v>#DIV/0!</v>
      </c>
      <c r="V97" s="27" t="e">
        <f>U97*ROUND(Q97,2)</f>
        <v>#DIV/0!</v>
      </c>
    </row>
    <row r="98" spans="1:22" x14ac:dyDescent="0.25">
      <c r="A98" s="93" t="s">
        <v>259</v>
      </c>
      <c r="B98" s="94" t="s">
        <v>41</v>
      </c>
      <c r="C98" s="94" t="s">
        <v>329</v>
      </c>
      <c r="D98" s="94" t="s">
        <v>412</v>
      </c>
      <c r="E98" s="95" t="s">
        <v>413</v>
      </c>
      <c r="F98" s="94" t="s">
        <v>300</v>
      </c>
      <c r="G98" s="94" t="s">
        <v>230</v>
      </c>
      <c r="H98" s="94" t="s">
        <v>9</v>
      </c>
      <c r="I98" s="94" t="s">
        <v>198</v>
      </c>
      <c r="J98" s="95" t="s">
        <v>231</v>
      </c>
      <c r="K98" s="94" t="s">
        <v>273</v>
      </c>
      <c r="L98" s="96">
        <v>335</v>
      </c>
      <c r="M98" s="96">
        <f>L98*VLOOKUP(H98,dagsoorttabel1,2,FALSE)</f>
        <v>343.37499999999994</v>
      </c>
      <c r="N98" s="97">
        <f>prodnorm19</f>
        <v>0</v>
      </c>
      <c r="O98" s="41">
        <f>dagwerk19</f>
        <v>0</v>
      </c>
      <c r="P98" s="94" t="s">
        <v>108</v>
      </c>
      <c r="Q98" s="26">
        <f>uurtarief19</f>
        <v>0</v>
      </c>
      <c r="R98" s="96" t="e">
        <f>IF(ISBLANK(N98),0,M98/ROUND(N98,4))</f>
        <v>#DIV/0!</v>
      </c>
      <c r="S98" s="96" t="e">
        <f>IF(ISBLANK(N98),0,R98*ROUND(O98,2))</f>
        <v>#DIV/0!</v>
      </c>
      <c r="T98" s="26" t="e">
        <f>ROUND(Q98,2)*R98</f>
        <v>#DIV/0!</v>
      </c>
      <c r="U98" s="96" t="e">
        <f>R98*dagenperjaar1</f>
        <v>#DIV/0!</v>
      </c>
      <c r="V98" s="27" t="e">
        <f>U98*ROUND(Q98,2)</f>
        <v>#DIV/0!</v>
      </c>
    </row>
    <row r="99" spans="1:22" ht="23" x14ac:dyDescent="0.25">
      <c r="A99" s="93" t="s">
        <v>259</v>
      </c>
      <c r="B99" s="94" t="s">
        <v>41</v>
      </c>
      <c r="C99" s="94" t="s">
        <v>329</v>
      </c>
      <c r="D99" s="94" t="s">
        <v>414</v>
      </c>
      <c r="E99" s="95" t="s">
        <v>415</v>
      </c>
      <c r="F99" s="94" t="s">
        <v>336</v>
      </c>
      <c r="G99" s="94" t="s">
        <v>268</v>
      </c>
      <c r="H99" s="94"/>
      <c r="I99" s="94"/>
      <c r="J99" s="94"/>
      <c r="K99" s="94" t="s">
        <v>41</v>
      </c>
      <c r="L99" s="96">
        <v>29</v>
      </c>
      <c r="M99" s="96"/>
      <c r="N99" s="97"/>
      <c r="O99" s="41"/>
      <c r="P99" s="94"/>
      <c r="Q99" s="26"/>
      <c r="R99" s="96"/>
      <c r="S99" s="96"/>
      <c r="T99" s="26"/>
      <c r="U99" s="98"/>
      <c r="V99" s="27"/>
    </row>
    <row r="100" spans="1:22" x14ac:dyDescent="0.25">
      <c r="A100" s="93" t="s">
        <v>259</v>
      </c>
      <c r="B100" s="94" t="s">
        <v>41</v>
      </c>
      <c r="C100" s="94" t="s">
        <v>329</v>
      </c>
      <c r="D100" s="94" t="s">
        <v>416</v>
      </c>
      <c r="E100" s="95" t="s">
        <v>417</v>
      </c>
      <c r="F100" s="94" t="s">
        <v>336</v>
      </c>
      <c r="G100" s="94" t="s">
        <v>268</v>
      </c>
      <c r="H100" s="94"/>
      <c r="I100" s="94"/>
      <c r="J100" s="94"/>
      <c r="K100" s="94" t="s">
        <v>41</v>
      </c>
      <c r="L100" s="96">
        <v>14</v>
      </c>
      <c r="M100" s="96"/>
      <c r="N100" s="97"/>
      <c r="O100" s="41"/>
      <c r="P100" s="94"/>
      <c r="Q100" s="26"/>
      <c r="R100" s="96"/>
      <c r="S100" s="96"/>
      <c r="T100" s="26"/>
      <c r="U100" s="98"/>
      <c r="V100" s="27"/>
    </row>
    <row r="101" spans="1:22" x14ac:dyDescent="0.25">
      <c r="A101" s="93" t="s">
        <v>259</v>
      </c>
      <c r="B101" s="94" t="s">
        <v>41</v>
      </c>
      <c r="C101" s="94" t="s">
        <v>329</v>
      </c>
      <c r="D101" s="94" t="s">
        <v>418</v>
      </c>
      <c r="E101" s="95" t="s">
        <v>419</v>
      </c>
      <c r="F101" s="94" t="s">
        <v>300</v>
      </c>
      <c r="G101" s="94" t="s">
        <v>220</v>
      </c>
      <c r="H101" s="94" t="s">
        <v>9</v>
      </c>
      <c r="I101" s="94" t="s">
        <v>198</v>
      </c>
      <c r="J101" s="95" t="s">
        <v>221</v>
      </c>
      <c r="K101" s="94" t="s">
        <v>296</v>
      </c>
      <c r="L101" s="96">
        <v>15</v>
      </c>
      <c r="M101" s="96">
        <f>L101*VLOOKUP(H101,dagsoorttabel1,2,FALSE)</f>
        <v>15.374999999999998</v>
      </c>
      <c r="N101" s="97">
        <f>prodnorm14</f>
        <v>0</v>
      </c>
      <c r="O101" s="41">
        <f>dagwerk14</f>
        <v>0</v>
      </c>
      <c r="P101" s="94" t="s">
        <v>108</v>
      </c>
      <c r="Q101" s="26">
        <f>uurtarief14</f>
        <v>0</v>
      </c>
      <c r="R101" s="96" t="e">
        <f>IF(ISBLANK(N101),0,M101/ROUND(N101,4))</f>
        <v>#DIV/0!</v>
      </c>
      <c r="S101" s="96" t="e">
        <f>IF(ISBLANK(N101),0,R101*ROUND(O101,2))</f>
        <v>#DIV/0!</v>
      </c>
      <c r="T101" s="26" t="e">
        <f>ROUND(Q101,2)*R101</f>
        <v>#DIV/0!</v>
      </c>
      <c r="U101" s="96" t="e">
        <f>R101*dagenperjaar1</f>
        <v>#DIV/0!</v>
      </c>
      <c r="V101" s="27" t="e">
        <f>U101*ROUND(Q101,2)</f>
        <v>#DIV/0!</v>
      </c>
    </row>
    <row r="102" spans="1:22" x14ac:dyDescent="0.25">
      <c r="A102" s="93" t="s">
        <v>259</v>
      </c>
      <c r="B102" s="94" t="s">
        <v>41</v>
      </c>
      <c r="C102" s="94" t="s">
        <v>329</v>
      </c>
      <c r="D102" s="94" t="s">
        <v>420</v>
      </c>
      <c r="E102" s="95" t="s">
        <v>421</v>
      </c>
      <c r="F102" s="94" t="s">
        <v>300</v>
      </c>
      <c r="G102" s="94" t="s">
        <v>222</v>
      </c>
      <c r="H102" s="94" t="s">
        <v>9</v>
      </c>
      <c r="I102" s="94" t="s">
        <v>198</v>
      </c>
      <c r="J102" s="95" t="s">
        <v>223</v>
      </c>
      <c r="K102" s="94" t="s">
        <v>296</v>
      </c>
      <c r="L102" s="96">
        <v>18</v>
      </c>
      <c r="M102" s="96">
        <f>L102*VLOOKUP(H102,dagsoorttabel1,2,FALSE)</f>
        <v>18.45</v>
      </c>
      <c r="N102" s="97">
        <f>prodnorm15</f>
        <v>0</v>
      </c>
      <c r="O102" s="41">
        <f>dagwerk15</f>
        <v>0</v>
      </c>
      <c r="P102" s="94" t="s">
        <v>108</v>
      </c>
      <c r="Q102" s="26">
        <f>uurtarief15</f>
        <v>0</v>
      </c>
      <c r="R102" s="96" t="e">
        <f>IF(ISBLANK(N102),0,M102/ROUND(N102,4))</f>
        <v>#DIV/0!</v>
      </c>
      <c r="S102" s="96" t="e">
        <f>IF(ISBLANK(N102),0,R102*ROUND(O102,2))</f>
        <v>#DIV/0!</v>
      </c>
      <c r="T102" s="26" t="e">
        <f>ROUND(Q102,2)*R102</f>
        <v>#DIV/0!</v>
      </c>
      <c r="U102" s="96" t="e">
        <f>R102*dagenperjaar1</f>
        <v>#DIV/0!</v>
      </c>
      <c r="V102" s="27" t="e">
        <f>U102*ROUND(Q102,2)</f>
        <v>#DIV/0!</v>
      </c>
    </row>
    <row r="103" spans="1:22" x14ac:dyDescent="0.25">
      <c r="A103" s="93" t="s">
        <v>259</v>
      </c>
      <c r="B103" s="94" t="s">
        <v>41</v>
      </c>
      <c r="C103" s="94" t="s">
        <v>329</v>
      </c>
      <c r="D103" s="94" t="s">
        <v>422</v>
      </c>
      <c r="E103" s="95" t="s">
        <v>419</v>
      </c>
      <c r="F103" s="94" t="s">
        <v>300</v>
      </c>
      <c r="G103" s="94" t="s">
        <v>220</v>
      </c>
      <c r="H103" s="94" t="s">
        <v>9</v>
      </c>
      <c r="I103" s="94" t="s">
        <v>198</v>
      </c>
      <c r="J103" s="95" t="s">
        <v>221</v>
      </c>
      <c r="K103" s="94" t="s">
        <v>296</v>
      </c>
      <c r="L103" s="96">
        <v>15</v>
      </c>
      <c r="M103" s="96">
        <f>L103*VLOOKUP(H103,dagsoorttabel1,2,FALSE)</f>
        <v>15.374999999999998</v>
      </c>
      <c r="N103" s="97">
        <f>prodnorm14</f>
        <v>0</v>
      </c>
      <c r="O103" s="41">
        <f>dagwerk14</f>
        <v>0</v>
      </c>
      <c r="P103" s="94" t="s">
        <v>108</v>
      </c>
      <c r="Q103" s="26">
        <f>uurtarief14</f>
        <v>0</v>
      </c>
      <c r="R103" s="96" t="e">
        <f>IF(ISBLANK(N103),0,M103/ROUND(N103,4))</f>
        <v>#DIV/0!</v>
      </c>
      <c r="S103" s="96" t="e">
        <f>IF(ISBLANK(N103),0,R103*ROUND(O103,2))</f>
        <v>#DIV/0!</v>
      </c>
      <c r="T103" s="26" t="e">
        <f>ROUND(Q103,2)*R103</f>
        <v>#DIV/0!</v>
      </c>
      <c r="U103" s="96" t="e">
        <f>R103*dagenperjaar1</f>
        <v>#DIV/0!</v>
      </c>
      <c r="V103" s="27" t="e">
        <f>U103*ROUND(Q103,2)</f>
        <v>#DIV/0!</v>
      </c>
    </row>
    <row r="104" spans="1:22" x14ac:dyDescent="0.25">
      <c r="A104" s="93" t="s">
        <v>259</v>
      </c>
      <c r="B104" s="94" t="s">
        <v>41</v>
      </c>
      <c r="C104" s="94" t="s">
        <v>329</v>
      </c>
      <c r="D104" s="94" t="s">
        <v>423</v>
      </c>
      <c r="E104" s="95" t="s">
        <v>421</v>
      </c>
      <c r="F104" s="94" t="s">
        <v>300</v>
      </c>
      <c r="G104" s="94" t="s">
        <v>222</v>
      </c>
      <c r="H104" s="94" t="s">
        <v>9</v>
      </c>
      <c r="I104" s="94" t="s">
        <v>198</v>
      </c>
      <c r="J104" s="95" t="s">
        <v>223</v>
      </c>
      <c r="K104" s="94" t="s">
        <v>296</v>
      </c>
      <c r="L104" s="96">
        <v>18</v>
      </c>
      <c r="M104" s="96">
        <f>L104*VLOOKUP(H104,dagsoorttabel1,2,FALSE)</f>
        <v>18.45</v>
      </c>
      <c r="N104" s="97">
        <f>prodnorm15</f>
        <v>0</v>
      </c>
      <c r="O104" s="41">
        <f>dagwerk15</f>
        <v>0</v>
      </c>
      <c r="P104" s="94" t="s">
        <v>108</v>
      </c>
      <c r="Q104" s="26">
        <f>uurtarief15</f>
        <v>0</v>
      </c>
      <c r="R104" s="96" t="e">
        <f>IF(ISBLANK(N104),0,M104/ROUND(N104,4))</f>
        <v>#DIV/0!</v>
      </c>
      <c r="S104" s="96" t="e">
        <f>IF(ISBLANK(N104),0,R104*ROUND(O104,2))</f>
        <v>#DIV/0!</v>
      </c>
      <c r="T104" s="26" t="e">
        <f>ROUND(Q104,2)*R104</f>
        <v>#DIV/0!</v>
      </c>
      <c r="U104" s="96" t="e">
        <f>R104*dagenperjaar1</f>
        <v>#DIV/0!</v>
      </c>
      <c r="V104" s="27" t="e">
        <f>U104*ROUND(Q104,2)</f>
        <v>#DIV/0!</v>
      </c>
    </row>
    <row r="105" spans="1:22" x14ac:dyDescent="0.25">
      <c r="A105" s="93" t="s">
        <v>259</v>
      </c>
      <c r="B105" s="94" t="s">
        <v>41</v>
      </c>
      <c r="C105" s="94" t="s">
        <v>329</v>
      </c>
      <c r="D105" s="94" t="s">
        <v>424</v>
      </c>
      <c r="E105" s="95" t="s">
        <v>419</v>
      </c>
      <c r="F105" s="94" t="s">
        <v>300</v>
      </c>
      <c r="G105" s="94" t="s">
        <v>220</v>
      </c>
      <c r="H105" s="94" t="s">
        <v>9</v>
      </c>
      <c r="I105" s="94" t="s">
        <v>198</v>
      </c>
      <c r="J105" s="95" t="s">
        <v>221</v>
      </c>
      <c r="K105" s="94" t="s">
        <v>296</v>
      </c>
      <c r="L105" s="96">
        <v>15</v>
      </c>
      <c r="M105" s="96">
        <f>L105*VLOOKUP(H105,dagsoorttabel1,2,FALSE)</f>
        <v>15.374999999999998</v>
      </c>
      <c r="N105" s="97">
        <f>prodnorm14</f>
        <v>0</v>
      </c>
      <c r="O105" s="41">
        <f>dagwerk14</f>
        <v>0</v>
      </c>
      <c r="P105" s="94" t="s">
        <v>108</v>
      </c>
      <c r="Q105" s="26">
        <f>uurtarief14</f>
        <v>0</v>
      </c>
      <c r="R105" s="96" t="e">
        <f>IF(ISBLANK(N105),0,M105/ROUND(N105,4))</f>
        <v>#DIV/0!</v>
      </c>
      <c r="S105" s="96" t="e">
        <f>IF(ISBLANK(N105),0,R105*ROUND(O105,2))</f>
        <v>#DIV/0!</v>
      </c>
      <c r="T105" s="26" t="e">
        <f>ROUND(Q105,2)*R105</f>
        <v>#DIV/0!</v>
      </c>
      <c r="U105" s="96" t="e">
        <f>R105*dagenperjaar1</f>
        <v>#DIV/0!</v>
      </c>
      <c r="V105" s="27" t="e">
        <f>U105*ROUND(Q105,2)</f>
        <v>#DIV/0!</v>
      </c>
    </row>
    <row r="106" spans="1:22" x14ac:dyDescent="0.25">
      <c r="A106" s="93" t="s">
        <v>259</v>
      </c>
      <c r="B106" s="94" t="s">
        <v>41</v>
      </c>
      <c r="C106" s="94" t="s">
        <v>329</v>
      </c>
      <c r="D106" s="94" t="s">
        <v>425</v>
      </c>
      <c r="E106" s="95" t="s">
        <v>421</v>
      </c>
      <c r="F106" s="94" t="s">
        <v>300</v>
      </c>
      <c r="G106" s="94" t="s">
        <v>222</v>
      </c>
      <c r="H106" s="94" t="s">
        <v>9</v>
      </c>
      <c r="I106" s="94" t="s">
        <v>198</v>
      </c>
      <c r="J106" s="95" t="s">
        <v>223</v>
      </c>
      <c r="K106" s="94" t="s">
        <v>296</v>
      </c>
      <c r="L106" s="96">
        <v>18</v>
      </c>
      <c r="M106" s="96">
        <f>L106*VLOOKUP(H106,dagsoorttabel1,2,FALSE)</f>
        <v>18.45</v>
      </c>
      <c r="N106" s="97">
        <f>prodnorm15</f>
        <v>0</v>
      </c>
      <c r="O106" s="41">
        <f>dagwerk15</f>
        <v>0</v>
      </c>
      <c r="P106" s="94" t="s">
        <v>108</v>
      </c>
      <c r="Q106" s="26">
        <f>uurtarief15</f>
        <v>0</v>
      </c>
      <c r="R106" s="96" t="e">
        <f>IF(ISBLANK(N106),0,M106/ROUND(N106,4))</f>
        <v>#DIV/0!</v>
      </c>
      <c r="S106" s="96" t="e">
        <f>IF(ISBLANK(N106),0,R106*ROUND(O106,2))</f>
        <v>#DIV/0!</v>
      </c>
      <c r="T106" s="26" t="e">
        <f>ROUND(Q106,2)*R106</f>
        <v>#DIV/0!</v>
      </c>
      <c r="U106" s="96" t="e">
        <f>R106*dagenperjaar1</f>
        <v>#DIV/0!</v>
      </c>
      <c r="V106" s="27" t="e">
        <f>U106*ROUND(Q106,2)</f>
        <v>#DIV/0!</v>
      </c>
    </row>
    <row r="107" spans="1:22" x14ac:dyDescent="0.25">
      <c r="A107" s="93" t="s">
        <v>259</v>
      </c>
      <c r="B107" s="94" t="s">
        <v>41</v>
      </c>
      <c r="C107" s="94" t="s">
        <v>329</v>
      </c>
      <c r="D107" s="94" t="s">
        <v>426</v>
      </c>
      <c r="E107" s="95" t="s">
        <v>419</v>
      </c>
      <c r="F107" s="94" t="s">
        <v>300</v>
      </c>
      <c r="G107" s="94" t="s">
        <v>220</v>
      </c>
      <c r="H107" s="94" t="s">
        <v>9</v>
      </c>
      <c r="I107" s="94" t="s">
        <v>198</v>
      </c>
      <c r="J107" s="95" t="s">
        <v>221</v>
      </c>
      <c r="K107" s="94" t="s">
        <v>296</v>
      </c>
      <c r="L107" s="96">
        <v>15</v>
      </c>
      <c r="M107" s="96">
        <f>L107*VLOOKUP(H107,dagsoorttabel1,2,FALSE)</f>
        <v>15.374999999999998</v>
      </c>
      <c r="N107" s="97">
        <f>prodnorm14</f>
        <v>0</v>
      </c>
      <c r="O107" s="41">
        <f>dagwerk14</f>
        <v>0</v>
      </c>
      <c r="P107" s="94" t="s">
        <v>108</v>
      </c>
      <c r="Q107" s="26">
        <f>uurtarief14</f>
        <v>0</v>
      </c>
      <c r="R107" s="96" t="e">
        <f>IF(ISBLANK(N107),0,M107/ROUND(N107,4))</f>
        <v>#DIV/0!</v>
      </c>
      <c r="S107" s="96" t="e">
        <f>IF(ISBLANK(N107),0,R107*ROUND(O107,2))</f>
        <v>#DIV/0!</v>
      </c>
      <c r="T107" s="26" t="e">
        <f>ROUND(Q107,2)*R107</f>
        <v>#DIV/0!</v>
      </c>
      <c r="U107" s="96" t="e">
        <f>R107*dagenperjaar1</f>
        <v>#DIV/0!</v>
      </c>
      <c r="V107" s="27" t="e">
        <f>U107*ROUND(Q107,2)</f>
        <v>#DIV/0!</v>
      </c>
    </row>
    <row r="108" spans="1:22" x14ac:dyDescent="0.25">
      <c r="A108" s="93" t="s">
        <v>259</v>
      </c>
      <c r="B108" s="94" t="s">
        <v>41</v>
      </c>
      <c r="C108" s="94" t="s">
        <v>329</v>
      </c>
      <c r="D108" s="94" t="s">
        <v>427</v>
      </c>
      <c r="E108" s="95" t="s">
        <v>421</v>
      </c>
      <c r="F108" s="94" t="s">
        <v>300</v>
      </c>
      <c r="G108" s="94" t="s">
        <v>222</v>
      </c>
      <c r="H108" s="94" t="s">
        <v>9</v>
      </c>
      <c r="I108" s="94" t="s">
        <v>198</v>
      </c>
      <c r="J108" s="95" t="s">
        <v>223</v>
      </c>
      <c r="K108" s="94" t="s">
        <v>296</v>
      </c>
      <c r="L108" s="96">
        <v>18</v>
      </c>
      <c r="M108" s="96">
        <f>L108*VLOOKUP(H108,dagsoorttabel1,2,FALSE)</f>
        <v>18.45</v>
      </c>
      <c r="N108" s="97">
        <f>prodnorm15</f>
        <v>0</v>
      </c>
      <c r="O108" s="41">
        <f>dagwerk15</f>
        <v>0</v>
      </c>
      <c r="P108" s="94" t="s">
        <v>108</v>
      </c>
      <c r="Q108" s="26">
        <f>uurtarief15</f>
        <v>0</v>
      </c>
      <c r="R108" s="96" t="e">
        <f>IF(ISBLANK(N108),0,M108/ROUND(N108,4))</f>
        <v>#DIV/0!</v>
      </c>
      <c r="S108" s="96" t="e">
        <f>IF(ISBLANK(N108),0,R108*ROUND(O108,2))</f>
        <v>#DIV/0!</v>
      </c>
      <c r="T108" s="26" t="e">
        <f>ROUND(Q108,2)*R108</f>
        <v>#DIV/0!</v>
      </c>
      <c r="U108" s="96" t="e">
        <f>R108*dagenperjaar1</f>
        <v>#DIV/0!</v>
      </c>
      <c r="V108" s="27" t="e">
        <f>U108*ROUND(Q108,2)</f>
        <v>#DIV/0!</v>
      </c>
    </row>
    <row r="109" spans="1:22" x14ac:dyDescent="0.25">
      <c r="A109" s="93" t="s">
        <v>259</v>
      </c>
      <c r="B109" s="94" t="s">
        <v>41</v>
      </c>
      <c r="C109" s="94" t="s">
        <v>329</v>
      </c>
      <c r="D109" s="94" t="s">
        <v>428</v>
      </c>
      <c r="E109" s="95" t="s">
        <v>280</v>
      </c>
      <c r="F109" s="94" t="s">
        <v>300</v>
      </c>
      <c r="G109" s="94" t="s">
        <v>236</v>
      </c>
      <c r="H109" s="94" t="s">
        <v>9</v>
      </c>
      <c r="I109" s="94" t="s">
        <v>198</v>
      </c>
      <c r="J109" s="95" t="s">
        <v>237</v>
      </c>
      <c r="K109" s="94" t="s">
        <v>273</v>
      </c>
      <c r="L109" s="96">
        <v>43</v>
      </c>
      <c r="M109" s="96">
        <f>L109*VLOOKUP(H109,dagsoorttabel1,2,FALSE)</f>
        <v>44.074999999999996</v>
      </c>
      <c r="N109" s="97">
        <f>prodnorm22</f>
        <v>0</v>
      </c>
      <c r="O109" s="41">
        <f>dagwerk22</f>
        <v>0</v>
      </c>
      <c r="P109" s="94" t="s">
        <v>108</v>
      </c>
      <c r="Q109" s="26">
        <f>uurtarief22</f>
        <v>0</v>
      </c>
      <c r="R109" s="96" t="e">
        <f>IF(ISBLANK(N109),0,M109/ROUND(N109,4))</f>
        <v>#DIV/0!</v>
      </c>
      <c r="S109" s="96" t="e">
        <f>IF(ISBLANK(N109),0,R109*ROUND(O109,2))</f>
        <v>#DIV/0!</v>
      </c>
      <c r="T109" s="26" t="e">
        <f>ROUND(Q109,2)*R109</f>
        <v>#DIV/0!</v>
      </c>
      <c r="U109" s="96" t="e">
        <f>R109*dagenperjaar1</f>
        <v>#DIV/0!</v>
      </c>
      <c r="V109" s="27" t="e">
        <f>U109*ROUND(Q109,2)</f>
        <v>#DIV/0!</v>
      </c>
    </row>
    <row r="110" spans="1:22" x14ac:dyDescent="0.25">
      <c r="A110" s="93" t="s">
        <v>259</v>
      </c>
      <c r="B110" s="94" t="s">
        <v>41</v>
      </c>
      <c r="C110" s="94" t="s">
        <v>329</v>
      </c>
      <c r="D110" s="94" t="s">
        <v>429</v>
      </c>
      <c r="E110" s="95" t="s">
        <v>419</v>
      </c>
      <c r="F110" s="94" t="s">
        <v>300</v>
      </c>
      <c r="G110" s="94" t="s">
        <v>220</v>
      </c>
      <c r="H110" s="94" t="s">
        <v>9</v>
      </c>
      <c r="I110" s="94" t="s">
        <v>198</v>
      </c>
      <c r="J110" s="95" t="s">
        <v>221</v>
      </c>
      <c r="K110" s="94" t="s">
        <v>296</v>
      </c>
      <c r="L110" s="96">
        <v>15</v>
      </c>
      <c r="M110" s="96">
        <f>L110*VLOOKUP(H110,dagsoorttabel1,2,FALSE)</f>
        <v>15.374999999999998</v>
      </c>
      <c r="N110" s="97">
        <f>prodnorm14</f>
        <v>0</v>
      </c>
      <c r="O110" s="41">
        <f>dagwerk14</f>
        <v>0</v>
      </c>
      <c r="P110" s="94" t="s">
        <v>108</v>
      </c>
      <c r="Q110" s="26">
        <f>uurtarief14</f>
        <v>0</v>
      </c>
      <c r="R110" s="96" t="e">
        <f>IF(ISBLANK(N110),0,M110/ROUND(N110,4))</f>
        <v>#DIV/0!</v>
      </c>
      <c r="S110" s="96" t="e">
        <f>IF(ISBLANK(N110),0,R110*ROUND(O110,2))</f>
        <v>#DIV/0!</v>
      </c>
      <c r="T110" s="26" t="e">
        <f>ROUND(Q110,2)*R110</f>
        <v>#DIV/0!</v>
      </c>
      <c r="U110" s="96" t="e">
        <f>R110*dagenperjaar1</f>
        <v>#DIV/0!</v>
      </c>
      <c r="V110" s="27" t="e">
        <f>U110*ROUND(Q110,2)</f>
        <v>#DIV/0!</v>
      </c>
    </row>
    <row r="111" spans="1:22" x14ac:dyDescent="0.25">
      <c r="A111" s="93" t="s">
        <v>259</v>
      </c>
      <c r="B111" s="94" t="s">
        <v>41</v>
      </c>
      <c r="C111" s="94" t="s">
        <v>329</v>
      </c>
      <c r="D111" s="94" t="s">
        <v>430</v>
      </c>
      <c r="E111" s="95" t="s">
        <v>421</v>
      </c>
      <c r="F111" s="94" t="s">
        <v>300</v>
      </c>
      <c r="G111" s="94" t="s">
        <v>222</v>
      </c>
      <c r="H111" s="94" t="s">
        <v>9</v>
      </c>
      <c r="I111" s="94" t="s">
        <v>198</v>
      </c>
      <c r="J111" s="95" t="s">
        <v>223</v>
      </c>
      <c r="K111" s="94" t="s">
        <v>296</v>
      </c>
      <c r="L111" s="96">
        <v>18</v>
      </c>
      <c r="M111" s="96">
        <f>L111*VLOOKUP(H111,dagsoorttabel1,2,FALSE)</f>
        <v>18.45</v>
      </c>
      <c r="N111" s="97">
        <f>prodnorm15</f>
        <v>0</v>
      </c>
      <c r="O111" s="41">
        <f>dagwerk15</f>
        <v>0</v>
      </c>
      <c r="P111" s="94" t="s">
        <v>108</v>
      </c>
      <c r="Q111" s="26">
        <f>uurtarief15</f>
        <v>0</v>
      </c>
      <c r="R111" s="96" t="e">
        <f>IF(ISBLANK(N111),0,M111/ROUND(N111,4))</f>
        <v>#DIV/0!</v>
      </c>
      <c r="S111" s="96" t="e">
        <f>IF(ISBLANK(N111),0,R111*ROUND(O111,2))</f>
        <v>#DIV/0!</v>
      </c>
      <c r="T111" s="26" t="e">
        <f>ROUND(Q111,2)*R111</f>
        <v>#DIV/0!</v>
      </c>
      <c r="U111" s="96" t="e">
        <f>R111*dagenperjaar1</f>
        <v>#DIV/0!</v>
      </c>
      <c r="V111" s="27" t="e">
        <f>U111*ROUND(Q111,2)</f>
        <v>#DIV/0!</v>
      </c>
    </row>
    <row r="112" spans="1:22" x14ac:dyDescent="0.25">
      <c r="A112" s="93" t="s">
        <v>259</v>
      </c>
      <c r="B112" s="94" t="s">
        <v>41</v>
      </c>
      <c r="C112" s="94" t="s">
        <v>329</v>
      </c>
      <c r="D112" s="94" t="s">
        <v>431</v>
      </c>
      <c r="E112" s="95" t="s">
        <v>419</v>
      </c>
      <c r="F112" s="94" t="s">
        <v>300</v>
      </c>
      <c r="G112" s="94" t="s">
        <v>220</v>
      </c>
      <c r="H112" s="94" t="s">
        <v>9</v>
      </c>
      <c r="I112" s="94" t="s">
        <v>198</v>
      </c>
      <c r="J112" s="95" t="s">
        <v>221</v>
      </c>
      <c r="K112" s="94" t="s">
        <v>296</v>
      </c>
      <c r="L112" s="96">
        <v>15</v>
      </c>
      <c r="M112" s="96">
        <f>L112*VLOOKUP(H112,dagsoorttabel1,2,FALSE)</f>
        <v>15.374999999999998</v>
      </c>
      <c r="N112" s="97">
        <f>prodnorm14</f>
        <v>0</v>
      </c>
      <c r="O112" s="41">
        <f>dagwerk14</f>
        <v>0</v>
      </c>
      <c r="P112" s="94" t="s">
        <v>108</v>
      </c>
      <c r="Q112" s="26">
        <f>uurtarief14</f>
        <v>0</v>
      </c>
      <c r="R112" s="96" t="e">
        <f>IF(ISBLANK(N112),0,M112/ROUND(N112,4))</f>
        <v>#DIV/0!</v>
      </c>
      <c r="S112" s="96" t="e">
        <f>IF(ISBLANK(N112),0,R112*ROUND(O112,2))</f>
        <v>#DIV/0!</v>
      </c>
      <c r="T112" s="26" t="e">
        <f>ROUND(Q112,2)*R112</f>
        <v>#DIV/0!</v>
      </c>
      <c r="U112" s="96" t="e">
        <f>R112*dagenperjaar1</f>
        <v>#DIV/0!</v>
      </c>
      <c r="V112" s="27" t="e">
        <f>U112*ROUND(Q112,2)</f>
        <v>#DIV/0!</v>
      </c>
    </row>
    <row r="113" spans="1:22" x14ac:dyDescent="0.25">
      <c r="A113" s="93" t="s">
        <v>259</v>
      </c>
      <c r="B113" s="94" t="s">
        <v>41</v>
      </c>
      <c r="C113" s="94" t="s">
        <v>329</v>
      </c>
      <c r="D113" s="94" t="s">
        <v>432</v>
      </c>
      <c r="E113" s="95" t="s">
        <v>421</v>
      </c>
      <c r="F113" s="94" t="s">
        <v>300</v>
      </c>
      <c r="G113" s="94" t="s">
        <v>222</v>
      </c>
      <c r="H113" s="94" t="s">
        <v>9</v>
      </c>
      <c r="I113" s="94" t="s">
        <v>198</v>
      </c>
      <c r="J113" s="95" t="s">
        <v>223</v>
      </c>
      <c r="K113" s="94" t="s">
        <v>296</v>
      </c>
      <c r="L113" s="96">
        <v>18</v>
      </c>
      <c r="M113" s="96">
        <f>L113*VLOOKUP(H113,dagsoorttabel1,2,FALSE)</f>
        <v>18.45</v>
      </c>
      <c r="N113" s="97">
        <f>prodnorm15</f>
        <v>0</v>
      </c>
      <c r="O113" s="41">
        <f>dagwerk15</f>
        <v>0</v>
      </c>
      <c r="P113" s="94" t="s">
        <v>108</v>
      </c>
      <c r="Q113" s="26">
        <f>uurtarief15</f>
        <v>0</v>
      </c>
      <c r="R113" s="96" t="e">
        <f>IF(ISBLANK(N113),0,M113/ROUND(N113,4))</f>
        <v>#DIV/0!</v>
      </c>
      <c r="S113" s="96" t="e">
        <f>IF(ISBLANK(N113),0,R113*ROUND(O113,2))</f>
        <v>#DIV/0!</v>
      </c>
      <c r="T113" s="26" t="e">
        <f>ROUND(Q113,2)*R113</f>
        <v>#DIV/0!</v>
      </c>
      <c r="U113" s="96" t="e">
        <f>R113*dagenperjaar1</f>
        <v>#DIV/0!</v>
      </c>
      <c r="V113" s="27" t="e">
        <f>U113*ROUND(Q113,2)</f>
        <v>#DIV/0!</v>
      </c>
    </row>
    <row r="114" spans="1:22" ht="23" x14ac:dyDescent="0.25">
      <c r="A114" s="93" t="s">
        <v>259</v>
      </c>
      <c r="B114" s="94" t="s">
        <v>41</v>
      </c>
      <c r="C114" s="94" t="s">
        <v>329</v>
      </c>
      <c r="D114" s="94" t="s">
        <v>433</v>
      </c>
      <c r="E114" s="95" t="s">
        <v>434</v>
      </c>
      <c r="F114" s="94" t="s">
        <v>300</v>
      </c>
      <c r="G114" s="94" t="s">
        <v>228</v>
      </c>
      <c r="H114" s="94" t="s">
        <v>9</v>
      </c>
      <c r="I114" s="94" t="s">
        <v>198</v>
      </c>
      <c r="J114" s="95" t="s">
        <v>229</v>
      </c>
      <c r="K114" s="94" t="s">
        <v>273</v>
      </c>
      <c r="L114" s="96">
        <v>17</v>
      </c>
      <c r="M114" s="96">
        <f>L114*VLOOKUP(H114,dagsoorttabel1,2,FALSE)</f>
        <v>17.424999999999997</v>
      </c>
      <c r="N114" s="97">
        <f>prodnorm18</f>
        <v>0</v>
      </c>
      <c r="O114" s="41">
        <f>dagwerk18</f>
        <v>0</v>
      </c>
      <c r="P114" s="94" t="s">
        <v>108</v>
      </c>
      <c r="Q114" s="26">
        <f>uurtarief18</f>
        <v>0</v>
      </c>
      <c r="R114" s="96" t="e">
        <f>IF(ISBLANK(N114),0,M114/ROUND(N114,4))</f>
        <v>#DIV/0!</v>
      </c>
      <c r="S114" s="96" t="e">
        <f>IF(ISBLANK(N114),0,R114*ROUND(O114,2))</f>
        <v>#DIV/0!</v>
      </c>
      <c r="T114" s="26" t="e">
        <f>ROUND(Q114,2)*R114</f>
        <v>#DIV/0!</v>
      </c>
      <c r="U114" s="96" t="e">
        <f>R114*dagenperjaar1</f>
        <v>#DIV/0!</v>
      </c>
      <c r="V114" s="27" t="e">
        <f>U114*ROUND(Q114,2)</f>
        <v>#DIV/0!</v>
      </c>
    </row>
    <row r="115" spans="1:22" x14ac:dyDescent="0.25">
      <c r="A115" s="93" t="s">
        <v>259</v>
      </c>
      <c r="B115" s="94" t="s">
        <v>41</v>
      </c>
      <c r="C115" s="94" t="s">
        <v>329</v>
      </c>
      <c r="D115" s="94" t="s">
        <v>435</v>
      </c>
      <c r="E115" s="95" t="s">
        <v>436</v>
      </c>
      <c r="F115" s="94" t="s">
        <v>300</v>
      </c>
      <c r="G115" s="94" t="s">
        <v>224</v>
      </c>
      <c r="H115" s="94" t="s">
        <v>9</v>
      </c>
      <c r="I115" s="94" t="s">
        <v>198</v>
      </c>
      <c r="J115" s="95" t="s">
        <v>225</v>
      </c>
      <c r="K115" s="94" t="s">
        <v>296</v>
      </c>
      <c r="L115" s="96">
        <v>17</v>
      </c>
      <c r="M115" s="96">
        <f>L115*VLOOKUP(H115,dagsoorttabel1,2,FALSE)</f>
        <v>17.424999999999997</v>
      </c>
      <c r="N115" s="97">
        <f>prodnorm16</f>
        <v>0</v>
      </c>
      <c r="O115" s="41">
        <f>dagwerk16</f>
        <v>0</v>
      </c>
      <c r="P115" s="94" t="s">
        <v>108</v>
      </c>
      <c r="Q115" s="26">
        <f>uurtarief16</f>
        <v>0</v>
      </c>
      <c r="R115" s="96" t="e">
        <f>IF(ISBLANK(N115),0,M115/ROUND(N115,4))</f>
        <v>#DIV/0!</v>
      </c>
      <c r="S115" s="96" t="e">
        <f>IF(ISBLANK(N115),0,R115*ROUND(O115,2))</f>
        <v>#DIV/0!</v>
      </c>
      <c r="T115" s="26" t="e">
        <f>ROUND(Q115,2)*R115</f>
        <v>#DIV/0!</v>
      </c>
      <c r="U115" s="96" t="e">
        <f>R115*dagenperjaar1</f>
        <v>#DIV/0!</v>
      </c>
      <c r="V115" s="27" t="e">
        <f>U115*ROUND(Q115,2)</f>
        <v>#DIV/0!</v>
      </c>
    </row>
    <row r="116" spans="1:22" x14ac:dyDescent="0.25">
      <c r="A116" s="93" t="s">
        <v>259</v>
      </c>
      <c r="B116" s="94" t="s">
        <v>41</v>
      </c>
      <c r="C116" s="94" t="s">
        <v>329</v>
      </c>
      <c r="D116" s="94" t="s">
        <v>437</v>
      </c>
      <c r="E116" s="95" t="s">
        <v>438</v>
      </c>
      <c r="F116" s="94" t="s">
        <v>300</v>
      </c>
      <c r="G116" s="94" t="s">
        <v>197</v>
      </c>
      <c r="H116" s="94" t="s">
        <v>16</v>
      </c>
      <c r="I116" s="94" t="s">
        <v>198</v>
      </c>
      <c r="J116" s="95" t="s">
        <v>199</v>
      </c>
      <c r="K116" s="94" t="s">
        <v>265</v>
      </c>
      <c r="L116" s="96">
        <v>17</v>
      </c>
      <c r="M116" s="96">
        <f>L116*VLOOKUP(H116,dagsoorttabel1,2,FALSE)</f>
        <v>3.4849999999999999</v>
      </c>
      <c r="N116" s="97">
        <f>prodnorm3</f>
        <v>0</v>
      </c>
      <c r="O116" s="41">
        <f>dagwerk3</f>
        <v>0</v>
      </c>
      <c r="P116" s="94" t="s">
        <v>108</v>
      </c>
      <c r="Q116" s="26">
        <f>uurtarief3</f>
        <v>0</v>
      </c>
      <c r="R116" s="96" t="e">
        <f>IF(ISBLANK(N116),0,M116/ROUND(N116,4))</f>
        <v>#DIV/0!</v>
      </c>
      <c r="S116" s="96" t="e">
        <f>IF(ISBLANK(N116),0,R116*ROUND(O116,2))</f>
        <v>#DIV/0!</v>
      </c>
      <c r="T116" s="26" t="e">
        <f>ROUND(Q116,2)*R116</f>
        <v>#DIV/0!</v>
      </c>
      <c r="U116" s="96" t="e">
        <f>R116*dagenperjaar1</f>
        <v>#DIV/0!</v>
      </c>
      <c r="V116" s="27" t="e">
        <f>U116*ROUND(Q116,2)</f>
        <v>#DIV/0!</v>
      </c>
    </row>
    <row r="117" spans="1:22" x14ac:dyDescent="0.25">
      <c r="A117" s="93" t="s">
        <v>259</v>
      </c>
      <c r="B117" s="94" t="s">
        <v>41</v>
      </c>
      <c r="C117" s="94" t="s">
        <v>329</v>
      </c>
      <c r="D117" s="94" t="s">
        <v>439</v>
      </c>
      <c r="E117" s="95" t="s">
        <v>440</v>
      </c>
      <c r="F117" s="94" t="s">
        <v>336</v>
      </c>
      <c r="G117" s="94" t="s">
        <v>218</v>
      </c>
      <c r="H117" s="94" t="s">
        <v>12</v>
      </c>
      <c r="I117" s="94" t="s">
        <v>198</v>
      </c>
      <c r="J117" s="95" t="s">
        <v>219</v>
      </c>
      <c r="K117" s="94" t="s">
        <v>337</v>
      </c>
      <c r="L117" s="96">
        <v>17</v>
      </c>
      <c r="M117" s="96">
        <f>L117*VLOOKUP(H117,dagsoorttabel1,2,FALSE)</f>
        <v>10.455</v>
      </c>
      <c r="N117" s="97">
        <f>prodnorm13</f>
        <v>0</v>
      </c>
      <c r="O117" s="41">
        <f>dagwerk13</f>
        <v>0</v>
      </c>
      <c r="P117" s="94" t="s">
        <v>108</v>
      </c>
      <c r="Q117" s="26">
        <f>uurtarief13</f>
        <v>0</v>
      </c>
      <c r="R117" s="96" t="e">
        <f>IF(ISBLANK(N117),0,M117/ROUND(N117,4))</f>
        <v>#DIV/0!</v>
      </c>
      <c r="S117" s="96" t="e">
        <f>IF(ISBLANK(N117),0,R117*ROUND(O117,2))</f>
        <v>#DIV/0!</v>
      </c>
      <c r="T117" s="26" t="e">
        <f>ROUND(Q117,2)*R117</f>
        <v>#DIV/0!</v>
      </c>
      <c r="U117" s="96" t="e">
        <f>R117*dagenperjaar1</f>
        <v>#DIV/0!</v>
      </c>
      <c r="V117" s="27" t="e">
        <f>U117*ROUND(Q117,2)</f>
        <v>#DIV/0!</v>
      </c>
    </row>
    <row r="118" spans="1:22" x14ac:dyDescent="0.25">
      <c r="A118" s="93" t="s">
        <v>259</v>
      </c>
      <c r="B118" s="94" t="s">
        <v>41</v>
      </c>
      <c r="C118" s="94" t="s">
        <v>329</v>
      </c>
      <c r="D118" s="94" t="s">
        <v>441</v>
      </c>
      <c r="E118" s="95" t="s">
        <v>358</v>
      </c>
      <c r="F118" s="94" t="s">
        <v>300</v>
      </c>
      <c r="G118" s="94" t="s">
        <v>224</v>
      </c>
      <c r="H118" s="94" t="s">
        <v>9</v>
      </c>
      <c r="I118" s="94" t="s">
        <v>198</v>
      </c>
      <c r="J118" s="95" t="s">
        <v>225</v>
      </c>
      <c r="K118" s="94" t="s">
        <v>296</v>
      </c>
      <c r="L118" s="96">
        <v>1</v>
      </c>
      <c r="M118" s="96">
        <f>L118*VLOOKUP(H118,dagsoorttabel1,2,FALSE)</f>
        <v>1.0249999999999999</v>
      </c>
      <c r="N118" s="97">
        <f>prodnorm16</f>
        <v>0</v>
      </c>
      <c r="O118" s="41">
        <f>dagwerk16</f>
        <v>0</v>
      </c>
      <c r="P118" s="94" t="s">
        <v>108</v>
      </c>
      <c r="Q118" s="26">
        <f>uurtarief16</f>
        <v>0</v>
      </c>
      <c r="R118" s="96" t="e">
        <f>IF(ISBLANK(N118),0,M118/ROUND(N118,4))</f>
        <v>#DIV/0!</v>
      </c>
      <c r="S118" s="96" t="e">
        <f>IF(ISBLANK(N118),0,R118*ROUND(O118,2))</f>
        <v>#DIV/0!</v>
      </c>
      <c r="T118" s="26" t="e">
        <f>ROUND(Q118,2)*R118</f>
        <v>#DIV/0!</v>
      </c>
      <c r="U118" s="96" t="e">
        <f>R118*dagenperjaar1</f>
        <v>#DIV/0!</v>
      </c>
      <c r="V118" s="27" t="e">
        <f>U118*ROUND(Q118,2)</f>
        <v>#DIV/0!</v>
      </c>
    </row>
    <row r="119" spans="1:22" x14ac:dyDescent="0.25">
      <c r="A119" s="93" t="s">
        <v>259</v>
      </c>
      <c r="B119" s="94" t="s">
        <v>41</v>
      </c>
      <c r="C119" s="94" t="s">
        <v>329</v>
      </c>
      <c r="D119" s="94" t="s">
        <v>441</v>
      </c>
      <c r="E119" s="95" t="s">
        <v>358</v>
      </c>
      <c r="F119" s="94" t="s">
        <v>300</v>
      </c>
      <c r="G119" s="94" t="s">
        <v>226</v>
      </c>
      <c r="H119" s="94" t="s">
        <v>9</v>
      </c>
      <c r="I119" s="94" t="s">
        <v>198</v>
      </c>
      <c r="J119" s="95" t="s">
        <v>227</v>
      </c>
      <c r="K119" s="94" t="s">
        <v>296</v>
      </c>
      <c r="L119" s="96">
        <v>1</v>
      </c>
      <c r="M119" s="96">
        <f>L119*VLOOKUP(H119,dagsoorttabel1,2,FALSE)</f>
        <v>1.0249999999999999</v>
      </c>
      <c r="N119" s="97">
        <f>prodnorm17</f>
        <v>0</v>
      </c>
      <c r="O119" s="41">
        <f>dagwerk17</f>
        <v>0</v>
      </c>
      <c r="P119" s="94" t="s">
        <v>108</v>
      </c>
      <c r="Q119" s="26">
        <f>uurtarief17</f>
        <v>0</v>
      </c>
      <c r="R119" s="96" t="e">
        <f>IF(ISBLANK(N119),0,M119/ROUND(N119,4))</f>
        <v>#DIV/0!</v>
      </c>
      <c r="S119" s="96" t="e">
        <f>IF(ISBLANK(N119),0,R119*ROUND(O119,2))</f>
        <v>#DIV/0!</v>
      </c>
      <c r="T119" s="26" t="e">
        <f>ROUND(Q119,2)*R119</f>
        <v>#DIV/0!</v>
      </c>
      <c r="U119" s="96" t="e">
        <f>R119*dagenperjaar1</f>
        <v>#DIV/0!</v>
      </c>
      <c r="V119" s="27" t="e">
        <f>U119*ROUND(Q119,2)</f>
        <v>#DIV/0!</v>
      </c>
    </row>
    <row r="120" spans="1:22" ht="23" x14ac:dyDescent="0.25">
      <c r="A120" s="93" t="s">
        <v>259</v>
      </c>
      <c r="B120" s="94" t="s">
        <v>41</v>
      </c>
      <c r="C120" s="94" t="s">
        <v>329</v>
      </c>
      <c r="D120" s="94" t="s">
        <v>442</v>
      </c>
      <c r="E120" s="95" t="s">
        <v>403</v>
      </c>
      <c r="F120" s="94" t="s">
        <v>404</v>
      </c>
      <c r="G120" s="94" t="s">
        <v>202</v>
      </c>
      <c r="H120" s="94" t="s">
        <v>9</v>
      </c>
      <c r="I120" s="94" t="s">
        <v>198</v>
      </c>
      <c r="J120" s="95" t="s">
        <v>203</v>
      </c>
      <c r="K120" s="94" t="s">
        <v>273</v>
      </c>
      <c r="L120" s="96">
        <v>19</v>
      </c>
      <c r="M120" s="96">
        <f>L120*VLOOKUP(H120,dagsoorttabel1,2,FALSE)</f>
        <v>19.474999999999998</v>
      </c>
      <c r="N120" s="97">
        <f>prodnorm5</f>
        <v>0</v>
      </c>
      <c r="O120" s="41">
        <f>dagwerk5</f>
        <v>0</v>
      </c>
      <c r="P120" s="94" t="s">
        <v>108</v>
      </c>
      <c r="Q120" s="26">
        <f>uurtarief5</f>
        <v>0</v>
      </c>
      <c r="R120" s="96" t="e">
        <f>IF(ISBLANK(N120),0,M120/ROUND(N120,4))</f>
        <v>#DIV/0!</v>
      </c>
      <c r="S120" s="96" t="e">
        <f>IF(ISBLANK(N120),0,R120*ROUND(O120,2))</f>
        <v>#DIV/0!</v>
      </c>
      <c r="T120" s="26" t="e">
        <f>ROUND(Q120,2)*R120</f>
        <v>#DIV/0!</v>
      </c>
      <c r="U120" s="96" t="e">
        <f>R120*dagenperjaar1</f>
        <v>#DIV/0!</v>
      </c>
      <c r="V120" s="27" t="e">
        <f>U120*ROUND(Q120,2)</f>
        <v>#DIV/0!</v>
      </c>
    </row>
    <row r="121" spans="1:22" x14ac:dyDescent="0.25">
      <c r="A121" s="93" t="s">
        <v>259</v>
      </c>
      <c r="B121" s="94" t="s">
        <v>41</v>
      </c>
      <c r="C121" s="94" t="s">
        <v>329</v>
      </c>
      <c r="D121" s="94" t="s">
        <v>443</v>
      </c>
      <c r="E121" s="95" t="s">
        <v>444</v>
      </c>
      <c r="F121" s="94" t="s">
        <v>336</v>
      </c>
      <c r="G121" s="94" t="s">
        <v>204</v>
      </c>
      <c r="H121" s="94" t="s">
        <v>9</v>
      </c>
      <c r="I121" s="94" t="s">
        <v>198</v>
      </c>
      <c r="J121" s="95" t="s">
        <v>205</v>
      </c>
      <c r="K121" s="94" t="s">
        <v>273</v>
      </c>
      <c r="L121" s="96">
        <v>41</v>
      </c>
      <c r="M121" s="96">
        <f>L121*VLOOKUP(H121,dagsoorttabel1,2,FALSE)</f>
        <v>42.024999999999999</v>
      </c>
      <c r="N121" s="97">
        <f>prodnorm6</f>
        <v>0</v>
      </c>
      <c r="O121" s="41">
        <f>dagwerk6</f>
        <v>0</v>
      </c>
      <c r="P121" s="94" t="s">
        <v>108</v>
      </c>
      <c r="Q121" s="26">
        <f>uurtarief6</f>
        <v>0</v>
      </c>
      <c r="R121" s="96" t="e">
        <f>IF(ISBLANK(N121),0,M121/ROUND(N121,4))</f>
        <v>#DIV/0!</v>
      </c>
      <c r="S121" s="96" t="e">
        <f>IF(ISBLANK(N121),0,R121*ROUND(O121,2))</f>
        <v>#DIV/0!</v>
      </c>
      <c r="T121" s="26" t="e">
        <f>ROUND(Q121,2)*R121</f>
        <v>#DIV/0!</v>
      </c>
      <c r="U121" s="96" t="e">
        <f>R121*dagenperjaar1</f>
        <v>#DIV/0!</v>
      </c>
      <c r="V121" s="27" t="e">
        <f>U121*ROUND(Q121,2)</f>
        <v>#DIV/0!</v>
      </c>
    </row>
    <row r="122" spans="1:22" x14ac:dyDescent="0.25">
      <c r="A122" s="93" t="s">
        <v>259</v>
      </c>
      <c r="B122" s="94" t="s">
        <v>41</v>
      </c>
      <c r="C122" s="94" t="s">
        <v>329</v>
      </c>
      <c r="D122" s="94" t="s">
        <v>445</v>
      </c>
      <c r="E122" s="95" t="s">
        <v>272</v>
      </c>
      <c r="F122" s="94" t="s">
        <v>300</v>
      </c>
      <c r="G122" s="94" t="s">
        <v>228</v>
      </c>
      <c r="H122" s="94" t="s">
        <v>9</v>
      </c>
      <c r="I122" s="94" t="s">
        <v>198</v>
      </c>
      <c r="J122" s="95" t="s">
        <v>229</v>
      </c>
      <c r="K122" s="94" t="s">
        <v>273</v>
      </c>
      <c r="L122" s="96">
        <v>136</v>
      </c>
      <c r="M122" s="96">
        <f>L122*VLOOKUP(H122,dagsoorttabel1,2,FALSE)</f>
        <v>139.39999999999998</v>
      </c>
      <c r="N122" s="97">
        <f>prodnorm18</f>
        <v>0</v>
      </c>
      <c r="O122" s="41">
        <f>dagwerk18</f>
        <v>0</v>
      </c>
      <c r="P122" s="94" t="s">
        <v>108</v>
      </c>
      <c r="Q122" s="26">
        <f>uurtarief18</f>
        <v>0</v>
      </c>
      <c r="R122" s="96" t="e">
        <f>IF(ISBLANK(N122),0,M122/ROUND(N122,4))</f>
        <v>#DIV/0!</v>
      </c>
      <c r="S122" s="96" t="e">
        <f>IF(ISBLANK(N122),0,R122*ROUND(O122,2))</f>
        <v>#DIV/0!</v>
      </c>
      <c r="T122" s="26" t="e">
        <f>ROUND(Q122,2)*R122</f>
        <v>#DIV/0!</v>
      </c>
      <c r="U122" s="96" t="e">
        <f>R122*dagenperjaar1</f>
        <v>#DIV/0!</v>
      </c>
      <c r="V122" s="27" t="e">
        <f>U122*ROUND(Q122,2)</f>
        <v>#DIV/0!</v>
      </c>
    </row>
    <row r="123" spans="1:22" x14ac:dyDescent="0.25">
      <c r="A123" s="93" t="s">
        <v>259</v>
      </c>
      <c r="B123" s="94" t="s">
        <v>41</v>
      </c>
      <c r="C123" s="94" t="s">
        <v>329</v>
      </c>
      <c r="D123" s="94" t="s">
        <v>446</v>
      </c>
      <c r="E123" s="95" t="s">
        <v>447</v>
      </c>
      <c r="F123" s="94" t="s">
        <v>336</v>
      </c>
      <c r="G123" s="94" t="s">
        <v>218</v>
      </c>
      <c r="H123" s="94" t="s">
        <v>12</v>
      </c>
      <c r="I123" s="94" t="s">
        <v>198</v>
      </c>
      <c r="J123" s="95" t="s">
        <v>219</v>
      </c>
      <c r="K123" s="94" t="s">
        <v>337</v>
      </c>
      <c r="L123" s="96">
        <v>84</v>
      </c>
      <c r="M123" s="96">
        <f>L123*VLOOKUP(H123,dagsoorttabel1,2,FALSE)</f>
        <v>51.66</v>
      </c>
      <c r="N123" s="97">
        <f>prodnorm13</f>
        <v>0</v>
      </c>
      <c r="O123" s="41">
        <f>dagwerk13</f>
        <v>0</v>
      </c>
      <c r="P123" s="94" t="s">
        <v>108</v>
      </c>
      <c r="Q123" s="26">
        <f>uurtarief13</f>
        <v>0</v>
      </c>
      <c r="R123" s="96" t="e">
        <f>IF(ISBLANK(N123),0,M123/ROUND(N123,4))</f>
        <v>#DIV/0!</v>
      </c>
      <c r="S123" s="96" t="e">
        <f>IF(ISBLANK(N123),0,R123*ROUND(O123,2))</f>
        <v>#DIV/0!</v>
      </c>
      <c r="T123" s="26" t="e">
        <f>ROUND(Q123,2)*R123</f>
        <v>#DIV/0!</v>
      </c>
      <c r="U123" s="96" t="e">
        <f>R123*dagenperjaar1</f>
        <v>#DIV/0!</v>
      </c>
      <c r="V123" s="27" t="e">
        <f>U123*ROUND(Q123,2)</f>
        <v>#DIV/0!</v>
      </c>
    </row>
    <row r="124" spans="1:22" x14ac:dyDescent="0.25">
      <c r="A124" s="93" t="s">
        <v>259</v>
      </c>
      <c r="B124" s="94" t="s">
        <v>41</v>
      </c>
      <c r="C124" s="94" t="s">
        <v>448</v>
      </c>
      <c r="D124" s="94" t="s">
        <v>449</v>
      </c>
      <c r="E124" s="95" t="s">
        <v>450</v>
      </c>
      <c r="F124" s="94" t="s">
        <v>283</v>
      </c>
      <c r="G124" s="94" t="s">
        <v>212</v>
      </c>
      <c r="H124" s="94" t="s">
        <v>9</v>
      </c>
      <c r="I124" s="94" t="s">
        <v>198</v>
      </c>
      <c r="J124" s="95" t="s">
        <v>213</v>
      </c>
      <c r="K124" s="94" t="s">
        <v>41</v>
      </c>
      <c r="L124" s="96">
        <v>119</v>
      </c>
      <c r="M124" s="96">
        <f>L124*VLOOKUP(H124,dagsoorttabel1,2,FALSE)</f>
        <v>121.97499999999999</v>
      </c>
      <c r="N124" s="97">
        <f>prodnorm10</f>
        <v>0</v>
      </c>
      <c r="O124" s="41">
        <f>dagwerk10</f>
        <v>0</v>
      </c>
      <c r="P124" s="94" t="s">
        <v>108</v>
      </c>
      <c r="Q124" s="26">
        <f>uurtarief10</f>
        <v>0</v>
      </c>
      <c r="R124" s="96" t="e">
        <f>IF(ISBLANK(N124),0,M124/ROUND(N124,4))</f>
        <v>#DIV/0!</v>
      </c>
      <c r="S124" s="96" t="e">
        <f>IF(ISBLANK(N124),0,R124*ROUND(O124,2))</f>
        <v>#DIV/0!</v>
      </c>
      <c r="T124" s="26" t="e">
        <f>ROUND(Q124,2)*R124</f>
        <v>#DIV/0!</v>
      </c>
      <c r="U124" s="96" t="e">
        <f>R124*dagenperjaar1</f>
        <v>#DIV/0!</v>
      </c>
      <c r="V124" s="27" t="e">
        <f>U124*ROUND(Q124,2)</f>
        <v>#DIV/0!</v>
      </c>
    </row>
    <row r="125" spans="1:22" x14ac:dyDescent="0.25">
      <c r="A125" s="93" t="s">
        <v>259</v>
      </c>
      <c r="B125" s="94" t="s">
        <v>41</v>
      </c>
      <c r="C125" s="94" t="s">
        <v>448</v>
      </c>
      <c r="D125" s="94" t="s">
        <v>451</v>
      </c>
      <c r="E125" s="95" t="s">
        <v>452</v>
      </c>
      <c r="F125" s="94" t="s">
        <v>336</v>
      </c>
      <c r="G125" s="94" t="s">
        <v>200</v>
      </c>
      <c r="H125" s="94" t="s">
        <v>16</v>
      </c>
      <c r="I125" s="94" t="s">
        <v>198</v>
      </c>
      <c r="J125" s="95" t="s">
        <v>201</v>
      </c>
      <c r="K125" s="94" t="s">
        <v>265</v>
      </c>
      <c r="L125" s="96">
        <v>14</v>
      </c>
      <c r="M125" s="96">
        <f>L125*VLOOKUP(H125,dagsoorttabel1,2,FALSE)</f>
        <v>2.8699999999999997</v>
      </c>
      <c r="N125" s="97">
        <f>prodnorm4</f>
        <v>0</v>
      </c>
      <c r="O125" s="41">
        <f>dagwerk4</f>
        <v>0</v>
      </c>
      <c r="P125" s="94" t="s">
        <v>108</v>
      </c>
      <c r="Q125" s="26">
        <f>uurtarief4</f>
        <v>0</v>
      </c>
      <c r="R125" s="96" t="e">
        <f>IF(ISBLANK(N125),0,M125/ROUND(N125,4))</f>
        <v>#DIV/0!</v>
      </c>
      <c r="S125" s="96" t="e">
        <f>IF(ISBLANK(N125),0,R125*ROUND(O125,2))</f>
        <v>#DIV/0!</v>
      </c>
      <c r="T125" s="26" t="e">
        <f>ROUND(Q125,2)*R125</f>
        <v>#DIV/0!</v>
      </c>
      <c r="U125" s="96" t="e">
        <f>R125*dagenperjaar1</f>
        <v>#DIV/0!</v>
      </c>
      <c r="V125" s="27" t="e">
        <f>U125*ROUND(Q125,2)</f>
        <v>#DIV/0!</v>
      </c>
    </row>
    <row r="126" spans="1:22" x14ac:dyDescent="0.25">
      <c r="A126" s="93" t="s">
        <v>259</v>
      </c>
      <c r="B126" s="94" t="s">
        <v>41</v>
      </c>
      <c r="C126" s="94" t="s">
        <v>448</v>
      </c>
      <c r="D126" s="94" t="s">
        <v>453</v>
      </c>
      <c r="E126" s="95" t="s">
        <v>454</v>
      </c>
      <c r="F126" s="94" t="s">
        <v>336</v>
      </c>
      <c r="G126" s="94" t="s">
        <v>208</v>
      </c>
      <c r="H126" s="94" t="s">
        <v>12</v>
      </c>
      <c r="I126" s="94" t="s">
        <v>198</v>
      </c>
      <c r="J126" s="95" t="s">
        <v>209</v>
      </c>
      <c r="K126" s="94" t="s">
        <v>337</v>
      </c>
      <c r="L126" s="96">
        <v>125</v>
      </c>
      <c r="M126" s="96">
        <f>L126*VLOOKUP(H126,dagsoorttabel1,2,FALSE)</f>
        <v>76.875</v>
      </c>
      <c r="N126" s="97">
        <f>prodnorm8</f>
        <v>0</v>
      </c>
      <c r="O126" s="41">
        <f>dagwerk8</f>
        <v>0</v>
      </c>
      <c r="P126" s="94" t="s">
        <v>108</v>
      </c>
      <c r="Q126" s="26">
        <f>uurtarief8</f>
        <v>0</v>
      </c>
      <c r="R126" s="96" t="e">
        <f>IF(ISBLANK(N126),0,M126/ROUND(N126,4))</f>
        <v>#DIV/0!</v>
      </c>
      <c r="S126" s="96" t="e">
        <f>IF(ISBLANK(N126),0,R126*ROUND(O126,2))</f>
        <v>#DIV/0!</v>
      </c>
      <c r="T126" s="26" t="e">
        <f>ROUND(Q126,2)*R126</f>
        <v>#DIV/0!</v>
      </c>
      <c r="U126" s="96" t="e">
        <f>R126*dagenperjaar1</f>
        <v>#DIV/0!</v>
      </c>
      <c r="V126" s="27" t="e">
        <f>U126*ROUND(Q126,2)</f>
        <v>#DIV/0!</v>
      </c>
    </row>
    <row r="127" spans="1:22" x14ac:dyDescent="0.25">
      <c r="A127" s="93" t="s">
        <v>259</v>
      </c>
      <c r="B127" s="94" t="s">
        <v>41</v>
      </c>
      <c r="C127" s="94" t="s">
        <v>448</v>
      </c>
      <c r="D127" s="94" t="s">
        <v>455</v>
      </c>
      <c r="E127" s="95" t="s">
        <v>280</v>
      </c>
      <c r="F127" s="94" t="s">
        <v>264</v>
      </c>
      <c r="G127" s="94" t="s">
        <v>236</v>
      </c>
      <c r="H127" s="94" t="s">
        <v>9</v>
      </c>
      <c r="I127" s="94" t="s">
        <v>198</v>
      </c>
      <c r="J127" s="95" t="s">
        <v>237</v>
      </c>
      <c r="K127" s="94" t="s">
        <v>273</v>
      </c>
      <c r="L127" s="96">
        <v>42</v>
      </c>
      <c r="M127" s="96">
        <f>L127*VLOOKUP(H127,dagsoorttabel1,2,FALSE)</f>
        <v>43.05</v>
      </c>
      <c r="N127" s="97">
        <f>prodnorm22</f>
        <v>0</v>
      </c>
      <c r="O127" s="41">
        <f>dagwerk22</f>
        <v>0</v>
      </c>
      <c r="P127" s="94" t="s">
        <v>108</v>
      </c>
      <c r="Q127" s="26">
        <f>uurtarief22</f>
        <v>0</v>
      </c>
      <c r="R127" s="96" t="e">
        <f>IF(ISBLANK(N127),0,M127/ROUND(N127,4))</f>
        <v>#DIV/0!</v>
      </c>
      <c r="S127" s="96" t="e">
        <f>IF(ISBLANK(N127),0,R127*ROUND(O127,2))</f>
        <v>#DIV/0!</v>
      </c>
      <c r="T127" s="26" t="e">
        <f>ROUND(Q127,2)*R127</f>
        <v>#DIV/0!</v>
      </c>
      <c r="U127" s="96" t="e">
        <f>R127*dagenperjaar1</f>
        <v>#DIV/0!</v>
      </c>
      <c r="V127" s="27" t="e">
        <f>U127*ROUND(Q127,2)</f>
        <v>#DIV/0!</v>
      </c>
    </row>
    <row r="128" spans="1:22" x14ac:dyDescent="0.25">
      <c r="A128" s="93" t="s">
        <v>259</v>
      </c>
      <c r="B128" s="94" t="s">
        <v>41</v>
      </c>
      <c r="C128" s="94" t="s">
        <v>448</v>
      </c>
      <c r="D128" s="94" t="s">
        <v>456</v>
      </c>
      <c r="E128" s="95" t="s">
        <v>454</v>
      </c>
      <c r="F128" s="94" t="s">
        <v>336</v>
      </c>
      <c r="G128" s="94" t="s">
        <v>208</v>
      </c>
      <c r="H128" s="94" t="s">
        <v>12</v>
      </c>
      <c r="I128" s="94" t="s">
        <v>198</v>
      </c>
      <c r="J128" s="95" t="s">
        <v>209</v>
      </c>
      <c r="K128" s="94" t="s">
        <v>337</v>
      </c>
      <c r="L128" s="96">
        <v>125</v>
      </c>
      <c r="M128" s="96">
        <f>L128*VLOOKUP(H128,dagsoorttabel1,2,FALSE)</f>
        <v>76.875</v>
      </c>
      <c r="N128" s="97">
        <f>prodnorm8</f>
        <v>0</v>
      </c>
      <c r="O128" s="41">
        <f>dagwerk8</f>
        <v>0</v>
      </c>
      <c r="P128" s="94" t="s">
        <v>108</v>
      </c>
      <c r="Q128" s="26">
        <f>uurtarief8</f>
        <v>0</v>
      </c>
      <c r="R128" s="96" t="e">
        <f>IF(ISBLANK(N128),0,M128/ROUND(N128,4))</f>
        <v>#DIV/0!</v>
      </c>
      <c r="S128" s="96" t="e">
        <f>IF(ISBLANK(N128),0,R128*ROUND(O128,2))</f>
        <v>#DIV/0!</v>
      </c>
      <c r="T128" s="26" t="e">
        <f>ROUND(Q128,2)*R128</f>
        <v>#DIV/0!</v>
      </c>
      <c r="U128" s="96" t="e">
        <f>R128*dagenperjaar1</f>
        <v>#DIV/0!</v>
      </c>
      <c r="V128" s="27" t="e">
        <f>U128*ROUND(Q128,2)</f>
        <v>#DIV/0!</v>
      </c>
    </row>
    <row r="129" spans="1:22" x14ac:dyDescent="0.25">
      <c r="A129" s="93" t="s">
        <v>259</v>
      </c>
      <c r="B129" s="94" t="s">
        <v>41</v>
      </c>
      <c r="C129" s="94" t="s">
        <v>448</v>
      </c>
      <c r="D129" s="94" t="s">
        <v>457</v>
      </c>
      <c r="E129" s="95" t="s">
        <v>352</v>
      </c>
      <c r="F129" s="94" t="s">
        <v>300</v>
      </c>
      <c r="G129" s="94" t="s">
        <v>224</v>
      </c>
      <c r="H129" s="94" t="s">
        <v>9</v>
      </c>
      <c r="I129" s="94" t="s">
        <v>198</v>
      </c>
      <c r="J129" s="95" t="s">
        <v>225</v>
      </c>
      <c r="K129" s="94" t="s">
        <v>296</v>
      </c>
      <c r="L129" s="96">
        <v>24</v>
      </c>
      <c r="M129" s="96">
        <f>L129*VLOOKUP(H129,dagsoorttabel1,2,FALSE)</f>
        <v>24.599999999999998</v>
      </c>
      <c r="N129" s="97">
        <f>prodnorm16</f>
        <v>0</v>
      </c>
      <c r="O129" s="41">
        <f>dagwerk16</f>
        <v>0</v>
      </c>
      <c r="P129" s="94" t="s">
        <v>108</v>
      </c>
      <c r="Q129" s="26">
        <f>uurtarief16</f>
        <v>0</v>
      </c>
      <c r="R129" s="96" t="e">
        <f>IF(ISBLANK(N129),0,M129/ROUND(N129,4))</f>
        <v>#DIV/0!</v>
      </c>
      <c r="S129" s="96" t="e">
        <f>IF(ISBLANK(N129),0,R129*ROUND(O129,2))</f>
        <v>#DIV/0!</v>
      </c>
      <c r="T129" s="26" t="e">
        <f>ROUND(Q129,2)*R129</f>
        <v>#DIV/0!</v>
      </c>
      <c r="U129" s="96" t="e">
        <f>R129*dagenperjaar1</f>
        <v>#DIV/0!</v>
      </c>
      <c r="V129" s="27" t="e">
        <f>U129*ROUND(Q129,2)</f>
        <v>#DIV/0!</v>
      </c>
    </row>
    <row r="130" spans="1:22" x14ac:dyDescent="0.25">
      <c r="A130" s="93" t="s">
        <v>259</v>
      </c>
      <c r="B130" s="94" t="s">
        <v>41</v>
      </c>
      <c r="C130" s="94" t="s">
        <v>448</v>
      </c>
      <c r="D130" s="94" t="s">
        <v>458</v>
      </c>
      <c r="E130" s="95" t="s">
        <v>459</v>
      </c>
      <c r="F130" s="94" t="s">
        <v>336</v>
      </c>
      <c r="G130" s="94" t="s">
        <v>197</v>
      </c>
      <c r="H130" s="94" t="s">
        <v>16</v>
      </c>
      <c r="I130" s="94" t="s">
        <v>198</v>
      </c>
      <c r="J130" s="95" t="s">
        <v>199</v>
      </c>
      <c r="K130" s="94" t="s">
        <v>265</v>
      </c>
      <c r="L130" s="96">
        <v>23</v>
      </c>
      <c r="M130" s="96">
        <f>L130*VLOOKUP(H130,dagsoorttabel1,2,FALSE)</f>
        <v>4.7149999999999999</v>
      </c>
      <c r="N130" s="97">
        <f>prodnorm3</f>
        <v>0</v>
      </c>
      <c r="O130" s="41">
        <f>dagwerk3</f>
        <v>0</v>
      </c>
      <c r="P130" s="94" t="s">
        <v>108</v>
      </c>
      <c r="Q130" s="26">
        <f>uurtarief3</f>
        <v>0</v>
      </c>
      <c r="R130" s="96" t="e">
        <f>IF(ISBLANK(N130),0,M130/ROUND(N130,4))</f>
        <v>#DIV/0!</v>
      </c>
      <c r="S130" s="96" t="e">
        <f>IF(ISBLANK(N130),0,R130*ROUND(O130,2))</f>
        <v>#DIV/0!</v>
      </c>
      <c r="T130" s="26" t="e">
        <f>ROUND(Q130,2)*R130</f>
        <v>#DIV/0!</v>
      </c>
      <c r="U130" s="96" t="e">
        <f>R130*dagenperjaar1</f>
        <v>#DIV/0!</v>
      </c>
      <c r="V130" s="27" t="e">
        <f>U130*ROUND(Q130,2)</f>
        <v>#DIV/0!</v>
      </c>
    </row>
    <row r="131" spans="1:22" x14ac:dyDescent="0.25">
      <c r="A131" s="93" t="s">
        <v>259</v>
      </c>
      <c r="B131" s="94" t="s">
        <v>41</v>
      </c>
      <c r="C131" s="94" t="s">
        <v>448</v>
      </c>
      <c r="D131" s="94" t="s">
        <v>460</v>
      </c>
      <c r="E131" s="95" t="s">
        <v>275</v>
      </c>
      <c r="F131" s="94" t="s">
        <v>336</v>
      </c>
      <c r="G131" s="94" t="s">
        <v>268</v>
      </c>
      <c r="H131" s="94"/>
      <c r="I131" s="94"/>
      <c r="J131" s="94"/>
      <c r="K131" s="94" t="s">
        <v>41</v>
      </c>
      <c r="L131" s="96">
        <v>2</v>
      </c>
      <c r="M131" s="96"/>
      <c r="N131" s="97"/>
      <c r="O131" s="41"/>
      <c r="P131" s="94"/>
      <c r="Q131" s="26"/>
      <c r="R131" s="96"/>
      <c r="S131" s="96"/>
      <c r="T131" s="26"/>
      <c r="U131" s="98"/>
      <c r="V131" s="27"/>
    </row>
    <row r="132" spans="1:22" x14ac:dyDescent="0.25">
      <c r="A132" s="93" t="s">
        <v>259</v>
      </c>
      <c r="B132" s="94" t="s">
        <v>41</v>
      </c>
      <c r="C132" s="94" t="s">
        <v>448</v>
      </c>
      <c r="D132" s="94" t="s">
        <v>461</v>
      </c>
      <c r="E132" s="95" t="s">
        <v>275</v>
      </c>
      <c r="F132" s="94" t="s">
        <v>336</v>
      </c>
      <c r="G132" s="94" t="s">
        <v>268</v>
      </c>
      <c r="H132" s="94"/>
      <c r="I132" s="94"/>
      <c r="J132" s="94"/>
      <c r="K132" s="94" t="s">
        <v>41</v>
      </c>
      <c r="L132" s="96">
        <v>1</v>
      </c>
      <c r="M132" s="96"/>
      <c r="N132" s="97"/>
      <c r="O132" s="41"/>
      <c r="P132" s="94"/>
      <c r="Q132" s="26"/>
      <c r="R132" s="96"/>
      <c r="S132" s="96"/>
      <c r="T132" s="26"/>
      <c r="U132" s="98"/>
      <c r="V132" s="27"/>
    </row>
    <row r="133" spans="1:22" x14ac:dyDescent="0.25">
      <c r="A133" s="93" t="s">
        <v>259</v>
      </c>
      <c r="B133" s="94" t="s">
        <v>41</v>
      </c>
      <c r="C133" s="94" t="s">
        <v>448</v>
      </c>
      <c r="D133" s="94" t="s">
        <v>462</v>
      </c>
      <c r="E133" s="95" t="s">
        <v>463</v>
      </c>
      <c r="F133" s="94" t="s">
        <v>336</v>
      </c>
      <c r="G133" s="94" t="s">
        <v>197</v>
      </c>
      <c r="H133" s="94" t="s">
        <v>16</v>
      </c>
      <c r="I133" s="94" t="s">
        <v>198</v>
      </c>
      <c r="J133" s="95" t="s">
        <v>199</v>
      </c>
      <c r="K133" s="94" t="s">
        <v>265</v>
      </c>
      <c r="L133" s="96">
        <v>28</v>
      </c>
      <c r="M133" s="96">
        <f>L133*VLOOKUP(H133,dagsoorttabel1,2,FALSE)</f>
        <v>5.7399999999999993</v>
      </c>
      <c r="N133" s="97">
        <f>prodnorm3</f>
        <v>0</v>
      </c>
      <c r="O133" s="41">
        <f>dagwerk3</f>
        <v>0</v>
      </c>
      <c r="P133" s="94" t="s">
        <v>108</v>
      </c>
      <c r="Q133" s="26">
        <f>uurtarief3</f>
        <v>0</v>
      </c>
      <c r="R133" s="96" t="e">
        <f>IF(ISBLANK(N133),0,M133/ROUND(N133,4))</f>
        <v>#DIV/0!</v>
      </c>
      <c r="S133" s="96" t="e">
        <f>IF(ISBLANK(N133),0,R133*ROUND(O133,2))</f>
        <v>#DIV/0!</v>
      </c>
      <c r="T133" s="26" t="e">
        <f>ROUND(Q133,2)*R133</f>
        <v>#DIV/0!</v>
      </c>
      <c r="U133" s="96" t="e">
        <f>R133*dagenperjaar1</f>
        <v>#DIV/0!</v>
      </c>
      <c r="V133" s="27" t="e">
        <f>U133*ROUND(Q133,2)</f>
        <v>#DIV/0!</v>
      </c>
    </row>
    <row r="134" spans="1:22" x14ac:dyDescent="0.25">
      <c r="A134" s="93" t="s">
        <v>259</v>
      </c>
      <c r="B134" s="94" t="s">
        <v>41</v>
      </c>
      <c r="C134" s="94" t="s">
        <v>448</v>
      </c>
      <c r="D134" s="94" t="s">
        <v>464</v>
      </c>
      <c r="E134" s="95" t="s">
        <v>272</v>
      </c>
      <c r="F134" s="94" t="s">
        <v>336</v>
      </c>
      <c r="G134" s="94" t="s">
        <v>228</v>
      </c>
      <c r="H134" s="94" t="s">
        <v>9</v>
      </c>
      <c r="I134" s="94" t="s">
        <v>198</v>
      </c>
      <c r="J134" s="95" t="s">
        <v>229</v>
      </c>
      <c r="K134" s="94" t="s">
        <v>273</v>
      </c>
      <c r="L134" s="96">
        <v>3</v>
      </c>
      <c r="M134" s="96">
        <f>L134*VLOOKUP(H134,dagsoorttabel1,2,FALSE)</f>
        <v>3.0749999999999997</v>
      </c>
      <c r="N134" s="97">
        <f>prodnorm18</f>
        <v>0</v>
      </c>
      <c r="O134" s="41">
        <f>dagwerk18</f>
        <v>0</v>
      </c>
      <c r="P134" s="94" t="s">
        <v>108</v>
      </c>
      <c r="Q134" s="26">
        <f>uurtarief18</f>
        <v>0</v>
      </c>
      <c r="R134" s="96" t="e">
        <f>IF(ISBLANK(N134),0,M134/ROUND(N134,4))</f>
        <v>#DIV/0!</v>
      </c>
      <c r="S134" s="96" t="e">
        <f>IF(ISBLANK(N134),0,R134*ROUND(O134,2))</f>
        <v>#DIV/0!</v>
      </c>
      <c r="T134" s="26" t="e">
        <f>ROUND(Q134,2)*R134</f>
        <v>#DIV/0!</v>
      </c>
      <c r="U134" s="96" t="e">
        <f>R134*dagenperjaar1</f>
        <v>#DIV/0!</v>
      </c>
      <c r="V134" s="27" t="e">
        <f>U134*ROUND(Q134,2)</f>
        <v>#DIV/0!</v>
      </c>
    </row>
    <row r="135" spans="1:22" x14ac:dyDescent="0.25">
      <c r="A135" s="93" t="s">
        <v>259</v>
      </c>
      <c r="B135" s="94" t="s">
        <v>41</v>
      </c>
      <c r="C135" s="94" t="s">
        <v>448</v>
      </c>
      <c r="D135" s="94" t="s">
        <v>465</v>
      </c>
      <c r="E135" s="95" t="s">
        <v>466</v>
      </c>
      <c r="F135" s="94" t="s">
        <v>336</v>
      </c>
      <c r="G135" s="94" t="s">
        <v>197</v>
      </c>
      <c r="H135" s="94" t="s">
        <v>16</v>
      </c>
      <c r="I135" s="94" t="s">
        <v>198</v>
      </c>
      <c r="J135" s="95" t="s">
        <v>199</v>
      </c>
      <c r="K135" s="94" t="s">
        <v>265</v>
      </c>
      <c r="L135" s="96">
        <v>11</v>
      </c>
      <c r="M135" s="96">
        <f>L135*VLOOKUP(H135,dagsoorttabel1,2,FALSE)</f>
        <v>2.2549999999999999</v>
      </c>
      <c r="N135" s="97">
        <f>prodnorm3</f>
        <v>0</v>
      </c>
      <c r="O135" s="41">
        <f>dagwerk3</f>
        <v>0</v>
      </c>
      <c r="P135" s="94" t="s">
        <v>108</v>
      </c>
      <c r="Q135" s="26">
        <f>uurtarief3</f>
        <v>0</v>
      </c>
      <c r="R135" s="96" t="e">
        <f>IF(ISBLANK(N135),0,M135/ROUND(N135,4))</f>
        <v>#DIV/0!</v>
      </c>
      <c r="S135" s="96" t="e">
        <f>IF(ISBLANK(N135),0,R135*ROUND(O135,2))</f>
        <v>#DIV/0!</v>
      </c>
      <c r="T135" s="26" t="e">
        <f>ROUND(Q135,2)*R135</f>
        <v>#DIV/0!</v>
      </c>
      <c r="U135" s="96" t="e">
        <f>R135*dagenperjaar1</f>
        <v>#DIV/0!</v>
      </c>
      <c r="V135" s="27" t="e">
        <f>U135*ROUND(Q135,2)</f>
        <v>#DIV/0!</v>
      </c>
    </row>
    <row r="136" spans="1:22" x14ac:dyDescent="0.25">
      <c r="A136" s="93" t="s">
        <v>259</v>
      </c>
      <c r="B136" s="94" t="s">
        <v>41</v>
      </c>
      <c r="C136" s="94" t="s">
        <v>448</v>
      </c>
      <c r="D136" s="94" t="s">
        <v>467</v>
      </c>
      <c r="E136" s="95" t="s">
        <v>463</v>
      </c>
      <c r="F136" s="94" t="s">
        <v>336</v>
      </c>
      <c r="G136" s="94" t="s">
        <v>197</v>
      </c>
      <c r="H136" s="94" t="s">
        <v>16</v>
      </c>
      <c r="I136" s="94" t="s">
        <v>198</v>
      </c>
      <c r="J136" s="95" t="s">
        <v>199</v>
      </c>
      <c r="K136" s="94" t="s">
        <v>265</v>
      </c>
      <c r="L136" s="96">
        <v>27</v>
      </c>
      <c r="M136" s="96">
        <f>L136*VLOOKUP(H136,dagsoorttabel1,2,FALSE)</f>
        <v>5.5349999999999993</v>
      </c>
      <c r="N136" s="97">
        <f>prodnorm3</f>
        <v>0</v>
      </c>
      <c r="O136" s="41">
        <f>dagwerk3</f>
        <v>0</v>
      </c>
      <c r="P136" s="94" t="s">
        <v>108</v>
      </c>
      <c r="Q136" s="26">
        <f>uurtarief3</f>
        <v>0</v>
      </c>
      <c r="R136" s="96" t="e">
        <f>IF(ISBLANK(N136),0,M136/ROUND(N136,4))</f>
        <v>#DIV/0!</v>
      </c>
      <c r="S136" s="96" t="e">
        <f>IF(ISBLANK(N136),0,R136*ROUND(O136,2))</f>
        <v>#DIV/0!</v>
      </c>
      <c r="T136" s="26" t="e">
        <f>ROUND(Q136,2)*R136</f>
        <v>#DIV/0!</v>
      </c>
      <c r="U136" s="96" t="e">
        <f>R136*dagenperjaar1</f>
        <v>#DIV/0!</v>
      </c>
      <c r="V136" s="27" t="e">
        <f>U136*ROUND(Q136,2)</f>
        <v>#DIV/0!</v>
      </c>
    </row>
    <row r="137" spans="1:22" x14ac:dyDescent="0.25">
      <c r="A137" s="93" t="s">
        <v>259</v>
      </c>
      <c r="B137" s="94" t="s">
        <v>41</v>
      </c>
      <c r="C137" s="94" t="s">
        <v>448</v>
      </c>
      <c r="D137" s="94" t="s">
        <v>468</v>
      </c>
      <c r="E137" s="95" t="s">
        <v>469</v>
      </c>
      <c r="F137" s="94" t="s">
        <v>336</v>
      </c>
      <c r="G137" s="94" t="s">
        <v>197</v>
      </c>
      <c r="H137" s="94" t="s">
        <v>16</v>
      </c>
      <c r="I137" s="94" t="s">
        <v>198</v>
      </c>
      <c r="J137" s="95" t="s">
        <v>199</v>
      </c>
      <c r="K137" s="94" t="s">
        <v>265</v>
      </c>
      <c r="L137" s="96">
        <v>15</v>
      </c>
      <c r="M137" s="96">
        <f>L137*VLOOKUP(H137,dagsoorttabel1,2,FALSE)</f>
        <v>3.0749999999999997</v>
      </c>
      <c r="N137" s="97">
        <f>prodnorm3</f>
        <v>0</v>
      </c>
      <c r="O137" s="41">
        <f>dagwerk3</f>
        <v>0</v>
      </c>
      <c r="P137" s="94" t="s">
        <v>108</v>
      </c>
      <c r="Q137" s="26">
        <f>uurtarief3</f>
        <v>0</v>
      </c>
      <c r="R137" s="96" t="e">
        <f>IF(ISBLANK(N137),0,M137/ROUND(N137,4))</f>
        <v>#DIV/0!</v>
      </c>
      <c r="S137" s="96" t="e">
        <f>IF(ISBLANK(N137),0,R137*ROUND(O137,2))</f>
        <v>#DIV/0!</v>
      </c>
      <c r="T137" s="26" t="e">
        <f>ROUND(Q137,2)*R137</f>
        <v>#DIV/0!</v>
      </c>
      <c r="U137" s="96" t="e">
        <f>R137*dagenperjaar1</f>
        <v>#DIV/0!</v>
      </c>
      <c r="V137" s="27" t="e">
        <f>U137*ROUND(Q137,2)</f>
        <v>#DIV/0!</v>
      </c>
    </row>
    <row r="138" spans="1:22" x14ac:dyDescent="0.25">
      <c r="A138" s="93" t="s">
        <v>259</v>
      </c>
      <c r="B138" s="94" t="s">
        <v>41</v>
      </c>
      <c r="C138" s="94" t="s">
        <v>448</v>
      </c>
      <c r="D138" s="94" t="s">
        <v>470</v>
      </c>
      <c r="E138" s="95" t="s">
        <v>280</v>
      </c>
      <c r="F138" s="94" t="s">
        <v>264</v>
      </c>
      <c r="G138" s="94" t="s">
        <v>236</v>
      </c>
      <c r="H138" s="94" t="s">
        <v>9</v>
      </c>
      <c r="I138" s="94" t="s">
        <v>198</v>
      </c>
      <c r="J138" s="95" t="s">
        <v>237</v>
      </c>
      <c r="K138" s="94" t="s">
        <v>273</v>
      </c>
      <c r="L138" s="96">
        <v>24</v>
      </c>
      <c r="M138" s="96">
        <f>L138*VLOOKUP(H138,dagsoorttabel1,2,FALSE)</f>
        <v>24.599999999999998</v>
      </c>
      <c r="N138" s="97">
        <f>prodnorm22</f>
        <v>0</v>
      </c>
      <c r="O138" s="41">
        <f>dagwerk22</f>
        <v>0</v>
      </c>
      <c r="P138" s="94" t="s">
        <v>108</v>
      </c>
      <c r="Q138" s="26">
        <f>uurtarief22</f>
        <v>0</v>
      </c>
      <c r="R138" s="96" t="e">
        <f>IF(ISBLANK(N138),0,M138/ROUND(N138,4))</f>
        <v>#DIV/0!</v>
      </c>
      <c r="S138" s="96" t="e">
        <f>IF(ISBLANK(N138),0,R138*ROUND(O138,2))</f>
        <v>#DIV/0!</v>
      </c>
      <c r="T138" s="26" t="e">
        <f>ROUND(Q138,2)*R138</f>
        <v>#DIV/0!</v>
      </c>
      <c r="U138" s="96" t="e">
        <f>R138*dagenperjaar1</f>
        <v>#DIV/0!</v>
      </c>
      <c r="V138" s="27" t="e">
        <f>U138*ROUND(Q138,2)</f>
        <v>#DIV/0!</v>
      </c>
    </row>
    <row r="139" spans="1:22" ht="23" x14ac:dyDescent="0.25">
      <c r="A139" s="93" t="s">
        <v>259</v>
      </c>
      <c r="B139" s="94" t="s">
        <v>41</v>
      </c>
      <c r="C139" s="94" t="s">
        <v>448</v>
      </c>
      <c r="D139" s="94" t="s">
        <v>471</v>
      </c>
      <c r="E139" s="95" t="s">
        <v>367</v>
      </c>
      <c r="F139" s="94" t="s">
        <v>336</v>
      </c>
      <c r="G139" s="94" t="s">
        <v>208</v>
      </c>
      <c r="H139" s="94" t="s">
        <v>12</v>
      </c>
      <c r="I139" s="94" t="s">
        <v>198</v>
      </c>
      <c r="J139" s="95" t="s">
        <v>209</v>
      </c>
      <c r="K139" s="94" t="s">
        <v>337</v>
      </c>
      <c r="L139" s="96">
        <v>55</v>
      </c>
      <c r="M139" s="96">
        <f>L139*VLOOKUP(H139,dagsoorttabel1,2,FALSE)</f>
        <v>33.825000000000003</v>
      </c>
      <c r="N139" s="97">
        <f>prodnorm8</f>
        <v>0</v>
      </c>
      <c r="O139" s="41">
        <f>dagwerk8</f>
        <v>0</v>
      </c>
      <c r="P139" s="94" t="s">
        <v>108</v>
      </c>
      <c r="Q139" s="26">
        <f>uurtarief8</f>
        <v>0</v>
      </c>
      <c r="R139" s="96" t="e">
        <f>IF(ISBLANK(N139),0,M139/ROUND(N139,4))</f>
        <v>#DIV/0!</v>
      </c>
      <c r="S139" s="96" t="e">
        <f>IF(ISBLANK(N139),0,R139*ROUND(O139,2))</f>
        <v>#DIV/0!</v>
      </c>
      <c r="T139" s="26" t="e">
        <f>ROUND(Q139,2)*R139</f>
        <v>#DIV/0!</v>
      </c>
      <c r="U139" s="96" t="e">
        <f>R139*dagenperjaar1</f>
        <v>#DIV/0!</v>
      </c>
      <c r="V139" s="27" t="e">
        <f>U139*ROUND(Q139,2)</f>
        <v>#DIV/0!</v>
      </c>
    </row>
    <row r="140" spans="1:22" ht="23" x14ac:dyDescent="0.25">
      <c r="A140" s="93" t="s">
        <v>259</v>
      </c>
      <c r="B140" s="94" t="s">
        <v>41</v>
      </c>
      <c r="C140" s="94" t="s">
        <v>448</v>
      </c>
      <c r="D140" s="94" t="s">
        <v>472</v>
      </c>
      <c r="E140" s="95" t="s">
        <v>367</v>
      </c>
      <c r="F140" s="94" t="s">
        <v>336</v>
      </c>
      <c r="G140" s="94" t="s">
        <v>208</v>
      </c>
      <c r="H140" s="94" t="s">
        <v>12</v>
      </c>
      <c r="I140" s="94" t="s">
        <v>198</v>
      </c>
      <c r="J140" s="95" t="s">
        <v>209</v>
      </c>
      <c r="K140" s="94" t="s">
        <v>337</v>
      </c>
      <c r="L140" s="96">
        <v>49</v>
      </c>
      <c r="M140" s="96">
        <f>L140*VLOOKUP(H140,dagsoorttabel1,2,FALSE)</f>
        <v>30.134999999999998</v>
      </c>
      <c r="N140" s="97">
        <f>prodnorm8</f>
        <v>0</v>
      </c>
      <c r="O140" s="41">
        <f>dagwerk8</f>
        <v>0</v>
      </c>
      <c r="P140" s="94" t="s">
        <v>108</v>
      </c>
      <c r="Q140" s="26">
        <f>uurtarief8</f>
        <v>0</v>
      </c>
      <c r="R140" s="96" t="e">
        <f>IF(ISBLANK(N140),0,M140/ROUND(N140,4))</f>
        <v>#DIV/0!</v>
      </c>
      <c r="S140" s="96" t="e">
        <f>IF(ISBLANK(N140),0,R140*ROUND(O140,2))</f>
        <v>#DIV/0!</v>
      </c>
      <c r="T140" s="26" t="e">
        <f>ROUND(Q140,2)*R140</f>
        <v>#DIV/0!</v>
      </c>
      <c r="U140" s="96" t="e">
        <f>R140*dagenperjaar1</f>
        <v>#DIV/0!</v>
      </c>
      <c r="V140" s="27" t="e">
        <f>U140*ROUND(Q140,2)</f>
        <v>#DIV/0!</v>
      </c>
    </row>
    <row r="141" spans="1:22" ht="23" x14ac:dyDescent="0.25">
      <c r="A141" s="93" t="s">
        <v>259</v>
      </c>
      <c r="B141" s="94" t="s">
        <v>41</v>
      </c>
      <c r="C141" s="94" t="s">
        <v>448</v>
      </c>
      <c r="D141" s="94" t="s">
        <v>473</v>
      </c>
      <c r="E141" s="95" t="s">
        <v>367</v>
      </c>
      <c r="F141" s="94" t="s">
        <v>336</v>
      </c>
      <c r="G141" s="94" t="s">
        <v>208</v>
      </c>
      <c r="H141" s="94" t="s">
        <v>12</v>
      </c>
      <c r="I141" s="94" t="s">
        <v>198</v>
      </c>
      <c r="J141" s="95" t="s">
        <v>209</v>
      </c>
      <c r="K141" s="94" t="s">
        <v>337</v>
      </c>
      <c r="L141" s="96">
        <v>56</v>
      </c>
      <c r="M141" s="96">
        <f>L141*VLOOKUP(H141,dagsoorttabel1,2,FALSE)</f>
        <v>34.44</v>
      </c>
      <c r="N141" s="97">
        <f>prodnorm8</f>
        <v>0</v>
      </c>
      <c r="O141" s="41">
        <f>dagwerk8</f>
        <v>0</v>
      </c>
      <c r="P141" s="94" t="s">
        <v>108</v>
      </c>
      <c r="Q141" s="26">
        <f>uurtarief8</f>
        <v>0</v>
      </c>
      <c r="R141" s="96" t="e">
        <f>IF(ISBLANK(N141),0,M141/ROUND(N141,4))</f>
        <v>#DIV/0!</v>
      </c>
      <c r="S141" s="96" t="e">
        <f>IF(ISBLANK(N141),0,R141*ROUND(O141,2))</f>
        <v>#DIV/0!</v>
      </c>
      <c r="T141" s="26" t="e">
        <f>ROUND(Q141,2)*R141</f>
        <v>#DIV/0!</v>
      </c>
      <c r="U141" s="96" t="e">
        <f>R141*dagenperjaar1</f>
        <v>#DIV/0!</v>
      </c>
      <c r="V141" s="27" t="e">
        <f>U141*ROUND(Q141,2)</f>
        <v>#DIV/0!</v>
      </c>
    </row>
    <row r="142" spans="1:22" ht="23" x14ac:dyDescent="0.25">
      <c r="A142" s="93" t="s">
        <v>259</v>
      </c>
      <c r="B142" s="94" t="s">
        <v>41</v>
      </c>
      <c r="C142" s="94" t="s">
        <v>448</v>
      </c>
      <c r="D142" s="94" t="s">
        <v>474</v>
      </c>
      <c r="E142" s="95" t="s">
        <v>367</v>
      </c>
      <c r="F142" s="94" t="s">
        <v>336</v>
      </c>
      <c r="G142" s="94" t="s">
        <v>208</v>
      </c>
      <c r="H142" s="94" t="s">
        <v>12</v>
      </c>
      <c r="I142" s="94" t="s">
        <v>198</v>
      </c>
      <c r="J142" s="95" t="s">
        <v>209</v>
      </c>
      <c r="K142" s="94" t="s">
        <v>337</v>
      </c>
      <c r="L142" s="96">
        <v>50</v>
      </c>
      <c r="M142" s="96">
        <f>L142*VLOOKUP(H142,dagsoorttabel1,2,FALSE)</f>
        <v>30.75</v>
      </c>
      <c r="N142" s="97">
        <f>prodnorm8</f>
        <v>0</v>
      </c>
      <c r="O142" s="41">
        <f>dagwerk8</f>
        <v>0</v>
      </c>
      <c r="P142" s="94" t="s">
        <v>108</v>
      </c>
      <c r="Q142" s="26">
        <f>uurtarief8</f>
        <v>0</v>
      </c>
      <c r="R142" s="96" t="e">
        <f>IF(ISBLANK(N142),0,M142/ROUND(N142,4))</f>
        <v>#DIV/0!</v>
      </c>
      <c r="S142" s="96" t="e">
        <f>IF(ISBLANK(N142),0,R142*ROUND(O142,2))</f>
        <v>#DIV/0!</v>
      </c>
      <c r="T142" s="26" t="e">
        <f>ROUND(Q142,2)*R142</f>
        <v>#DIV/0!</v>
      </c>
      <c r="U142" s="96" t="e">
        <f>R142*dagenperjaar1</f>
        <v>#DIV/0!</v>
      </c>
      <c r="V142" s="27" t="e">
        <f>U142*ROUND(Q142,2)</f>
        <v>#DIV/0!</v>
      </c>
    </row>
    <row r="143" spans="1:22" ht="23" x14ac:dyDescent="0.25">
      <c r="A143" s="93" t="s">
        <v>259</v>
      </c>
      <c r="B143" s="94" t="s">
        <v>41</v>
      </c>
      <c r="C143" s="94" t="s">
        <v>448</v>
      </c>
      <c r="D143" s="94" t="s">
        <v>475</v>
      </c>
      <c r="E143" s="95" t="s">
        <v>367</v>
      </c>
      <c r="F143" s="94" t="s">
        <v>336</v>
      </c>
      <c r="G143" s="94" t="s">
        <v>208</v>
      </c>
      <c r="H143" s="94" t="s">
        <v>12</v>
      </c>
      <c r="I143" s="94" t="s">
        <v>198</v>
      </c>
      <c r="J143" s="95" t="s">
        <v>209</v>
      </c>
      <c r="K143" s="94" t="s">
        <v>337</v>
      </c>
      <c r="L143" s="96">
        <v>56</v>
      </c>
      <c r="M143" s="96">
        <f>L143*VLOOKUP(H143,dagsoorttabel1,2,FALSE)</f>
        <v>34.44</v>
      </c>
      <c r="N143" s="97">
        <f>prodnorm8</f>
        <v>0</v>
      </c>
      <c r="O143" s="41">
        <f>dagwerk8</f>
        <v>0</v>
      </c>
      <c r="P143" s="94" t="s">
        <v>108</v>
      </c>
      <c r="Q143" s="26">
        <f>uurtarief8</f>
        <v>0</v>
      </c>
      <c r="R143" s="96" t="e">
        <f>IF(ISBLANK(N143),0,M143/ROUND(N143,4))</f>
        <v>#DIV/0!</v>
      </c>
      <c r="S143" s="96" t="e">
        <f>IF(ISBLANK(N143),0,R143*ROUND(O143,2))</f>
        <v>#DIV/0!</v>
      </c>
      <c r="T143" s="26" t="e">
        <f>ROUND(Q143,2)*R143</f>
        <v>#DIV/0!</v>
      </c>
      <c r="U143" s="96" t="e">
        <f>R143*dagenperjaar1</f>
        <v>#DIV/0!</v>
      </c>
      <c r="V143" s="27" t="e">
        <f>U143*ROUND(Q143,2)</f>
        <v>#DIV/0!</v>
      </c>
    </row>
    <row r="144" spans="1:22" x14ac:dyDescent="0.25">
      <c r="A144" s="93" t="s">
        <v>259</v>
      </c>
      <c r="B144" s="94" t="s">
        <v>41</v>
      </c>
      <c r="C144" s="94" t="s">
        <v>448</v>
      </c>
      <c r="D144" s="94" t="s">
        <v>476</v>
      </c>
      <c r="E144" s="95" t="s">
        <v>280</v>
      </c>
      <c r="F144" s="94" t="s">
        <v>336</v>
      </c>
      <c r="G144" s="94" t="s">
        <v>236</v>
      </c>
      <c r="H144" s="94" t="s">
        <v>9</v>
      </c>
      <c r="I144" s="94" t="s">
        <v>198</v>
      </c>
      <c r="J144" s="95" t="s">
        <v>237</v>
      </c>
      <c r="K144" s="94" t="s">
        <v>273</v>
      </c>
      <c r="L144" s="96">
        <v>23</v>
      </c>
      <c r="M144" s="96">
        <f>L144*VLOOKUP(H144,dagsoorttabel1,2,FALSE)</f>
        <v>23.574999999999999</v>
      </c>
      <c r="N144" s="97">
        <f>prodnorm22</f>
        <v>0</v>
      </c>
      <c r="O144" s="41">
        <f>dagwerk22</f>
        <v>0</v>
      </c>
      <c r="P144" s="94" t="s">
        <v>108</v>
      </c>
      <c r="Q144" s="26">
        <f>uurtarief22</f>
        <v>0</v>
      </c>
      <c r="R144" s="96" t="e">
        <f>IF(ISBLANK(N144),0,M144/ROUND(N144,4))</f>
        <v>#DIV/0!</v>
      </c>
      <c r="S144" s="96" t="e">
        <f>IF(ISBLANK(N144),0,R144*ROUND(O144,2))</f>
        <v>#DIV/0!</v>
      </c>
      <c r="T144" s="26" t="e">
        <f>ROUND(Q144,2)*R144</f>
        <v>#DIV/0!</v>
      </c>
      <c r="U144" s="96" t="e">
        <f>R144*dagenperjaar1</f>
        <v>#DIV/0!</v>
      </c>
      <c r="V144" s="27" t="e">
        <f>U144*ROUND(Q144,2)</f>
        <v>#DIV/0!</v>
      </c>
    </row>
    <row r="145" spans="1:22" x14ac:dyDescent="0.25">
      <c r="A145" s="93" t="s">
        <v>259</v>
      </c>
      <c r="B145" s="94" t="s">
        <v>41</v>
      </c>
      <c r="C145" s="94" t="s">
        <v>448</v>
      </c>
      <c r="D145" s="94" t="s">
        <v>477</v>
      </c>
      <c r="E145" s="95" t="s">
        <v>275</v>
      </c>
      <c r="F145" s="94" t="s">
        <v>336</v>
      </c>
      <c r="G145" s="94" t="s">
        <v>268</v>
      </c>
      <c r="H145" s="94"/>
      <c r="I145" s="94"/>
      <c r="J145" s="94"/>
      <c r="K145" s="94" t="s">
        <v>41</v>
      </c>
      <c r="L145" s="96">
        <v>5</v>
      </c>
      <c r="M145" s="96"/>
      <c r="N145" s="97"/>
      <c r="O145" s="41"/>
      <c r="P145" s="94"/>
      <c r="Q145" s="26"/>
      <c r="R145" s="96"/>
      <c r="S145" s="96"/>
      <c r="T145" s="26"/>
      <c r="U145" s="98"/>
      <c r="V145" s="27"/>
    </row>
    <row r="146" spans="1:22" x14ac:dyDescent="0.25">
      <c r="A146" s="93" t="s">
        <v>259</v>
      </c>
      <c r="B146" s="94" t="s">
        <v>41</v>
      </c>
      <c r="C146" s="94" t="s">
        <v>448</v>
      </c>
      <c r="D146" s="94" t="s">
        <v>478</v>
      </c>
      <c r="E146" s="95" t="s">
        <v>479</v>
      </c>
      <c r="F146" s="94" t="s">
        <v>336</v>
      </c>
      <c r="G146" s="94" t="s">
        <v>232</v>
      </c>
      <c r="H146" s="94" t="s">
        <v>9</v>
      </c>
      <c r="I146" s="94" t="s">
        <v>198</v>
      </c>
      <c r="J146" s="95" t="s">
        <v>233</v>
      </c>
      <c r="K146" s="94" t="s">
        <v>273</v>
      </c>
      <c r="L146" s="96">
        <v>4</v>
      </c>
      <c r="M146" s="96">
        <f>L146*VLOOKUP(H146,dagsoorttabel1,2,FALSE)</f>
        <v>4.0999999999999996</v>
      </c>
      <c r="N146" s="97">
        <f>prodnorm20</f>
        <v>0</v>
      </c>
      <c r="O146" s="41">
        <f>dagwerk20</f>
        <v>0</v>
      </c>
      <c r="P146" s="94" t="s">
        <v>108</v>
      </c>
      <c r="Q146" s="26">
        <f>uurtarief20</f>
        <v>0</v>
      </c>
      <c r="R146" s="96" t="e">
        <f>IF(ISBLANK(N146),0,M146/ROUND(N146,4))</f>
        <v>#DIV/0!</v>
      </c>
      <c r="S146" s="96" t="e">
        <f>IF(ISBLANK(N146),0,R146*ROUND(O146,2))</f>
        <v>#DIV/0!</v>
      </c>
      <c r="T146" s="26" t="e">
        <f>ROUND(Q146,2)*R146</f>
        <v>#DIV/0!</v>
      </c>
      <c r="U146" s="96" t="e">
        <f>R146*dagenperjaar1</f>
        <v>#DIV/0!</v>
      </c>
      <c r="V146" s="27" t="e">
        <f>U146*ROUND(Q146,2)</f>
        <v>#DIV/0!</v>
      </c>
    </row>
    <row r="147" spans="1:22" x14ac:dyDescent="0.25">
      <c r="A147" s="93" t="s">
        <v>259</v>
      </c>
      <c r="B147" s="94" t="s">
        <v>41</v>
      </c>
      <c r="C147" s="94" t="s">
        <v>448</v>
      </c>
      <c r="D147" s="94" t="s">
        <v>480</v>
      </c>
      <c r="E147" s="95" t="s">
        <v>452</v>
      </c>
      <c r="F147" s="94" t="s">
        <v>336</v>
      </c>
      <c r="G147" s="94" t="s">
        <v>200</v>
      </c>
      <c r="H147" s="94" t="s">
        <v>16</v>
      </c>
      <c r="I147" s="94" t="s">
        <v>198</v>
      </c>
      <c r="J147" s="95" t="s">
        <v>201</v>
      </c>
      <c r="K147" s="94" t="s">
        <v>265</v>
      </c>
      <c r="L147" s="96">
        <v>15</v>
      </c>
      <c r="M147" s="96">
        <f>L147*VLOOKUP(H147,dagsoorttabel1,2,FALSE)</f>
        <v>3.0749999999999997</v>
      </c>
      <c r="N147" s="97">
        <f>prodnorm4</f>
        <v>0</v>
      </c>
      <c r="O147" s="41">
        <f>dagwerk4</f>
        <v>0</v>
      </c>
      <c r="P147" s="94" t="s">
        <v>108</v>
      </c>
      <c r="Q147" s="26">
        <f>uurtarief4</f>
        <v>0</v>
      </c>
      <c r="R147" s="96" t="e">
        <f>IF(ISBLANK(N147),0,M147/ROUND(N147,4))</f>
        <v>#DIV/0!</v>
      </c>
      <c r="S147" s="96" t="e">
        <f>IF(ISBLANK(N147),0,R147*ROUND(O147,2))</f>
        <v>#DIV/0!</v>
      </c>
      <c r="T147" s="26" t="e">
        <f>ROUND(Q147,2)*R147</f>
        <v>#DIV/0!</v>
      </c>
      <c r="U147" s="96" t="e">
        <f>R147*dagenperjaar1</f>
        <v>#DIV/0!</v>
      </c>
      <c r="V147" s="27" t="e">
        <f>U147*ROUND(Q147,2)</f>
        <v>#DIV/0!</v>
      </c>
    </row>
    <row r="148" spans="1:22" x14ac:dyDescent="0.25">
      <c r="A148" s="93" t="s">
        <v>259</v>
      </c>
      <c r="B148" s="94" t="s">
        <v>41</v>
      </c>
      <c r="C148" s="94" t="s">
        <v>448</v>
      </c>
      <c r="D148" s="94" t="s">
        <v>481</v>
      </c>
      <c r="E148" s="95" t="s">
        <v>272</v>
      </c>
      <c r="F148" s="94" t="s">
        <v>336</v>
      </c>
      <c r="G148" s="94" t="s">
        <v>228</v>
      </c>
      <c r="H148" s="94" t="s">
        <v>9</v>
      </c>
      <c r="I148" s="94" t="s">
        <v>198</v>
      </c>
      <c r="J148" s="95" t="s">
        <v>229</v>
      </c>
      <c r="K148" s="94" t="s">
        <v>273</v>
      </c>
      <c r="L148" s="96">
        <v>273</v>
      </c>
      <c r="M148" s="96">
        <f>L148*VLOOKUP(H148,dagsoorttabel1,2,FALSE)</f>
        <v>279.82499999999999</v>
      </c>
      <c r="N148" s="97">
        <f>prodnorm18</f>
        <v>0</v>
      </c>
      <c r="O148" s="41">
        <f>dagwerk18</f>
        <v>0</v>
      </c>
      <c r="P148" s="94" t="s">
        <v>108</v>
      </c>
      <c r="Q148" s="26">
        <f>uurtarief18</f>
        <v>0</v>
      </c>
      <c r="R148" s="96" t="e">
        <f>IF(ISBLANK(N148),0,M148/ROUND(N148,4))</f>
        <v>#DIV/0!</v>
      </c>
      <c r="S148" s="96" t="e">
        <f>IF(ISBLANK(N148),0,R148*ROUND(O148,2))</f>
        <v>#DIV/0!</v>
      </c>
      <c r="T148" s="26" t="e">
        <f>ROUND(Q148,2)*R148</f>
        <v>#DIV/0!</v>
      </c>
      <c r="U148" s="96" t="e">
        <f>R148*dagenperjaar1</f>
        <v>#DIV/0!</v>
      </c>
      <c r="V148" s="27" t="e">
        <f>U148*ROUND(Q148,2)</f>
        <v>#DIV/0!</v>
      </c>
    </row>
    <row r="149" spans="1:22" x14ac:dyDescent="0.25">
      <c r="A149" s="93" t="s">
        <v>259</v>
      </c>
      <c r="B149" s="94" t="s">
        <v>41</v>
      </c>
      <c r="C149" s="94" t="s">
        <v>448</v>
      </c>
      <c r="D149" s="94" t="s">
        <v>482</v>
      </c>
      <c r="E149" s="95" t="s">
        <v>483</v>
      </c>
      <c r="F149" s="94" t="s">
        <v>336</v>
      </c>
      <c r="G149" s="94" t="s">
        <v>197</v>
      </c>
      <c r="H149" s="94" t="s">
        <v>16</v>
      </c>
      <c r="I149" s="94" t="s">
        <v>198</v>
      </c>
      <c r="J149" s="95" t="s">
        <v>199</v>
      </c>
      <c r="K149" s="94" t="s">
        <v>265</v>
      </c>
      <c r="L149" s="96">
        <v>41</v>
      </c>
      <c r="M149" s="96">
        <f>L149*VLOOKUP(H149,dagsoorttabel1,2,FALSE)</f>
        <v>8.4049999999999994</v>
      </c>
      <c r="N149" s="97">
        <f>prodnorm3</f>
        <v>0</v>
      </c>
      <c r="O149" s="41">
        <f>dagwerk3</f>
        <v>0</v>
      </c>
      <c r="P149" s="94" t="s">
        <v>108</v>
      </c>
      <c r="Q149" s="26">
        <f>uurtarief3</f>
        <v>0</v>
      </c>
      <c r="R149" s="96" t="e">
        <f>IF(ISBLANK(N149),0,M149/ROUND(N149,4))</f>
        <v>#DIV/0!</v>
      </c>
      <c r="S149" s="96" t="e">
        <f>IF(ISBLANK(N149),0,R149*ROUND(O149,2))</f>
        <v>#DIV/0!</v>
      </c>
      <c r="T149" s="26" t="e">
        <f>ROUND(Q149,2)*R149</f>
        <v>#DIV/0!</v>
      </c>
      <c r="U149" s="96" t="e">
        <f>R149*dagenperjaar1</f>
        <v>#DIV/0!</v>
      </c>
      <c r="V149" s="27" t="e">
        <f>U149*ROUND(Q149,2)</f>
        <v>#DIV/0!</v>
      </c>
    </row>
    <row r="150" spans="1:22" x14ac:dyDescent="0.25">
      <c r="A150" s="93" t="s">
        <v>259</v>
      </c>
      <c r="B150" s="94" t="s">
        <v>41</v>
      </c>
      <c r="C150" s="94" t="s">
        <v>448</v>
      </c>
      <c r="D150" s="94" t="s">
        <v>484</v>
      </c>
      <c r="E150" s="95" t="s">
        <v>483</v>
      </c>
      <c r="F150" s="94" t="s">
        <v>336</v>
      </c>
      <c r="G150" s="94" t="s">
        <v>197</v>
      </c>
      <c r="H150" s="94" t="s">
        <v>16</v>
      </c>
      <c r="I150" s="94" t="s">
        <v>198</v>
      </c>
      <c r="J150" s="95" t="s">
        <v>199</v>
      </c>
      <c r="K150" s="94" t="s">
        <v>265</v>
      </c>
      <c r="L150" s="96">
        <v>27</v>
      </c>
      <c r="M150" s="96">
        <f>L150*VLOOKUP(H150,dagsoorttabel1,2,FALSE)</f>
        <v>5.5349999999999993</v>
      </c>
      <c r="N150" s="97">
        <f>prodnorm3</f>
        <v>0</v>
      </c>
      <c r="O150" s="41">
        <f>dagwerk3</f>
        <v>0</v>
      </c>
      <c r="P150" s="94" t="s">
        <v>108</v>
      </c>
      <c r="Q150" s="26">
        <f>uurtarief3</f>
        <v>0</v>
      </c>
      <c r="R150" s="96" t="e">
        <f>IF(ISBLANK(N150),0,M150/ROUND(N150,4))</f>
        <v>#DIV/0!</v>
      </c>
      <c r="S150" s="96" t="e">
        <f>IF(ISBLANK(N150),0,R150*ROUND(O150,2))</f>
        <v>#DIV/0!</v>
      </c>
      <c r="T150" s="26" t="e">
        <f>ROUND(Q150,2)*R150</f>
        <v>#DIV/0!</v>
      </c>
      <c r="U150" s="96" t="e">
        <f>R150*dagenperjaar1</f>
        <v>#DIV/0!</v>
      </c>
      <c r="V150" s="27" t="e">
        <f>U150*ROUND(Q150,2)</f>
        <v>#DIV/0!</v>
      </c>
    </row>
    <row r="151" spans="1:22" x14ac:dyDescent="0.25">
      <c r="A151" s="93" t="s">
        <v>259</v>
      </c>
      <c r="B151" s="94" t="s">
        <v>41</v>
      </c>
      <c r="C151" s="94" t="s">
        <v>448</v>
      </c>
      <c r="D151" s="94" t="s">
        <v>485</v>
      </c>
      <c r="E151" s="95" t="s">
        <v>483</v>
      </c>
      <c r="F151" s="94" t="s">
        <v>336</v>
      </c>
      <c r="G151" s="94" t="s">
        <v>197</v>
      </c>
      <c r="H151" s="94" t="s">
        <v>16</v>
      </c>
      <c r="I151" s="94" t="s">
        <v>198</v>
      </c>
      <c r="J151" s="95" t="s">
        <v>199</v>
      </c>
      <c r="K151" s="94" t="s">
        <v>265</v>
      </c>
      <c r="L151" s="96">
        <v>15</v>
      </c>
      <c r="M151" s="96">
        <f>L151*VLOOKUP(H151,dagsoorttabel1,2,FALSE)</f>
        <v>3.0749999999999997</v>
      </c>
      <c r="N151" s="97">
        <f>prodnorm3</f>
        <v>0</v>
      </c>
      <c r="O151" s="41">
        <f>dagwerk3</f>
        <v>0</v>
      </c>
      <c r="P151" s="94" t="s">
        <v>108</v>
      </c>
      <c r="Q151" s="26">
        <f>uurtarief3</f>
        <v>0</v>
      </c>
      <c r="R151" s="96" t="e">
        <f>IF(ISBLANK(N151),0,M151/ROUND(N151,4))</f>
        <v>#DIV/0!</v>
      </c>
      <c r="S151" s="96" t="e">
        <f>IF(ISBLANK(N151),0,R151*ROUND(O151,2))</f>
        <v>#DIV/0!</v>
      </c>
      <c r="T151" s="26" t="e">
        <f>ROUND(Q151,2)*R151</f>
        <v>#DIV/0!</v>
      </c>
      <c r="U151" s="96" t="e">
        <f>R151*dagenperjaar1</f>
        <v>#DIV/0!</v>
      </c>
      <c r="V151" s="27" t="e">
        <f>U151*ROUND(Q151,2)</f>
        <v>#DIV/0!</v>
      </c>
    </row>
    <row r="152" spans="1:22" x14ac:dyDescent="0.25">
      <c r="A152" s="93" t="s">
        <v>259</v>
      </c>
      <c r="B152" s="94" t="s">
        <v>41</v>
      </c>
      <c r="C152" s="94" t="s">
        <v>448</v>
      </c>
      <c r="D152" s="94" t="s">
        <v>486</v>
      </c>
      <c r="E152" s="95" t="s">
        <v>487</v>
      </c>
      <c r="F152" s="94" t="s">
        <v>336</v>
      </c>
      <c r="G152" s="94" t="s">
        <v>218</v>
      </c>
      <c r="H152" s="94" t="s">
        <v>12</v>
      </c>
      <c r="I152" s="94" t="s">
        <v>198</v>
      </c>
      <c r="J152" s="95" t="s">
        <v>219</v>
      </c>
      <c r="K152" s="94" t="s">
        <v>337</v>
      </c>
      <c r="L152" s="96">
        <v>111</v>
      </c>
      <c r="M152" s="96">
        <f>L152*VLOOKUP(H152,dagsoorttabel1,2,FALSE)</f>
        <v>68.265000000000001</v>
      </c>
      <c r="N152" s="97">
        <f>prodnorm13</f>
        <v>0</v>
      </c>
      <c r="O152" s="41">
        <f>dagwerk13</f>
        <v>0</v>
      </c>
      <c r="P152" s="94" t="s">
        <v>108</v>
      </c>
      <c r="Q152" s="26">
        <f>uurtarief13</f>
        <v>0</v>
      </c>
      <c r="R152" s="96" t="e">
        <f>IF(ISBLANK(N152),0,M152/ROUND(N152,4))</f>
        <v>#DIV/0!</v>
      </c>
      <c r="S152" s="96" t="e">
        <f>IF(ISBLANK(N152),0,R152*ROUND(O152,2))</f>
        <v>#DIV/0!</v>
      </c>
      <c r="T152" s="26" t="e">
        <f>ROUND(Q152,2)*R152</f>
        <v>#DIV/0!</v>
      </c>
      <c r="U152" s="96" t="e">
        <f>R152*dagenperjaar1</f>
        <v>#DIV/0!</v>
      </c>
      <c r="V152" s="27" t="e">
        <f>U152*ROUND(Q152,2)</f>
        <v>#DIV/0!</v>
      </c>
    </row>
    <row r="153" spans="1:22" x14ac:dyDescent="0.25">
      <c r="A153" s="93" t="s">
        <v>259</v>
      </c>
      <c r="B153" s="94" t="s">
        <v>41</v>
      </c>
      <c r="C153" s="94" t="s">
        <v>448</v>
      </c>
      <c r="D153" s="94" t="s">
        <v>488</v>
      </c>
      <c r="E153" s="95" t="s">
        <v>489</v>
      </c>
      <c r="F153" s="94" t="s">
        <v>336</v>
      </c>
      <c r="G153" s="94" t="s">
        <v>214</v>
      </c>
      <c r="H153" s="94" t="s">
        <v>12</v>
      </c>
      <c r="I153" s="94" t="s">
        <v>198</v>
      </c>
      <c r="J153" s="95" t="s">
        <v>215</v>
      </c>
      <c r="K153" s="94" t="s">
        <v>41</v>
      </c>
      <c r="L153" s="96">
        <v>25</v>
      </c>
      <c r="M153" s="96">
        <f>L153*VLOOKUP(H153,dagsoorttabel1,2,FALSE)</f>
        <v>15.375</v>
      </c>
      <c r="N153" s="97">
        <f>prodnorm11</f>
        <v>0</v>
      </c>
      <c r="O153" s="41">
        <f>dagwerk11</f>
        <v>0</v>
      </c>
      <c r="P153" s="94" t="s">
        <v>108</v>
      </c>
      <c r="Q153" s="26">
        <f>uurtarief11</f>
        <v>0</v>
      </c>
      <c r="R153" s="96" t="e">
        <f>IF(ISBLANK(N153),0,M153/ROUND(N153,4))</f>
        <v>#DIV/0!</v>
      </c>
      <c r="S153" s="96" t="e">
        <f>IF(ISBLANK(N153),0,R153*ROUND(O153,2))</f>
        <v>#DIV/0!</v>
      </c>
      <c r="T153" s="26" t="e">
        <f>ROUND(Q153,2)*R153</f>
        <v>#DIV/0!</v>
      </c>
      <c r="U153" s="96" t="e">
        <f>R153*dagenperjaar1</f>
        <v>#DIV/0!</v>
      </c>
      <c r="V153" s="27" t="e">
        <f>U153*ROUND(Q153,2)</f>
        <v>#DIV/0!</v>
      </c>
    </row>
    <row r="154" spans="1:22" x14ac:dyDescent="0.25">
      <c r="A154" s="93" t="s">
        <v>259</v>
      </c>
      <c r="B154" s="94" t="s">
        <v>41</v>
      </c>
      <c r="C154" s="94" t="s">
        <v>448</v>
      </c>
      <c r="D154" s="94" t="s">
        <v>490</v>
      </c>
      <c r="E154" s="95" t="s">
        <v>491</v>
      </c>
      <c r="F154" s="94" t="s">
        <v>336</v>
      </c>
      <c r="G154" s="94" t="s">
        <v>268</v>
      </c>
      <c r="H154" s="94"/>
      <c r="I154" s="94"/>
      <c r="J154" s="94"/>
      <c r="K154" s="94" t="s">
        <v>41</v>
      </c>
      <c r="L154" s="96">
        <v>21</v>
      </c>
      <c r="M154" s="96"/>
      <c r="N154" s="97"/>
      <c r="O154" s="41"/>
      <c r="P154" s="94"/>
      <c r="Q154" s="26"/>
      <c r="R154" s="96"/>
      <c r="S154" s="96"/>
      <c r="T154" s="26"/>
      <c r="U154" s="98"/>
      <c r="V154" s="27"/>
    </row>
    <row r="155" spans="1:22" x14ac:dyDescent="0.25">
      <c r="A155" s="93" t="s">
        <v>259</v>
      </c>
      <c r="B155" s="94" t="s">
        <v>41</v>
      </c>
      <c r="C155" s="94" t="s">
        <v>448</v>
      </c>
      <c r="D155" s="94" t="s">
        <v>492</v>
      </c>
      <c r="E155" s="95" t="s">
        <v>493</v>
      </c>
      <c r="F155" s="94" t="s">
        <v>336</v>
      </c>
      <c r="G155" s="94" t="s">
        <v>197</v>
      </c>
      <c r="H155" s="94" t="s">
        <v>16</v>
      </c>
      <c r="I155" s="94" t="s">
        <v>198</v>
      </c>
      <c r="J155" s="95" t="s">
        <v>199</v>
      </c>
      <c r="K155" s="94" t="s">
        <v>265</v>
      </c>
      <c r="L155" s="96">
        <v>22</v>
      </c>
      <c r="M155" s="96">
        <f>L155*VLOOKUP(H155,dagsoorttabel1,2,FALSE)</f>
        <v>4.51</v>
      </c>
      <c r="N155" s="97">
        <f>prodnorm3</f>
        <v>0</v>
      </c>
      <c r="O155" s="41">
        <f>dagwerk3</f>
        <v>0</v>
      </c>
      <c r="P155" s="94" t="s">
        <v>108</v>
      </c>
      <c r="Q155" s="26">
        <f>uurtarief3</f>
        <v>0</v>
      </c>
      <c r="R155" s="96" t="e">
        <f>IF(ISBLANK(N155),0,M155/ROUND(N155,4))</f>
        <v>#DIV/0!</v>
      </c>
      <c r="S155" s="96" t="e">
        <f>IF(ISBLANK(N155),0,R155*ROUND(O155,2))</f>
        <v>#DIV/0!</v>
      </c>
      <c r="T155" s="26" t="e">
        <f>ROUND(Q155,2)*R155</f>
        <v>#DIV/0!</v>
      </c>
      <c r="U155" s="96" t="e">
        <f>R155*dagenperjaar1</f>
        <v>#DIV/0!</v>
      </c>
      <c r="V155" s="27" t="e">
        <f>U155*ROUND(Q155,2)</f>
        <v>#DIV/0!</v>
      </c>
    </row>
    <row r="156" spans="1:22" x14ac:dyDescent="0.25">
      <c r="A156" s="93" t="s">
        <v>259</v>
      </c>
      <c r="B156" s="94" t="s">
        <v>41</v>
      </c>
      <c r="C156" s="94" t="s">
        <v>448</v>
      </c>
      <c r="D156" s="94" t="s">
        <v>494</v>
      </c>
      <c r="E156" s="95" t="s">
        <v>495</v>
      </c>
      <c r="F156" s="94" t="s">
        <v>336</v>
      </c>
      <c r="G156" s="94" t="s">
        <v>268</v>
      </c>
      <c r="H156" s="94"/>
      <c r="I156" s="94"/>
      <c r="J156" s="94"/>
      <c r="K156" s="94" t="s">
        <v>41</v>
      </c>
      <c r="L156" s="96">
        <v>22</v>
      </c>
      <c r="M156" s="96"/>
      <c r="N156" s="97"/>
      <c r="O156" s="41"/>
      <c r="P156" s="94"/>
      <c r="Q156" s="26"/>
      <c r="R156" s="96"/>
      <c r="S156" s="96"/>
      <c r="T156" s="26"/>
      <c r="U156" s="98"/>
      <c r="V156" s="27"/>
    </row>
    <row r="157" spans="1:22" ht="23" x14ac:dyDescent="0.25">
      <c r="A157" s="93" t="s">
        <v>259</v>
      </c>
      <c r="B157" s="94" t="s">
        <v>41</v>
      </c>
      <c r="C157" s="94" t="s">
        <v>448</v>
      </c>
      <c r="D157" s="94" t="s">
        <v>496</v>
      </c>
      <c r="E157" s="95" t="s">
        <v>497</v>
      </c>
      <c r="F157" s="94" t="s">
        <v>336</v>
      </c>
      <c r="G157" s="94" t="s">
        <v>197</v>
      </c>
      <c r="H157" s="94" t="s">
        <v>16</v>
      </c>
      <c r="I157" s="94" t="s">
        <v>198</v>
      </c>
      <c r="J157" s="95" t="s">
        <v>199</v>
      </c>
      <c r="K157" s="94" t="s">
        <v>265</v>
      </c>
      <c r="L157" s="96">
        <v>18</v>
      </c>
      <c r="M157" s="96">
        <f>L157*VLOOKUP(H157,dagsoorttabel1,2,FALSE)</f>
        <v>3.69</v>
      </c>
      <c r="N157" s="97">
        <f>prodnorm3</f>
        <v>0</v>
      </c>
      <c r="O157" s="41">
        <f>dagwerk3</f>
        <v>0</v>
      </c>
      <c r="P157" s="94" t="s">
        <v>108</v>
      </c>
      <c r="Q157" s="26">
        <f>uurtarief3</f>
        <v>0</v>
      </c>
      <c r="R157" s="96" t="e">
        <f>IF(ISBLANK(N157),0,M157/ROUND(N157,4))</f>
        <v>#DIV/0!</v>
      </c>
      <c r="S157" s="96" t="e">
        <f>IF(ISBLANK(N157),0,R157*ROUND(O157,2))</f>
        <v>#DIV/0!</v>
      </c>
      <c r="T157" s="26" t="e">
        <f>ROUND(Q157,2)*R157</f>
        <v>#DIV/0!</v>
      </c>
      <c r="U157" s="96" t="e">
        <f>R157*dagenperjaar1</f>
        <v>#DIV/0!</v>
      </c>
      <c r="V157" s="27" t="e">
        <f>U157*ROUND(Q157,2)</f>
        <v>#DIV/0!</v>
      </c>
    </row>
    <row r="158" spans="1:22" x14ac:dyDescent="0.25">
      <c r="A158" s="93" t="s">
        <v>259</v>
      </c>
      <c r="B158" s="94" t="s">
        <v>41</v>
      </c>
      <c r="C158" s="94" t="s">
        <v>448</v>
      </c>
      <c r="D158" s="94" t="s">
        <v>498</v>
      </c>
      <c r="E158" s="95" t="s">
        <v>280</v>
      </c>
      <c r="F158" s="94" t="s">
        <v>300</v>
      </c>
      <c r="G158" s="94" t="s">
        <v>236</v>
      </c>
      <c r="H158" s="94" t="s">
        <v>9</v>
      </c>
      <c r="I158" s="94" t="s">
        <v>198</v>
      </c>
      <c r="J158" s="95" t="s">
        <v>237</v>
      </c>
      <c r="K158" s="94" t="s">
        <v>273</v>
      </c>
      <c r="L158" s="96">
        <v>54</v>
      </c>
      <c r="M158" s="96">
        <f>L158*VLOOKUP(H158,dagsoorttabel1,2,FALSE)</f>
        <v>55.349999999999994</v>
      </c>
      <c r="N158" s="97">
        <f>prodnorm22</f>
        <v>0</v>
      </c>
      <c r="O158" s="41">
        <f>dagwerk22</f>
        <v>0</v>
      </c>
      <c r="P158" s="94" t="s">
        <v>108</v>
      </c>
      <c r="Q158" s="26">
        <f>uurtarief22</f>
        <v>0</v>
      </c>
      <c r="R158" s="96" t="e">
        <f>IF(ISBLANK(N158),0,M158/ROUND(N158,4))</f>
        <v>#DIV/0!</v>
      </c>
      <c r="S158" s="96" t="e">
        <f>IF(ISBLANK(N158),0,R158*ROUND(O158,2))</f>
        <v>#DIV/0!</v>
      </c>
      <c r="T158" s="26" t="e">
        <f>ROUND(Q158,2)*R158</f>
        <v>#DIV/0!</v>
      </c>
      <c r="U158" s="96" t="e">
        <f>R158*dagenperjaar1</f>
        <v>#DIV/0!</v>
      </c>
      <c r="V158" s="27" t="e">
        <f>U158*ROUND(Q158,2)</f>
        <v>#DIV/0!</v>
      </c>
    </row>
    <row r="159" spans="1:22" x14ac:dyDescent="0.25">
      <c r="A159" s="93" t="s">
        <v>259</v>
      </c>
      <c r="B159" s="94" t="s">
        <v>41</v>
      </c>
      <c r="C159" s="94" t="s">
        <v>448</v>
      </c>
      <c r="D159" s="94" t="s">
        <v>499</v>
      </c>
      <c r="E159" s="95" t="s">
        <v>410</v>
      </c>
      <c r="F159" s="94" t="s">
        <v>41</v>
      </c>
      <c r="G159" s="94" t="s">
        <v>268</v>
      </c>
      <c r="H159" s="94"/>
      <c r="I159" s="94"/>
      <c r="J159" s="94"/>
      <c r="K159" s="94" t="s">
        <v>41</v>
      </c>
      <c r="L159" s="96">
        <v>4</v>
      </c>
      <c r="M159" s="96"/>
      <c r="N159" s="97"/>
      <c r="O159" s="41"/>
      <c r="P159" s="94"/>
      <c r="Q159" s="26"/>
      <c r="R159" s="96"/>
      <c r="S159" s="96"/>
      <c r="T159" s="26"/>
      <c r="U159" s="98"/>
      <c r="V159" s="27"/>
    </row>
    <row r="160" spans="1:22" x14ac:dyDescent="0.25">
      <c r="A160" s="93" t="s">
        <v>259</v>
      </c>
      <c r="B160" s="94" t="s">
        <v>41</v>
      </c>
      <c r="C160" s="94" t="s">
        <v>448</v>
      </c>
      <c r="D160" s="94" t="s">
        <v>500</v>
      </c>
      <c r="E160" s="95" t="s">
        <v>479</v>
      </c>
      <c r="F160" s="94" t="s">
        <v>295</v>
      </c>
      <c r="G160" s="94" t="s">
        <v>232</v>
      </c>
      <c r="H160" s="94" t="s">
        <v>9</v>
      </c>
      <c r="I160" s="94" t="s">
        <v>198</v>
      </c>
      <c r="J160" s="95" t="s">
        <v>233</v>
      </c>
      <c r="K160" s="94" t="s">
        <v>273</v>
      </c>
      <c r="L160" s="96">
        <v>4</v>
      </c>
      <c r="M160" s="96">
        <f>L160*VLOOKUP(H160,dagsoorttabel1,2,FALSE)</f>
        <v>4.0999999999999996</v>
      </c>
      <c r="N160" s="97">
        <f>prodnorm20</f>
        <v>0</v>
      </c>
      <c r="O160" s="41">
        <f>dagwerk20</f>
        <v>0</v>
      </c>
      <c r="P160" s="94" t="s">
        <v>108</v>
      </c>
      <c r="Q160" s="26">
        <f>uurtarief20</f>
        <v>0</v>
      </c>
      <c r="R160" s="96" t="e">
        <f>IF(ISBLANK(N160),0,M160/ROUND(N160,4))</f>
        <v>#DIV/0!</v>
      </c>
      <c r="S160" s="96" t="e">
        <f>IF(ISBLANK(N160),0,R160*ROUND(O160,2))</f>
        <v>#DIV/0!</v>
      </c>
      <c r="T160" s="26" t="e">
        <f>ROUND(Q160,2)*R160</f>
        <v>#DIV/0!</v>
      </c>
      <c r="U160" s="96" t="e">
        <f>R160*dagenperjaar1</f>
        <v>#DIV/0!</v>
      </c>
      <c r="V160" s="27" t="e">
        <f>U160*ROUND(Q160,2)</f>
        <v>#DIV/0!</v>
      </c>
    </row>
    <row r="161" spans="1:22" x14ac:dyDescent="0.25">
      <c r="A161" s="93" t="s">
        <v>259</v>
      </c>
      <c r="B161" s="94" t="s">
        <v>41</v>
      </c>
      <c r="C161" s="94" t="s">
        <v>448</v>
      </c>
      <c r="D161" s="94" t="s">
        <v>501</v>
      </c>
      <c r="E161" s="95" t="s">
        <v>502</v>
      </c>
      <c r="F161" s="94" t="s">
        <v>300</v>
      </c>
      <c r="G161" s="94" t="s">
        <v>224</v>
      </c>
      <c r="H161" s="94" t="s">
        <v>9</v>
      </c>
      <c r="I161" s="94" t="s">
        <v>198</v>
      </c>
      <c r="J161" s="95" t="s">
        <v>225</v>
      </c>
      <c r="K161" s="94" t="s">
        <v>296</v>
      </c>
      <c r="L161" s="96">
        <v>14</v>
      </c>
      <c r="M161" s="96">
        <f>L161*VLOOKUP(H161,dagsoorttabel1,2,FALSE)</f>
        <v>14.349999999999998</v>
      </c>
      <c r="N161" s="97">
        <f>prodnorm16</f>
        <v>0</v>
      </c>
      <c r="O161" s="41">
        <f>dagwerk16</f>
        <v>0</v>
      </c>
      <c r="P161" s="94" t="s">
        <v>108</v>
      </c>
      <c r="Q161" s="26">
        <f>uurtarief16</f>
        <v>0</v>
      </c>
      <c r="R161" s="96" t="e">
        <f>IF(ISBLANK(N161),0,M161/ROUND(N161,4))</f>
        <v>#DIV/0!</v>
      </c>
      <c r="S161" s="96" t="e">
        <f>IF(ISBLANK(N161),0,R161*ROUND(O161,2))</f>
        <v>#DIV/0!</v>
      </c>
      <c r="T161" s="26" t="e">
        <f>ROUND(Q161,2)*R161</f>
        <v>#DIV/0!</v>
      </c>
      <c r="U161" s="96" t="e">
        <f>R161*dagenperjaar1</f>
        <v>#DIV/0!</v>
      </c>
      <c r="V161" s="27" t="e">
        <f>U161*ROUND(Q161,2)</f>
        <v>#DIV/0!</v>
      </c>
    </row>
    <row r="162" spans="1:22" x14ac:dyDescent="0.25">
      <c r="A162" s="93" t="s">
        <v>259</v>
      </c>
      <c r="B162" s="94" t="s">
        <v>41</v>
      </c>
      <c r="C162" s="94" t="s">
        <v>448</v>
      </c>
      <c r="D162" s="94" t="s">
        <v>503</v>
      </c>
      <c r="E162" s="95" t="s">
        <v>504</v>
      </c>
      <c r="F162" s="94" t="s">
        <v>336</v>
      </c>
      <c r="G162" s="94" t="s">
        <v>200</v>
      </c>
      <c r="H162" s="94" t="s">
        <v>16</v>
      </c>
      <c r="I162" s="94" t="s">
        <v>198</v>
      </c>
      <c r="J162" s="95" t="s">
        <v>201</v>
      </c>
      <c r="K162" s="94" t="s">
        <v>265</v>
      </c>
      <c r="L162" s="96">
        <v>8</v>
      </c>
      <c r="M162" s="96">
        <f>L162*VLOOKUP(H162,dagsoorttabel1,2,FALSE)</f>
        <v>1.64</v>
      </c>
      <c r="N162" s="97">
        <f>prodnorm4</f>
        <v>0</v>
      </c>
      <c r="O162" s="41">
        <f>dagwerk4</f>
        <v>0</v>
      </c>
      <c r="P162" s="94" t="s">
        <v>108</v>
      </c>
      <c r="Q162" s="26">
        <f>uurtarief4</f>
        <v>0</v>
      </c>
      <c r="R162" s="96" t="e">
        <f>IF(ISBLANK(N162),0,M162/ROUND(N162,4))</f>
        <v>#DIV/0!</v>
      </c>
      <c r="S162" s="96" t="e">
        <f>IF(ISBLANK(N162),0,R162*ROUND(O162,2))</f>
        <v>#DIV/0!</v>
      </c>
      <c r="T162" s="26" t="e">
        <f>ROUND(Q162,2)*R162</f>
        <v>#DIV/0!</v>
      </c>
      <c r="U162" s="96" t="e">
        <f>R162*dagenperjaar1</f>
        <v>#DIV/0!</v>
      </c>
      <c r="V162" s="27" t="e">
        <f>U162*ROUND(Q162,2)</f>
        <v>#DIV/0!</v>
      </c>
    </row>
    <row r="163" spans="1:22" x14ac:dyDescent="0.25">
      <c r="A163" s="93" t="s">
        <v>259</v>
      </c>
      <c r="B163" s="94" t="s">
        <v>41</v>
      </c>
      <c r="C163" s="94" t="s">
        <v>448</v>
      </c>
      <c r="D163" s="94" t="s">
        <v>505</v>
      </c>
      <c r="E163" s="95" t="s">
        <v>502</v>
      </c>
      <c r="F163" s="94" t="s">
        <v>300</v>
      </c>
      <c r="G163" s="94" t="s">
        <v>224</v>
      </c>
      <c r="H163" s="94" t="s">
        <v>9</v>
      </c>
      <c r="I163" s="94" t="s">
        <v>198</v>
      </c>
      <c r="J163" s="95" t="s">
        <v>225</v>
      </c>
      <c r="K163" s="94" t="s">
        <v>296</v>
      </c>
      <c r="L163" s="96">
        <v>15</v>
      </c>
      <c r="M163" s="96">
        <f>L163*VLOOKUP(H163,dagsoorttabel1,2,FALSE)</f>
        <v>15.374999999999998</v>
      </c>
      <c r="N163" s="97">
        <f>prodnorm16</f>
        <v>0</v>
      </c>
      <c r="O163" s="41">
        <f>dagwerk16</f>
        <v>0</v>
      </c>
      <c r="P163" s="94" t="s">
        <v>108</v>
      </c>
      <c r="Q163" s="26">
        <f>uurtarief16</f>
        <v>0</v>
      </c>
      <c r="R163" s="96" t="e">
        <f>IF(ISBLANK(N163),0,M163/ROUND(N163,4))</f>
        <v>#DIV/0!</v>
      </c>
      <c r="S163" s="96" t="e">
        <f>IF(ISBLANK(N163),0,R163*ROUND(O163,2))</f>
        <v>#DIV/0!</v>
      </c>
      <c r="T163" s="26" t="e">
        <f>ROUND(Q163,2)*R163</f>
        <v>#DIV/0!</v>
      </c>
      <c r="U163" s="96" t="e">
        <f>R163*dagenperjaar1</f>
        <v>#DIV/0!</v>
      </c>
      <c r="V163" s="27" t="e">
        <f>U163*ROUND(Q163,2)</f>
        <v>#DIV/0!</v>
      </c>
    </row>
    <row r="164" spans="1:22" x14ac:dyDescent="0.25">
      <c r="A164" s="93" t="s">
        <v>259</v>
      </c>
      <c r="B164" s="94" t="s">
        <v>41</v>
      </c>
      <c r="C164" s="94" t="s">
        <v>448</v>
      </c>
      <c r="D164" s="94" t="s">
        <v>506</v>
      </c>
      <c r="E164" s="95" t="s">
        <v>507</v>
      </c>
      <c r="F164" s="94" t="s">
        <v>300</v>
      </c>
      <c r="G164" s="94" t="s">
        <v>268</v>
      </c>
      <c r="H164" s="94"/>
      <c r="I164" s="94"/>
      <c r="J164" s="94"/>
      <c r="K164" s="94" t="s">
        <v>41</v>
      </c>
      <c r="L164" s="96">
        <v>4</v>
      </c>
      <c r="M164" s="96"/>
      <c r="N164" s="97"/>
      <c r="O164" s="41"/>
      <c r="P164" s="94"/>
      <c r="Q164" s="26"/>
      <c r="R164" s="96"/>
      <c r="S164" s="96"/>
      <c r="T164" s="26"/>
      <c r="U164" s="98"/>
      <c r="V164" s="27"/>
    </row>
    <row r="165" spans="1:22" x14ac:dyDescent="0.25">
      <c r="A165" s="93" t="s">
        <v>259</v>
      </c>
      <c r="B165" s="94" t="s">
        <v>41</v>
      </c>
      <c r="C165" s="94" t="s">
        <v>448</v>
      </c>
      <c r="D165" s="94" t="s">
        <v>508</v>
      </c>
      <c r="E165" s="95" t="s">
        <v>509</v>
      </c>
      <c r="F165" s="94" t="s">
        <v>336</v>
      </c>
      <c r="G165" s="94" t="s">
        <v>197</v>
      </c>
      <c r="H165" s="94" t="s">
        <v>16</v>
      </c>
      <c r="I165" s="94" t="s">
        <v>198</v>
      </c>
      <c r="J165" s="95" t="s">
        <v>199</v>
      </c>
      <c r="K165" s="94" t="s">
        <v>265</v>
      </c>
      <c r="L165" s="96">
        <v>16</v>
      </c>
      <c r="M165" s="96">
        <f>L165*VLOOKUP(H165,dagsoorttabel1,2,FALSE)</f>
        <v>3.28</v>
      </c>
      <c r="N165" s="97">
        <f>prodnorm3</f>
        <v>0</v>
      </c>
      <c r="O165" s="41">
        <f>dagwerk3</f>
        <v>0</v>
      </c>
      <c r="P165" s="94" t="s">
        <v>108</v>
      </c>
      <c r="Q165" s="26">
        <f>uurtarief3</f>
        <v>0</v>
      </c>
      <c r="R165" s="96" t="e">
        <f>IF(ISBLANK(N165),0,M165/ROUND(N165,4))</f>
        <v>#DIV/0!</v>
      </c>
      <c r="S165" s="96" t="e">
        <f>IF(ISBLANK(N165),0,R165*ROUND(O165,2))</f>
        <v>#DIV/0!</v>
      </c>
      <c r="T165" s="26" t="e">
        <f>ROUND(Q165,2)*R165</f>
        <v>#DIV/0!</v>
      </c>
      <c r="U165" s="96" t="e">
        <f>R165*dagenperjaar1</f>
        <v>#DIV/0!</v>
      </c>
      <c r="V165" s="27" t="e">
        <f>U165*ROUND(Q165,2)</f>
        <v>#DIV/0!</v>
      </c>
    </row>
    <row r="166" spans="1:22" x14ac:dyDescent="0.25">
      <c r="A166" s="93" t="s">
        <v>259</v>
      </c>
      <c r="B166" s="94" t="s">
        <v>41</v>
      </c>
      <c r="C166" s="94" t="s">
        <v>448</v>
      </c>
      <c r="D166" s="94" t="s">
        <v>510</v>
      </c>
      <c r="E166" s="95" t="s">
        <v>511</v>
      </c>
      <c r="F166" s="94" t="s">
        <v>336</v>
      </c>
      <c r="G166" s="94" t="s">
        <v>197</v>
      </c>
      <c r="H166" s="94" t="s">
        <v>16</v>
      </c>
      <c r="I166" s="94" t="s">
        <v>198</v>
      </c>
      <c r="J166" s="95" t="s">
        <v>199</v>
      </c>
      <c r="K166" s="94" t="s">
        <v>265</v>
      </c>
      <c r="L166" s="96">
        <v>17</v>
      </c>
      <c r="M166" s="96">
        <f>L166*VLOOKUP(H166,dagsoorttabel1,2,FALSE)</f>
        <v>3.4849999999999999</v>
      </c>
      <c r="N166" s="97">
        <f>prodnorm3</f>
        <v>0</v>
      </c>
      <c r="O166" s="41">
        <f>dagwerk3</f>
        <v>0</v>
      </c>
      <c r="P166" s="94" t="s">
        <v>108</v>
      </c>
      <c r="Q166" s="26">
        <f>uurtarief3</f>
        <v>0</v>
      </c>
      <c r="R166" s="96" t="e">
        <f>IF(ISBLANK(N166),0,M166/ROUND(N166,4))</f>
        <v>#DIV/0!</v>
      </c>
      <c r="S166" s="96" t="e">
        <f>IF(ISBLANK(N166),0,R166*ROUND(O166,2))</f>
        <v>#DIV/0!</v>
      </c>
      <c r="T166" s="26" t="e">
        <f>ROUND(Q166,2)*R166</f>
        <v>#DIV/0!</v>
      </c>
      <c r="U166" s="96" t="e">
        <f>R166*dagenperjaar1</f>
        <v>#DIV/0!</v>
      </c>
      <c r="V166" s="27" t="e">
        <f>U166*ROUND(Q166,2)</f>
        <v>#DIV/0!</v>
      </c>
    </row>
    <row r="167" spans="1:22" x14ac:dyDescent="0.25">
      <c r="A167" s="93" t="s">
        <v>259</v>
      </c>
      <c r="B167" s="94" t="s">
        <v>41</v>
      </c>
      <c r="C167" s="94" t="s">
        <v>448</v>
      </c>
      <c r="D167" s="94" t="s">
        <v>512</v>
      </c>
      <c r="E167" s="95" t="s">
        <v>513</v>
      </c>
      <c r="F167" s="94" t="s">
        <v>336</v>
      </c>
      <c r="G167" s="94" t="s">
        <v>204</v>
      </c>
      <c r="H167" s="94" t="s">
        <v>9</v>
      </c>
      <c r="I167" s="94" t="s">
        <v>198</v>
      </c>
      <c r="J167" s="95" t="s">
        <v>205</v>
      </c>
      <c r="K167" s="94" t="s">
        <v>273</v>
      </c>
      <c r="L167" s="96">
        <v>171</v>
      </c>
      <c r="M167" s="96">
        <f>L167*VLOOKUP(H167,dagsoorttabel1,2,FALSE)</f>
        <v>175.27499999999998</v>
      </c>
      <c r="N167" s="97">
        <f>prodnorm6</f>
        <v>0</v>
      </c>
      <c r="O167" s="41">
        <f>dagwerk6</f>
        <v>0</v>
      </c>
      <c r="P167" s="94" t="s">
        <v>108</v>
      </c>
      <c r="Q167" s="26">
        <f>uurtarief6</f>
        <v>0</v>
      </c>
      <c r="R167" s="96" t="e">
        <f>IF(ISBLANK(N167),0,M167/ROUND(N167,4))</f>
        <v>#DIV/0!</v>
      </c>
      <c r="S167" s="96" t="e">
        <f>IF(ISBLANK(N167),0,R167*ROUND(O167,2))</f>
        <v>#DIV/0!</v>
      </c>
      <c r="T167" s="26" t="e">
        <f>ROUND(Q167,2)*R167</f>
        <v>#DIV/0!</v>
      </c>
      <c r="U167" s="96" t="e">
        <f>R167*dagenperjaar1</f>
        <v>#DIV/0!</v>
      </c>
      <c r="V167" s="27" t="e">
        <f>U167*ROUND(Q167,2)</f>
        <v>#DIV/0!</v>
      </c>
    </row>
    <row r="168" spans="1:22" ht="23" x14ac:dyDescent="0.25">
      <c r="A168" s="93" t="s">
        <v>259</v>
      </c>
      <c r="B168" s="94" t="s">
        <v>41</v>
      </c>
      <c r="C168" s="94" t="s">
        <v>448</v>
      </c>
      <c r="D168" s="94" t="s">
        <v>514</v>
      </c>
      <c r="E168" s="95" t="s">
        <v>515</v>
      </c>
      <c r="F168" s="94" t="s">
        <v>336</v>
      </c>
      <c r="G168" s="94" t="s">
        <v>268</v>
      </c>
      <c r="H168" s="94"/>
      <c r="I168" s="94"/>
      <c r="J168" s="94"/>
      <c r="K168" s="94" t="s">
        <v>41</v>
      </c>
      <c r="L168" s="96">
        <v>18</v>
      </c>
      <c r="M168" s="96"/>
      <c r="N168" s="97"/>
      <c r="O168" s="41"/>
      <c r="P168" s="94"/>
      <c r="Q168" s="26"/>
      <c r="R168" s="96"/>
      <c r="S168" s="96"/>
      <c r="T168" s="26"/>
      <c r="U168" s="98"/>
      <c r="V168" s="27"/>
    </row>
    <row r="169" spans="1:22" x14ac:dyDescent="0.25">
      <c r="A169" s="93" t="s">
        <v>259</v>
      </c>
      <c r="B169" s="94" t="s">
        <v>41</v>
      </c>
      <c r="C169" s="94" t="s">
        <v>448</v>
      </c>
      <c r="D169" s="94" t="s">
        <v>516</v>
      </c>
      <c r="E169" s="95" t="s">
        <v>309</v>
      </c>
      <c r="F169" s="94" t="s">
        <v>310</v>
      </c>
      <c r="G169" s="94" t="s">
        <v>268</v>
      </c>
      <c r="H169" s="94"/>
      <c r="I169" s="94"/>
      <c r="J169" s="94"/>
      <c r="K169" s="94" t="s">
        <v>41</v>
      </c>
      <c r="L169" s="96">
        <v>40</v>
      </c>
      <c r="M169" s="96"/>
      <c r="N169" s="97"/>
      <c r="O169" s="41"/>
      <c r="P169" s="94"/>
      <c r="Q169" s="26"/>
      <c r="R169" s="96"/>
      <c r="S169" s="96"/>
      <c r="T169" s="26"/>
      <c r="U169" s="98"/>
      <c r="V169" s="27"/>
    </row>
    <row r="170" spans="1:22" x14ac:dyDescent="0.25">
      <c r="A170" s="93" t="s">
        <v>259</v>
      </c>
      <c r="B170" s="94" t="s">
        <v>41</v>
      </c>
      <c r="C170" s="94" t="s">
        <v>448</v>
      </c>
      <c r="D170" s="94" t="s">
        <v>517</v>
      </c>
      <c r="E170" s="95" t="s">
        <v>518</v>
      </c>
      <c r="F170" s="94" t="s">
        <v>283</v>
      </c>
      <c r="G170" s="94" t="s">
        <v>268</v>
      </c>
      <c r="H170" s="94"/>
      <c r="I170" s="94"/>
      <c r="J170" s="94"/>
      <c r="K170" s="94" t="s">
        <v>41</v>
      </c>
      <c r="L170" s="96">
        <v>20</v>
      </c>
      <c r="M170" s="96"/>
      <c r="N170" s="97"/>
      <c r="O170" s="41"/>
      <c r="P170" s="94"/>
      <c r="Q170" s="26"/>
      <c r="R170" s="96"/>
      <c r="S170" s="96"/>
      <c r="T170" s="26"/>
      <c r="U170" s="98"/>
      <c r="V170" s="27"/>
    </row>
    <row r="171" spans="1:22" x14ac:dyDescent="0.25">
      <c r="A171" s="93" t="s">
        <v>259</v>
      </c>
      <c r="B171" s="94" t="s">
        <v>41</v>
      </c>
      <c r="C171" s="94" t="s">
        <v>448</v>
      </c>
      <c r="D171" s="94" t="s">
        <v>519</v>
      </c>
      <c r="E171" s="95" t="s">
        <v>302</v>
      </c>
      <c r="F171" s="94" t="s">
        <v>336</v>
      </c>
      <c r="G171" s="94" t="s">
        <v>234</v>
      </c>
      <c r="H171" s="94" t="s">
        <v>9</v>
      </c>
      <c r="I171" s="94" t="s">
        <v>198</v>
      </c>
      <c r="J171" s="95" t="s">
        <v>235</v>
      </c>
      <c r="K171" s="94" t="s">
        <v>273</v>
      </c>
      <c r="L171" s="96">
        <v>17</v>
      </c>
      <c r="M171" s="96">
        <f>L171*VLOOKUP(H171,dagsoorttabel1,2,FALSE)</f>
        <v>17.424999999999997</v>
      </c>
      <c r="N171" s="97">
        <f>prodnorm21</f>
        <v>0</v>
      </c>
      <c r="O171" s="41">
        <f>dagwerk21</f>
        <v>0</v>
      </c>
      <c r="P171" s="94" t="s">
        <v>108</v>
      </c>
      <c r="Q171" s="26">
        <f>uurtarief21</f>
        <v>0</v>
      </c>
      <c r="R171" s="96" t="e">
        <f>IF(ISBLANK(N171),0,M171/ROUND(N171,4))</f>
        <v>#DIV/0!</v>
      </c>
      <c r="S171" s="96" t="e">
        <f>IF(ISBLANK(N171),0,R171*ROUND(O171,2))</f>
        <v>#DIV/0!</v>
      </c>
      <c r="T171" s="26" t="e">
        <f>ROUND(Q171,2)*R171</f>
        <v>#DIV/0!</v>
      </c>
      <c r="U171" s="96" t="e">
        <f>R171*dagenperjaar1</f>
        <v>#DIV/0!</v>
      </c>
      <c r="V171" s="27" t="e">
        <f>U171*ROUND(Q171,2)</f>
        <v>#DIV/0!</v>
      </c>
    </row>
    <row r="172" spans="1:22" x14ac:dyDescent="0.25">
      <c r="A172" s="93" t="s">
        <v>259</v>
      </c>
      <c r="B172" s="94" t="s">
        <v>41</v>
      </c>
      <c r="C172" s="94" t="s">
        <v>448</v>
      </c>
      <c r="D172" s="94" t="s">
        <v>520</v>
      </c>
      <c r="E172" s="95" t="s">
        <v>444</v>
      </c>
      <c r="F172" s="94" t="s">
        <v>336</v>
      </c>
      <c r="G172" s="94" t="s">
        <v>204</v>
      </c>
      <c r="H172" s="94" t="s">
        <v>9</v>
      </c>
      <c r="I172" s="94" t="s">
        <v>198</v>
      </c>
      <c r="J172" s="95" t="s">
        <v>205</v>
      </c>
      <c r="K172" s="94" t="s">
        <v>273</v>
      </c>
      <c r="L172" s="96">
        <v>25</v>
      </c>
      <c r="M172" s="96">
        <f>L172*VLOOKUP(H172,dagsoorttabel1,2,FALSE)</f>
        <v>25.624999999999996</v>
      </c>
      <c r="N172" s="97">
        <f>prodnorm6</f>
        <v>0</v>
      </c>
      <c r="O172" s="41">
        <f>dagwerk6</f>
        <v>0</v>
      </c>
      <c r="P172" s="94" t="s">
        <v>108</v>
      </c>
      <c r="Q172" s="26">
        <f>uurtarief6</f>
        <v>0</v>
      </c>
      <c r="R172" s="96" t="e">
        <f>IF(ISBLANK(N172),0,M172/ROUND(N172,4))</f>
        <v>#DIV/0!</v>
      </c>
      <c r="S172" s="96" t="e">
        <f>IF(ISBLANK(N172),0,R172*ROUND(O172,2))</f>
        <v>#DIV/0!</v>
      </c>
      <c r="T172" s="26" t="e">
        <f>ROUND(Q172,2)*R172</f>
        <v>#DIV/0!</v>
      </c>
      <c r="U172" s="96" t="e">
        <f>R172*dagenperjaar1</f>
        <v>#DIV/0!</v>
      </c>
      <c r="V172" s="27" t="e">
        <f>U172*ROUND(Q172,2)</f>
        <v>#DIV/0!</v>
      </c>
    </row>
    <row r="173" spans="1:22" x14ac:dyDescent="0.25">
      <c r="A173" s="93" t="s">
        <v>259</v>
      </c>
      <c r="B173" s="94" t="s">
        <v>41</v>
      </c>
      <c r="C173" s="94" t="s">
        <v>448</v>
      </c>
      <c r="D173" s="94" t="s">
        <v>521</v>
      </c>
      <c r="E173" s="95" t="s">
        <v>444</v>
      </c>
      <c r="F173" s="94" t="s">
        <v>336</v>
      </c>
      <c r="G173" s="94" t="s">
        <v>204</v>
      </c>
      <c r="H173" s="94" t="s">
        <v>9</v>
      </c>
      <c r="I173" s="94" t="s">
        <v>198</v>
      </c>
      <c r="J173" s="95" t="s">
        <v>205</v>
      </c>
      <c r="K173" s="94" t="s">
        <v>273</v>
      </c>
      <c r="L173" s="96">
        <v>34</v>
      </c>
      <c r="M173" s="96">
        <f>L173*VLOOKUP(H173,dagsoorttabel1,2,FALSE)</f>
        <v>34.849999999999994</v>
      </c>
      <c r="N173" s="97">
        <f>prodnorm6</f>
        <v>0</v>
      </c>
      <c r="O173" s="41">
        <f>dagwerk6</f>
        <v>0</v>
      </c>
      <c r="P173" s="94" t="s">
        <v>108</v>
      </c>
      <c r="Q173" s="26">
        <f>uurtarief6</f>
        <v>0</v>
      </c>
      <c r="R173" s="96" t="e">
        <f>IF(ISBLANK(N173),0,M173/ROUND(N173,4))</f>
        <v>#DIV/0!</v>
      </c>
      <c r="S173" s="96" t="e">
        <f>IF(ISBLANK(N173),0,R173*ROUND(O173,2))</f>
        <v>#DIV/0!</v>
      </c>
      <c r="T173" s="26" t="e">
        <f>ROUND(Q173,2)*R173</f>
        <v>#DIV/0!</v>
      </c>
      <c r="U173" s="96" t="e">
        <f>R173*dagenperjaar1</f>
        <v>#DIV/0!</v>
      </c>
      <c r="V173" s="27" t="e">
        <f>U173*ROUND(Q173,2)</f>
        <v>#DIV/0!</v>
      </c>
    </row>
    <row r="174" spans="1:22" x14ac:dyDescent="0.25">
      <c r="A174" s="93" t="s">
        <v>259</v>
      </c>
      <c r="B174" s="94" t="s">
        <v>41</v>
      </c>
      <c r="C174" s="94" t="s">
        <v>522</v>
      </c>
      <c r="D174" s="94" t="s">
        <v>523</v>
      </c>
      <c r="E174" s="95" t="s">
        <v>524</v>
      </c>
      <c r="F174" s="94" t="s">
        <v>336</v>
      </c>
      <c r="G174" s="94" t="s">
        <v>200</v>
      </c>
      <c r="H174" s="94" t="s">
        <v>16</v>
      </c>
      <c r="I174" s="94" t="s">
        <v>198</v>
      </c>
      <c r="J174" s="95" t="s">
        <v>201</v>
      </c>
      <c r="K174" s="94" t="s">
        <v>265</v>
      </c>
      <c r="L174" s="96">
        <v>9</v>
      </c>
      <c r="M174" s="96">
        <f>L174*VLOOKUP(H174,dagsoorttabel1,2,FALSE)</f>
        <v>1.845</v>
      </c>
      <c r="N174" s="97">
        <f>prodnorm4</f>
        <v>0</v>
      </c>
      <c r="O174" s="41">
        <f>dagwerk4</f>
        <v>0</v>
      </c>
      <c r="P174" s="94" t="s">
        <v>108</v>
      </c>
      <c r="Q174" s="26">
        <f>uurtarief4</f>
        <v>0</v>
      </c>
      <c r="R174" s="96" t="e">
        <f>IF(ISBLANK(N174),0,M174/ROUND(N174,4))</f>
        <v>#DIV/0!</v>
      </c>
      <c r="S174" s="96" t="e">
        <f>IF(ISBLANK(N174),0,R174*ROUND(O174,2))</f>
        <v>#DIV/0!</v>
      </c>
      <c r="T174" s="26" t="e">
        <f>ROUND(Q174,2)*R174</f>
        <v>#DIV/0!</v>
      </c>
      <c r="U174" s="96" t="e">
        <f>R174*dagenperjaar1</f>
        <v>#DIV/0!</v>
      </c>
      <c r="V174" s="27" t="e">
        <f>U174*ROUND(Q174,2)</f>
        <v>#DIV/0!</v>
      </c>
    </row>
    <row r="175" spans="1:22" x14ac:dyDescent="0.25">
      <c r="A175" s="93" t="s">
        <v>259</v>
      </c>
      <c r="B175" s="94" t="s">
        <v>41</v>
      </c>
      <c r="C175" s="94" t="s">
        <v>522</v>
      </c>
      <c r="D175" s="94" t="s">
        <v>525</v>
      </c>
      <c r="E175" s="95" t="s">
        <v>454</v>
      </c>
      <c r="F175" s="94" t="s">
        <v>336</v>
      </c>
      <c r="G175" s="94" t="s">
        <v>208</v>
      </c>
      <c r="H175" s="94" t="s">
        <v>12</v>
      </c>
      <c r="I175" s="94" t="s">
        <v>198</v>
      </c>
      <c r="J175" s="95" t="s">
        <v>209</v>
      </c>
      <c r="K175" s="94" t="s">
        <v>337</v>
      </c>
      <c r="L175" s="96">
        <v>125</v>
      </c>
      <c r="M175" s="96">
        <f>L175*VLOOKUP(H175,dagsoorttabel1,2,FALSE)</f>
        <v>76.875</v>
      </c>
      <c r="N175" s="97">
        <f>prodnorm8</f>
        <v>0</v>
      </c>
      <c r="O175" s="41">
        <f>dagwerk8</f>
        <v>0</v>
      </c>
      <c r="P175" s="94" t="s">
        <v>108</v>
      </c>
      <c r="Q175" s="26">
        <f>uurtarief8</f>
        <v>0</v>
      </c>
      <c r="R175" s="96" t="e">
        <f>IF(ISBLANK(N175),0,M175/ROUND(N175,4))</f>
        <v>#DIV/0!</v>
      </c>
      <c r="S175" s="96" t="e">
        <f>IF(ISBLANK(N175),0,R175*ROUND(O175,2))</f>
        <v>#DIV/0!</v>
      </c>
      <c r="T175" s="26" t="e">
        <f>ROUND(Q175,2)*R175</f>
        <v>#DIV/0!</v>
      </c>
      <c r="U175" s="96" t="e">
        <f>R175*dagenperjaar1</f>
        <v>#DIV/0!</v>
      </c>
      <c r="V175" s="27" t="e">
        <f>U175*ROUND(Q175,2)</f>
        <v>#DIV/0!</v>
      </c>
    </row>
    <row r="176" spans="1:22" x14ac:dyDescent="0.25">
      <c r="A176" s="93" t="s">
        <v>259</v>
      </c>
      <c r="B176" s="94" t="s">
        <v>41</v>
      </c>
      <c r="C176" s="94" t="s">
        <v>522</v>
      </c>
      <c r="D176" s="94" t="s">
        <v>526</v>
      </c>
      <c r="E176" s="95" t="s">
        <v>335</v>
      </c>
      <c r="F176" s="94" t="s">
        <v>336</v>
      </c>
      <c r="G176" s="94" t="s">
        <v>208</v>
      </c>
      <c r="H176" s="94" t="s">
        <v>12</v>
      </c>
      <c r="I176" s="94" t="s">
        <v>198</v>
      </c>
      <c r="J176" s="95" t="s">
        <v>209</v>
      </c>
      <c r="K176" s="94" t="s">
        <v>337</v>
      </c>
      <c r="L176" s="96">
        <v>124</v>
      </c>
      <c r="M176" s="96">
        <f>L176*VLOOKUP(H176,dagsoorttabel1,2,FALSE)</f>
        <v>76.260000000000005</v>
      </c>
      <c r="N176" s="97">
        <f>prodnorm8</f>
        <v>0</v>
      </c>
      <c r="O176" s="41">
        <f>dagwerk8</f>
        <v>0</v>
      </c>
      <c r="P176" s="94" t="s">
        <v>108</v>
      </c>
      <c r="Q176" s="26">
        <f>uurtarief8</f>
        <v>0</v>
      </c>
      <c r="R176" s="96" t="e">
        <f>IF(ISBLANK(N176),0,M176/ROUND(N176,4))</f>
        <v>#DIV/0!</v>
      </c>
      <c r="S176" s="96" t="e">
        <f>IF(ISBLANK(N176),0,R176*ROUND(O176,2))</f>
        <v>#DIV/0!</v>
      </c>
      <c r="T176" s="26" t="e">
        <f>ROUND(Q176,2)*R176</f>
        <v>#DIV/0!</v>
      </c>
      <c r="U176" s="96" t="e">
        <f>R176*dagenperjaar1</f>
        <v>#DIV/0!</v>
      </c>
      <c r="V176" s="27" t="e">
        <f>U176*ROUND(Q176,2)</f>
        <v>#DIV/0!</v>
      </c>
    </row>
    <row r="177" spans="1:22" x14ac:dyDescent="0.25">
      <c r="A177" s="93" t="s">
        <v>259</v>
      </c>
      <c r="B177" s="94" t="s">
        <v>41</v>
      </c>
      <c r="C177" s="94" t="s">
        <v>522</v>
      </c>
      <c r="D177" s="94" t="s">
        <v>527</v>
      </c>
      <c r="E177" s="95" t="s">
        <v>528</v>
      </c>
      <c r="F177" s="94" t="s">
        <v>300</v>
      </c>
      <c r="G177" s="94" t="s">
        <v>224</v>
      </c>
      <c r="H177" s="94" t="s">
        <v>9</v>
      </c>
      <c r="I177" s="94" t="s">
        <v>198</v>
      </c>
      <c r="J177" s="95" t="s">
        <v>225</v>
      </c>
      <c r="K177" s="94" t="s">
        <v>296</v>
      </c>
      <c r="L177" s="96">
        <v>23</v>
      </c>
      <c r="M177" s="96">
        <f>L177*VLOOKUP(H177,dagsoorttabel1,2,FALSE)</f>
        <v>23.574999999999999</v>
      </c>
      <c r="N177" s="97">
        <f>prodnorm16</f>
        <v>0</v>
      </c>
      <c r="O177" s="41">
        <f>dagwerk16</f>
        <v>0</v>
      </c>
      <c r="P177" s="94" t="s">
        <v>108</v>
      </c>
      <c r="Q177" s="26">
        <f>uurtarief16</f>
        <v>0</v>
      </c>
      <c r="R177" s="96" t="e">
        <f>IF(ISBLANK(N177),0,M177/ROUND(N177,4))</f>
        <v>#DIV/0!</v>
      </c>
      <c r="S177" s="96" t="e">
        <f>IF(ISBLANK(N177),0,R177*ROUND(O177,2))</f>
        <v>#DIV/0!</v>
      </c>
      <c r="T177" s="26" t="e">
        <f>ROUND(Q177,2)*R177</f>
        <v>#DIV/0!</v>
      </c>
      <c r="U177" s="96" t="e">
        <f>R177*dagenperjaar1</f>
        <v>#DIV/0!</v>
      </c>
      <c r="V177" s="27" t="e">
        <f>U177*ROUND(Q177,2)</f>
        <v>#DIV/0!</v>
      </c>
    </row>
    <row r="178" spans="1:22" x14ac:dyDescent="0.25">
      <c r="A178" s="93" t="s">
        <v>259</v>
      </c>
      <c r="B178" s="94" t="s">
        <v>41</v>
      </c>
      <c r="C178" s="94" t="s">
        <v>522</v>
      </c>
      <c r="D178" s="94" t="s">
        <v>529</v>
      </c>
      <c r="E178" s="95" t="s">
        <v>530</v>
      </c>
      <c r="F178" s="94" t="s">
        <v>295</v>
      </c>
      <c r="G178" s="94" t="s">
        <v>236</v>
      </c>
      <c r="H178" s="94" t="s">
        <v>9</v>
      </c>
      <c r="I178" s="94" t="s">
        <v>198</v>
      </c>
      <c r="J178" s="95" t="s">
        <v>237</v>
      </c>
      <c r="K178" s="94" t="s">
        <v>273</v>
      </c>
      <c r="L178" s="96">
        <v>2</v>
      </c>
      <c r="M178" s="96">
        <f>L178*VLOOKUP(H178,dagsoorttabel1,2,FALSE)</f>
        <v>2.0499999999999998</v>
      </c>
      <c r="N178" s="97">
        <f>prodnorm22</f>
        <v>0</v>
      </c>
      <c r="O178" s="41">
        <f>dagwerk22</f>
        <v>0</v>
      </c>
      <c r="P178" s="94" t="s">
        <v>108</v>
      </c>
      <c r="Q178" s="26">
        <f>uurtarief22</f>
        <v>0</v>
      </c>
      <c r="R178" s="96" t="e">
        <f>IF(ISBLANK(N178),0,M178/ROUND(N178,4))</f>
        <v>#DIV/0!</v>
      </c>
      <c r="S178" s="96" t="e">
        <f>IF(ISBLANK(N178),0,R178*ROUND(O178,2))</f>
        <v>#DIV/0!</v>
      </c>
      <c r="T178" s="26" t="e">
        <f>ROUND(Q178,2)*R178</f>
        <v>#DIV/0!</v>
      </c>
      <c r="U178" s="96" t="e">
        <f>R178*dagenperjaar1</f>
        <v>#DIV/0!</v>
      </c>
      <c r="V178" s="27" t="e">
        <f>U178*ROUND(Q178,2)</f>
        <v>#DIV/0!</v>
      </c>
    </row>
    <row r="179" spans="1:22" x14ac:dyDescent="0.25">
      <c r="A179" s="93" t="s">
        <v>259</v>
      </c>
      <c r="B179" s="94" t="s">
        <v>41</v>
      </c>
      <c r="C179" s="94" t="s">
        <v>522</v>
      </c>
      <c r="D179" s="94" t="s">
        <v>531</v>
      </c>
      <c r="E179" s="95" t="s">
        <v>358</v>
      </c>
      <c r="F179" s="94" t="s">
        <v>336</v>
      </c>
      <c r="G179" s="94" t="s">
        <v>224</v>
      </c>
      <c r="H179" s="94" t="s">
        <v>9</v>
      </c>
      <c r="I179" s="94" t="s">
        <v>198</v>
      </c>
      <c r="J179" s="95" t="s">
        <v>225</v>
      </c>
      <c r="K179" s="94" t="s">
        <v>532</v>
      </c>
      <c r="L179" s="96">
        <v>1</v>
      </c>
      <c r="M179" s="96">
        <f>L179*VLOOKUP(H179,dagsoorttabel1,2,FALSE)</f>
        <v>1.0249999999999999</v>
      </c>
      <c r="N179" s="97">
        <f>prodnorm16</f>
        <v>0</v>
      </c>
      <c r="O179" s="41">
        <f>dagwerk16</f>
        <v>0</v>
      </c>
      <c r="P179" s="94" t="s">
        <v>108</v>
      </c>
      <c r="Q179" s="26">
        <f>uurtarief16</f>
        <v>0</v>
      </c>
      <c r="R179" s="96" t="e">
        <f>IF(ISBLANK(N179),0,M179/ROUND(N179,4))</f>
        <v>#DIV/0!</v>
      </c>
      <c r="S179" s="96" t="e">
        <f>IF(ISBLANK(N179),0,R179*ROUND(O179,2))</f>
        <v>#DIV/0!</v>
      </c>
      <c r="T179" s="26" t="e">
        <f>ROUND(Q179,2)*R179</f>
        <v>#DIV/0!</v>
      </c>
      <c r="U179" s="96" t="e">
        <f>R179*dagenperjaar1</f>
        <v>#DIV/0!</v>
      </c>
      <c r="V179" s="27" t="e">
        <f>U179*ROUND(Q179,2)</f>
        <v>#DIV/0!</v>
      </c>
    </row>
    <row r="180" spans="1:22" x14ac:dyDescent="0.25">
      <c r="A180" s="93" t="s">
        <v>259</v>
      </c>
      <c r="B180" s="94" t="s">
        <v>41</v>
      </c>
      <c r="C180" s="94" t="s">
        <v>522</v>
      </c>
      <c r="D180" s="94" t="s">
        <v>531</v>
      </c>
      <c r="E180" s="95" t="s">
        <v>358</v>
      </c>
      <c r="F180" s="94" t="s">
        <v>336</v>
      </c>
      <c r="G180" s="94" t="s">
        <v>226</v>
      </c>
      <c r="H180" s="94" t="s">
        <v>9</v>
      </c>
      <c r="I180" s="94" t="s">
        <v>198</v>
      </c>
      <c r="J180" s="95" t="s">
        <v>227</v>
      </c>
      <c r="K180" s="94" t="s">
        <v>532</v>
      </c>
      <c r="L180" s="96">
        <v>1</v>
      </c>
      <c r="M180" s="96">
        <f>L180*VLOOKUP(H180,dagsoorttabel1,2,FALSE)</f>
        <v>1.0249999999999999</v>
      </c>
      <c r="N180" s="97">
        <f>prodnorm17</f>
        <v>0</v>
      </c>
      <c r="O180" s="41">
        <f>dagwerk17</f>
        <v>0</v>
      </c>
      <c r="P180" s="94" t="s">
        <v>108</v>
      </c>
      <c r="Q180" s="26">
        <f>uurtarief17</f>
        <v>0</v>
      </c>
      <c r="R180" s="96" t="e">
        <f>IF(ISBLANK(N180),0,M180/ROUND(N180,4))</f>
        <v>#DIV/0!</v>
      </c>
      <c r="S180" s="96" t="e">
        <f>IF(ISBLANK(N180),0,R180*ROUND(O180,2))</f>
        <v>#DIV/0!</v>
      </c>
      <c r="T180" s="26" t="e">
        <f>ROUND(Q180,2)*R180</f>
        <v>#DIV/0!</v>
      </c>
      <c r="U180" s="96" t="e">
        <f>R180*dagenperjaar1</f>
        <v>#DIV/0!</v>
      </c>
      <c r="V180" s="27" t="e">
        <f>U180*ROUND(Q180,2)</f>
        <v>#DIV/0!</v>
      </c>
    </row>
    <row r="181" spans="1:22" x14ac:dyDescent="0.25">
      <c r="A181" s="93" t="s">
        <v>259</v>
      </c>
      <c r="B181" s="94" t="s">
        <v>41</v>
      </c>
      <c r="C181" s="94" t="s">
        <v>522</v>
      </c>
      <c r="D181" s="94" t="s">
        <v>533</v>
      </c>
      <c r="E181" s="95" t="s">
        <v>358</v>
      </c>
      <c r="F181" s="94" t="s">
        <v>336</v>
      </c>
      <c r="G181" s="94" t="s">
        <v>224</v>
      </c>
      <c r="H181" s="94" t="s">
        <v>9</v>
      </c>
      <c r="I181" s="94" t="s">
        <v>198</v>
      </c>
      <c r="J181" s="95" t="s">
        <v>225</v>
      </c>
      <c r="K181" s="94" t="s">
        <v>532</v>
      </c>
      <c r="L181" s="96">
        <v>2</v>
      </c>
      <c r="M181" s="96">
        <f>L181*VLOOKUP(H181,dagsoorttabel1,2,FALSE)</f>
        <v>2.0499999999999998</v>
      </c>
      <c r="N181" s="97">
        <f>prodnorm16</f>
        <v>0</v>
      </c>
      <c r="O181" s="41">
        <f>dagwerk16</f>
        <v>0</v>
      </c>
      <c r="P181" s="94" t="s">
        <v>108</v>
      </c>
      <c r="Q181" s="26">
        <f>uurtarief16</f>
        <v>0</v>
      </c>
      <c r="R181" s="96" t="e">
        <f>IF(ISBLANK(N181),0,M181/ROUND(N181,4))</f>
        <v>#DIV/0!</v>
      </c>
      <c r="S181" s="96" t="e">
        <f>IF(ISBLANK(N181),0,R181*ROUND(O181,2))</f>
        <v>#DIV/0!</v>
      </c>
      <c r="T181" s="26" t="e">
        <f>ROUND(Q181,2)*R181</f>
        <v>#DIV/0!</v>
      </c>
      <c r="U181" s="96" t="e">
        <f>R181*dagenperjaar1</f>
        <v>#DIV/0!</v>
      </c>
      <c r="V181" s="27" t="e">
        <f>U181*ROUND(Q181,2)</f>
        <v>#DIV/0!</v>
      </c>
    </row>
    <row r="182" spans="1:22" x14ac:dyDescent="0.25">
      <c r="A182" s="93" t="s">
        <v>259</v>
      </c>
      <c r="B182" s="94" t="s">
        <v>41</v>
      </c>
      <c r="C182" s="94" t="s">
        <v>522</v>
      </c>
      <c r="D182" s="94" t="s">
        <v>533</v>
      </c>
      <c r="E182" s="95" t="s">
        <v>358</v>
      </c>
      <c r="F182" s="94" t="s">
        <v>336</v>
      </c>
      <c r="G182" s="94" t="s">
        <v>226</v>
      </c>
      <c r="H182" s="94" t="s">
        <v>9</v>
      </c>
      <c r="I182" s="94" t="s">
        <v>198</v>
      </c>
      <c r="J182" s="95" t="s">
        <v>227</v>
      </c>
      <c r="K182" s="94" t="s">
        <v>532</v>
      </c>
      <c r="L182" s="96">
        <v>2</v>
      </c>
      <c r="M182" s="96">
        <f>L182*VLOOKUP(H182,dagsoorttabel1,2,FALSE)</f>
        <v>2.0499999999999998</v>
      </c>
      <c r="N182" s="97">
        <f>prodnorm17</f>
        <v>0</v>
      </c>
      <c r="O182" s="41">
        <f>dagwerk17</f>
        <v>0</v>
      </c>
      <c r="P182" s="94" t="s">
        <v>108</v>
      </c>
      <c r="Q182" s="26">
        <f>uurtarief17</f>
        <v>0</v>
      </c>
      <c r="R182" s="96" t="e">
        <f>IF(ISBLANK(N182),0,M182/ROUND(N182,4))</f>
        <v>#DIV/0!</v>
      </c>
      <c r="S182" s="96" t="e">
        <f>IF(ISBLANK(N182),0,R182*ROUND(O182,2))</f>
        <v>#DIV/0!</v>
      </c>
      <c r="T182" s="26" t="e">
        <f>ROUND(Q182,2)*R182</f>
        <v>#DIV/0!</v>
      </c>
      <c r="U182" s="96" t="e">
        <f>R182*dagenperjaar1</f>
        <v>#DIV/0!</v>
      </c>
      <c r="V182" s="27" t="e">
        <f>U182*ROUND(Q182,2)</f>
        <v>#DIV/0!</v>
      </c>
    </row>
    <row r="183" spans="1:22" x14ac:dyDescent="0.25">
      <c r="A183" s="93" t="s">
        <v>259</v>
      </c>
      <c r="B183" s="94" t="s">
        <v>41</v>
      </c>
      <c r="C183" s="94" t="s">
        <v>522</v>
      </c>
      <c r="D183" s="94" t="s">
        <v>534</v>
      </c>
      <c r="E183" s="95" t="s">
        <v>358</v>
      </c>
      <c r="F183" s="94" t="s">
        <v>336</v>
      </c>
      <c r="G183" s="94" t="s">
        <v>224</v>
      </c>
      <c r="H183" s="94" t="s">
        <v>9</v>
      </c>
      <c r="I183" s="94" t="s">
        <v>198</v>
      </c>
      <c r="J183" s="95" t="s">
        <v>225</v>
      </c>
      <c r="K183" s="94" t="s">
        <v>296</v>
      </c>
      <c r="L183" s="96">
        <v>1</v>
      </c>
      <c r="M183" s="96">
        <f>L183*VLOOKUP(H183,dagsoorttabel1,2,FALSE)</f>
        <v>1.0249999999999999</v>
      </c>
      <c r="N183" s="97">
        <f>prodnorm16</f>
        <v>0</v>
      </c>
      <c r="O183" s="41">
        <f>dagwerk16</f>
        <v>0</v>
      </c>
      <c r="P183" s="94" t="s">
        <v>108</v>
      </c>
      <c r="Q183" s="26">
        <f>uurtarief16</f>
        <v>0</v>
      </c>
      <c r="R183" s="96" t="e">
        <f>IF(ISBLANK(N183),0,M183/ROUND(N183,4))</f>
        <v>#DIV/0!</v>
      </c>
      <c r="S183" s="96" t="e">
        <f>IF(ISBLANK(N183),0,R183*ROUND(O183,2))</f>
        <v>#DIV/0!</v>
      </c>
      <c r="T183" s="26" t="e">
        <f>ROUND(Q183,2)*R183</f>
        <v>#DIV/0!</v>
      </c>
      <c r="U183" s="96" t="e">
        <f>R183*dagenperjaar1</f>
        <v>#DIV/0!</v>
      </c>
      <c r="V183" s="27" t="e">
        <f>U183*ROUND(Q183,2)</f>
        <v>#DIV/0!</v>
      </c>
    </row>
    <row r="184" spans="1:22" x14ac:dyDescent="0.25">
      <c r="A184" s="93" t="s">
        <v>259</v>
      </c>
      <c r="B184" s="94" t="s">
        <v>41</v>
      </c>
      <c r="C184" s="94" t="s">
        <v>522</v>
      </c>
      <c r="D184" s="94" t="s">
        <v>534</v>
      </c>
      <c r="E184" s="95" t="s">
        <v>358</v>
      </c>
      <c r="F184" s="94" t="s">
        <v>336</v>
      </c>
      <c r="G184" s="94" t="s">
        <v>226</v>
      </c>
      <c r="H184" s="94" t="s">
        <v>9</v>
      </c>
      <c r="I184" s="94" t="s">
        <v>198</v>
      </c>
      <c r="J184" s="95" t="s">
        <v>227</v>
      </c>
      <c r="K184" s="94" t="s">
        <v>296</v>
      </c>
      <c r="L184" s="96">
        <v>1</v>
      </c>
      <c r="M184" s="96">
        <f>L184*VLOOKUP(H184,dagsoorttabel1,2,FALSE)</f>
        <v>1.0249999999999999</v>
      </c>
      <c r="N184" s="97">
        <f>prodnorm17</f>
        <v>0</v>
      </c>
      <c r="O184" s="41">
        <f>dagwerk17</f>
        <v>0</v>
      </c>
      <c r="P184" s="94" t="s">
        <v>108</v>
      </c>
      <c r="Q184" s="26">
        <f>uurtarief17</f>
        <v>0</v>
      </c>
      <c r="R184" s="96" t="e">
        <f>IF(ISBLANK(N184),0,M184/ROUND(N184,4))</f>
        <v>#DIV/0!</v>
      </c>
      <c r="S184" s="96" t="e">
        <f>IF(ISBLANK(N184),0,R184*ROUND(O184,2))</f>
        <v>#DIV/0!</v>
      </c>
      <c r="T184" s="26" t="e">
        <f>ROUND(Q184,2)*R184</f>
        <v>#DIV/0!</v>
      </c>
      <c r="U184" s="96" t="e">
        <f>R184*dagenperjaar1</f>
        <v>#DIV/0!</v>
      </c>
      <c r="V184" s="27" t="e">
        <f>U184*ROUND(Q184,2)</f>
        <v>#DIV/0!</v>
      </c>
    </row>
    <row r="185" spans="1:22" x14ac:dyDescent="0.25">
      <c r="A185" s="93" t="s">
        <v>259</v>
      </c>
      <c r="B185" s="94" t="s">
        <v>41</v>
      </c>
      <c r="C185" s="94" t="s">
        <v>522</v>
      </c>
      <c r="D185" s="94" t="s">
        <v>535</v>
      </c>
      <c r="E185" s="95" t="s">
        <v>376</v>
      </c>
      <c r="F185" s="94" t="s">
        <v>336</v>
      </c>
      <c r="G185" s="94" t="s">
        <v>268</v>
      </c>
      <c r="H185" s="94"/>
      <c r="I185" s="94"/>
      <c r="J185" s="94"/>
      <c r="K185" s="94" t="s">
        <v>41</v>
      </c>
      <c r="L185" s="96">
        <v>14</v>
      </c>
      <c r="M185" s="96"/>
      <c r="N185" s="97"/>
      <c r="O185" s="41"/>
      <c r="P185" s="94"/>
      <c r="Q185" s="26"/>
      <c r="R185" s="96"/>
      <c r="S185" s="96"/>
      <c r="T185" s="26"/>
      <c r="U185" s="98"/>
      <c r="V185" s="27"/>
    </row>
    <row r="186" spans="1:22" x14ac:dyDescent="0.25">
      <c r="A186" s="93" t="s">
        <v>259</v>
      </c>
      <c r="B186" s="94" t="s">
        <v>41</v>
      </c>
      <c r="C186" s="94" t="s">
        <v>522</v>
      </c>
      <c r="D186" s="94" t="s">
        <v>536</v>
      </c>
      <c r="E186" s="95" t="s">
        <v>280</v>
      </c>
      <c r="F186" s="94" t="s">
        <v>264</v>
      </c>
      <c r="G186" s="94" t="s">
        <v>236</v>
      </c>
      <c r="H186" s="94" t="s">
        <v>9</v>
      </c>
      <c r="I186" s="94" t="s">
        <v>198</v>
      </c>
      <c r="J186" s="95" t="s">
        <v>237</v>
      </c>
      <c r="K186" s="94" t="s">
        <v>273</v>
      </c>
      <c r="L186" s="96">
        <v>24</v>
      </c>
      <c r="M186" s="96">
        <f>L186*VLOOKUP(H186,dagsoorttabel1,2,FALSE)</f>
        <v>24.599999999999998</v>
      </c>
      <c r="N186" s="97">
        <f>prodnorm22</f>
        <v>0</v>
      </c>
      <c r="O186" s="41">
        <f>dagwerk22</f>
        <v>0</v>
      </c>
      <c r="P186" s="94" t="s">
        <v>108</v>
      </c>
      <c r="Q186" s="26">
        <f>uurtarief22</f>
        <v>0</v>
      </c>
      <c r="R186" s="96" t="e">
        <f>IF(ISBLANK(N186),0,M186/ROUND(N186,4))</f>
        <v>#DIV/0!</v>
      </c>
      <c r="S186" s="96" t="e">
        <f>IF(ISBLANK(N186),0,R186*ROUND(O186,2))</f>
        <v>#DIV/0!</v>
      </c>
      <c r="T186" s="26" t="e">
        <f>ROUND(Q186,2)*R186</f>
        <v>#DIV/0!</v>
      </c>
      <c r="U186" s="96" t="e">
        <f>R186*dagenperjaar1</f>
        <v>#DIV/0!</v>
      </c>
      <c r="V186" s="27" t="e">
        <f>U186*ROUND(Q186,2)</f>
        <v>#DIV/0!</v>
      </c>
    </row>
    <row r="187" spans="1:22" x14ac:dyDescent="0.25">
      <c r="A187" s="93" t="s">
        <v>259</v>
      </c>
      <c r="B187" s="94" t="s">
        <v>41</v>
      </c>
      <c r="C187" s="94" t="s">
        <v>522</v>
      </c>
      <c r="D187" s="94" t="s">
        <v>537</v>
      </c>
      <c r="E187" s="95" t="s">
        <v>538</v>
      </c>
      <c r="F187" s="94" t="s">
        <v>336</v>
      </c>
      <c r="G187" s="94" t="s">
        <v>208</v>
      </c>
      <c r="H187" s="94" t="s">
        <v>12</v>
      </c>
      <c r="I187" s="94" t="s">
        <v>198</v>
      </c>
      <c r="J187" s="95" t="s">
        <v>209</v>
      </c>
      <c r="K187" s="94" t="s">
        <v>337</v>
      </c>
      <c r="L187" s="96">
        <v>55</v>
      </c>
      <c r="M187" s="96">
        <f>L187*VLOOKUP(H187,dagsoorttabel1,2,FALSE)</f>
        <v>33.825000000000003</v>
      </c>
      <c r="N187" s="97">
        <f>prodnorm8</f>
        <v>0</v>
      </c>
      <c r="O187" s="41">
        <f>dagwerk8</f>
        <v>0</v>
      </c>
      <c r="P187" s="94" t="s">
        <v>108</v>
      </c>
      <c r="Q187" s="26">
        <f>uurtarief8</f>
        <v>0</v>
      </c>
      <c r="R187" s="96" t="e">
        <f>IF(ISBLANK(N187),0,M187/ROUND(N187,4))</f>
        <v>#DIV/0!</v>
      </c>
      <c r="S187" s="96" t="e">
        <f>IF(ISBLANK(N187),0,R187*ROUND(O187,2))</f>
        <v>#DIV/0!</v>
      </c>
      <c r="T187" s="26" t="e">
        <f>ROUND(Q187,2)*R187</f>
        <v>#DIV/0!</v>
      </c>
      <c r="U187" s="96" t="e">
        <f>R187*dagenperjaar1</f>
        <v>#DIV/0!</v>
      </c>
      <c r="V187" s="27" t="e">
        <f>U187*ROUND(Q187,2)</f>
        <v>#DIV/0!</v>
      </c>
    </row>
    <row r="188" spans="1:22" x14ac:dyDescent="0.25">
      <c r="A188" s="93" t="s">
        <v>259</v>
      </c>
      <c r="B188" s="94" t="s">
        <v>41</v>
      </c>
      <c r="C188" s="94" t="s">
        <v>522</v>
      </c>
      <c r="D188" s="94" t="s">
        <v>539</v>
      </c>
      <c r="E188" s="95" t="s">
        <v>387</v>
      </c>
      <c r="F188" s="94" t="s">
        <v>336</v>
      </c>
      <c r="G188" s="94" t="s">
        <v>210</v>
      </c>
      <c r="H188" s="94" t="s">
        <v>9</v>
      </c>
      <c r="I188" s="94" t="s">
        <v>198</v>
      </c>
      <c r="J188" s="95" t="s">
        <v>211</v>
      </c>
      <c r="K188" s="94" t="s">
        <v>337</v>
      </c>
      <c r="L188" s="96">
        <v>30</v>
      </c>
      <c r="M188" s="96">
        <f>L188*VLOOKUP(H188,dagsoorttabel1,2,FALSE)</f>
        <v>30.749999999999996</v>
      </c>
      <c r="N188" s="97">
        <f>prodnorm9</f>
        <v>0</v>
      </c>
      <c r="O188" s="41">
        <f>dagwerk9</f>
        <v>0</v>
      </c>
      <c r="P188" s="94" t="s">
        <v>108</v>
      </c>
      <c r="Q188" s="26">
        <f>uurtarief9</f>
        <v>0</v>
      </c>
      <c r="R188" s="96" t="e">
        <f>IF(ISBLANK(N188),0,M188/ROUND(N188,4))</f>
        <v>#DIV/0!</v>
      </c>
      <c r="S188" s="96" t="e">
        <f>IF(ISBLANK(N188),0,R188*ROUND(O188,2))</f>
        <v>#DIV/0!</v>
      </c>
      <c r="T188" s="26" t="e">
        <f>ROUND(Q188,2)*R188</f>
        <v>#DIV/0!</v>
      </c>
      <c r="U188" s="96" t="e">
        <f>R188*dagenperjaar1</f>
        <v>#DIV/0!</v>
      </c>
      <c r="V188" s="27" t="e">
        <f>U188*ROUND(Q188,2)</f>
        <v>#DIV/0!</v>
      </c>
    </row>
    <row r="189" spans="1:22" x14ac:dyDescent="0.25">
      <c r="A189" s="93" t="s">
        <v>259</v>
      </c>
      <c r="B189" s="94" t="s">
        <v>41</v>
      </c>
      <c r="C189" s="94" t="s">
        <v>522</v>
      </c>
      <c r="D189" s="94" t="s">
        <v>540</v>
      </c>
      <c r="E189" s="95" t="s">
        <v>538</v>
      </c>
      <c r="F189" s="94" t="s">
        <v>336</v>
      </c>
      <c r="G189" s="94" t="s">
        <v>208</v>
      </c>
      <c r="H189" s="94" t="s">
        <v>12</v>
      </c>
      <c r="I189" s="94" t="s">
        <v>198</v>
      </c>
      <c r="J189" s="95" t="s">
        <v>209</v>
      </c>
      <c r="K189" s="94" t="s">
        <v>337</v>
      </c>
      <c r="L189" s="96">
        <v>55</v>
      </c>
      <c r="M189" s="96">
        <f>L189*VLOOKUP(H189,dagsoorttabel1,2,FALSE)</f>
        <v>33.825000000000003</v>
      </c>
      <c r="N189" s="97">
        <f>prodnorm8</f>
        <v>0</v>
      </c>
      <c r="O189" s="41">
        <f>dagwerk8</f>
        <v>0</v>
      </c>
      <c r="P189" s="94" t="s">
        <v>108</v>
      </c>
      <c r="Q189" s="26">
        <f>uurtarief8</f>
        <v>0</v>
      </c>
      <c r="R189" s="96" t="e">
        <f>IF(ISBLANK(N189),0,M189/ROUND(N189,4))</f>
        <v>#DIV/0!</v>
      </c>
      <c r="S189" s="96" t="e">
        <f>IF(ISBLANK(N189),0,R189*ROUND(O189,2))</f>
        <v>#DIV/0!</v>
      </c>
      <c r="T189" s="26" t="e">
        <f>ROUND(Q189,2)*R189</f>
        <v>#DIV/0!</v>
      </c>
      <c r="U189" s="96" t="e">
        <f>R189*dagenperjaar1</f>
        <v>#DIV/0!</v>
      </c>
      <c r="V189" s="27" t="e">
        <f>U189*ROUND(Q189,2)</f>
        <v>#DIV/0!</v>
      </c>
    </row>
    <row r="190" spans="1:22" x14ac:dyDescent="0.25">
      <c r="A190" s="93" t="s">
        <v>259</v>
      </c>
      <c r="B190" s="94" t="s">
        <v>41</v>
      </c>
      <c r="C190" s="94" t="s">
        <v>522</v>
      </c>
      <c r="D190" s="94" t="s">
        <v>541</v>
      </c>
      <c r="E190" s="95" t="s">
        <v>280</v>
      </c>
      <c r="F190" s="94" t="s">
        <v>336</v>
      </c>
      <c r="G190" s="94" t="s">
        <v>236</v>
      </c>
      <c r="H190" s="94" t="s">
        <v>9</v>
      </c>
      <c r="I190" s="94" t="s">
        <v>198</v>
      </c>
      <c r="J190" s="95" t="s">
        <v>237</v>
      </c>
      <c r="K190" s="94" t="s">
        <v>273</v>
      </c>
      <c r="L190" s="96">
        <v>23</v>
      </c>
      <c r="M190" s="96">
        <f>L190*VLOOKUP(H190,dagsoorttabel1,2,FALSE)</f>
        <v>23.574999999999999</v>
      </c>
      <c r="N190" s="97">
        <f>prodnorm22</f>
        <v>0</v>
      </c>
      <c r="O190" s="41">
        <f>dagwerk22</f>
        <v>0</v>
      </c>
      <c r="P190" s="94" t="s">
        <v>108</v>
      </c>
      <c r="Q190" s="26">
        <f>uurtarief22</f>
        <v>0</v>
      </c>
      <c r="R190" s="96" t="e">
        <f>IF(ISBLANK(N190),0,M190/ROUND(N190,4))</f>
        <v>#DIV/0!</v>
      </c>
      <c r="S190" s="96" t="e">
        <f>IF(ISBLANK(N190),0,R190*ROUND(O190,2))</f>
        <v>#DIV/0!</v>
      </c>
      <c r="T190" s="26" t="e">
        <f>ROUND(Q190,2)*R190</f>
        <v>#DIV/0!</v>
      </c>
      <c r="U190" s="96" t="e">
        <f>R190*dagenperjaar1</f>
        <v>#DIV/0!</v>
      </c>
      <c r="V190" s="27" t="e">
        <f>U190*ROUND(Q190,2)</f>
        <v>#DIV/0!</v>
      </c>
    </row>
    <row r="191" spans="1:22" x14ac:dyDescent="0.25">
      <c r="A191" s="93" t="s">
        <v>259</v>
      </c>
      <c r="B191" s="94" t="s">
        <v>41</v>
      </c>
      <c r="C191" s="94" t="s">
        <v>522</v>
      </c>
      <c r="D191" s="94" t="s">
        <v>542</v>
      </c>
      <c r="E191" s="95" t="s">
        <v>387</v>
      </c>
      <c r="F191" s="94" t="s">
        <v>336</v>
      </c>
      <c r="G191" s="94" t="s">
        <v>210</v>
      </c>
      <c r="H191" s="94" t="s">
        <v>9</v>
      </c>
      <c r="I191" s="94" t="s">
        <v>198</v>
      </c>
      <c r="J191" s="95" t="s">
        <v>211</v>
      </c>
      <c r="K191" s="94" t="s">
        <v>337</v>
      </c>
      <c r="L191" s="96">
        <v>28</v>
      </c>
      <c r="M191" s="96">
        <f>L191*VLOOKUP(H191,dagsoorttabel1,2,FALSE)</f>
        <v>28.699999999999996</v>
      </c>
      <c r="N191" s="97">
        <f>prodnorm9</f>
        <v>0</v>
      </c>
      <c r="O191" s="41">
        <f>dagwerk9</f>
        <v>0</v>
      </c>
      <c r="P191" s="94" t="s">
        <v>108</v>
      </c>
      <c r="Q191" s="26">
        <f>uurtarief9</f>
        <v>0</v>
      </c>
      <c r="R191" s="96" t="e">
        <f>IF(ISBLANK(N191),0,M191/ROUND(N191,4))</f>
        <v>#DIV/0!</v>
      </c>
      <c r="S191" s="96" t="e">
        <f>IF(ISBLANK(N191),0,R191*ROUND(O191,2))</f>
        <v>#DIV/0!</v>
      </c>
      <c r="T191" s="26" t="e">
        <f>ROUND(Q191,2)*R191</f>
        <v>#DIV/0!</v>
      </c>
      <c r="U191" s="96" t="e">
        <f>R191*dagenperjaar1</f>
        <v>#DIV/0!</v>
      </c>
      <c r="V191" s="27" t="e">
        <f>U191*ROUND(Q191,2)</f>
        <v>#DIV/0!</v>
      </c>
    </row>
    <row r="192" spans="1:22" x14ac:dyDescent="0.25">
      <c r="A192" s="93" t="s">
        <v>259</v>
      </c>
      <c r="B192" s="94" t="s">
        <v>41</v>
      </c>
      <c r="C192" s="94" t="s">
        <v>522</v>
      </c>
      <c r="D192" s="94" t="s">
        <v>543</v>
      </c>
      <c r="E192" s="95" t="s">
        <v>538</v>
      </c>
      <c r="F192" s="94" t="s">
        <v>336</v>
      </c>
      <c r="G192" s="94" t="s">
        <v>208</v>
      </c>
      <c r="H192" s="94" t="s">
        <v>12</v>
      </c>
      <c r="I192" s="94" t="s">
        <v>198</v>
      </c>
      <c r="J192" s="95" t="s">
        <v>209</v>
      </c>
      <c r="K192" s="94" t="s">
        <v>337</v>
      </c>
      <c r="L192" s="96">
        <v>57</v>
      </c>
      <c r="M192" s="96">
        <f>L192*VLOOKUP(H192,dagsoorttabel1,2,FALSE)</f>
        <v>35.055</v>
      </c>
      <c r="N192" s="97">
        <f>prodnorm8</f>
        <v>0</v>
      </c>
      <c r="O192" s="41">
        <f>dagwerk8</f>
        <v>0</v>
      </c>
      <c r="P192" s="94" t="s">
        <v>108</v>
      </c>
      <c r="Q192" s="26">
        <f>uurtarief8</f>
        <v>0</v>
      </c>
      <c r="R192" s="96" t="e">
        <f>IF(ISBLANK(N192),0,M192/ROUND(N192,4))</f>
        <v>#DIV/0!</v>
      </c>
      <c r="S192" s="96" t="e">
        <f>IF(ISBLANK(N192),0,R192*ROUND(O192,2))</f>
        <v>#DIV/0!</v>
      </c>
      <c r="T192" s="26" t="e">
        <f>ROUND(Q192,2)*R192</f>
        <v>#DIV/0!</v>
      </c>
      <c r="U192" s="96" t="e">
        <f>R192*dagenperjaar1</f>
        <v>#DIV/0!</v>
      </c>
      <c r="V192" s="27" t="e">
        <f>U192*ROUND(Q192,2)</f>
        <v>#DIV/0!</v>
      </c>
    </row>
    <row r="193" spans="1:22" x14ac:dyDescent="0.25">
      <c r="A193" s="93" t="s">
        <v>259</v>
      </c>
      <c r="B193" s="94" t="s">
        <v>41</v>
      </c>
      <c r="C193" s="94" t="s">
        <v>522</v>
      </c>
      <c r="D193" s="94" t="s">
        <v>544</v>
      </c>
      <c r="E193" s="95" t="s">
        <v>376</v>
      </c>
      <c r="F193" s="94" t="s">
        <v>336</v>
      </c>
      <c r="G193" s="94" t="s">
        <v>268</v>
      </c>
      <c r="H193" s="94"/>
      <c r="I193" s="94"/>
      <c r="J193" s="94"/>
      <c r="K193" s="94" t="s">
        <v>41</v>
      </c>
      <c r="L193" s="96">
        <v>14</v>
      </c>
      <c r="M193" s="96"/>
      <c r="N193" s="97"/>
      <c r="O193" s="41"/>
      <c r="P193" s="94"/>
      <c r="Q193" s="26"/>
      <c r="R193" s="96"/>
      <c r="S193" s="96"/>
      <c r="T193" s="26"/>
      <c r="U193" s="98"/>
      <c r="V193" s="27"/>
    </row>
    <row r="194" spans="1:22" x14ac:dyDescent="0.25">
      <c r="A194" s="93" t="s">
        <v>259</v>
      </c>
      <c r="B194" s="94" t="s">
        <v>41</v>
      </c>
      <c r="C194" s="94" t="s">
        <v>522</v>
      </c>
      <c r="D194" s="94" t="s">
        <v>545</v>
      </c>
      <c r="E194" s="95" t="s">
        <v>275</v>
      </c>
      <c r="F194" s="94" t="s">
        <v>336</v>
      </c>
      <c r="G194" s="94" t="s">
        <v>268</v>
      </c>
      <c r="H194" s="94"/>
      <c r="I194" s="94"/>
      <c r="J194" s="94"/>
      <c r="K194" s="94" t="s">
        <v>41</v>
      </c>
      <c r="L194" s="96">
        <v>5</v>
      </c>
      <c r="M194" s="96"/>
      <c r="N194" s="97"/>
      <c r="O194" s="41"/>
      <c r="P194" s="94"/>
      <c r="Q194" s="26"/>
      <c r="R194" s="96"/>
      <c r="S194" s="96"/>
      <c r="T194" s="26"/>
      <c r="U194" s="98"/>
      <c r="V194" s="27"/>
    </row>
    <row r="195" spans="1:22" x14ac:dyDescent="0.25">
      <c r="A195" s="93" t="s">
        <v>259</v>
      </c>
      <c r="B195" s="94" t="s">
        <v>41</v>
      </c>
      <c r="C195" s="94" t="s">
        <v>522</v>
      </c>
      <c r="D195" s="94" t="s">
        <v>546</v>
      </c>
      <c r="E195" s="95" t="s">
        <v>317</v>
      </c>
      <c r="F195" s="94" t="s">
        <v>41</v>
      </c>
      <c r="G195" s="94" t="s">
        <v>268</v>
      </c>
      <c r="H195" s="94"/>
      <c r="I195" s="94"/>
      <c r="J195" s="94"/>
      <c r="K195" s="94" t="s">
        <v>41</v>
      </c>
      <c r="L195" s="96">
        <v>4</v>
      </c>
      <c r="M195" s="96"/>
      <c r="N195" s="97"/>
      <c r="O195" s="41"/>
      <c r="P195" s="94"/>
      <c r="Q195" s="26"/>
      <c r="R195" s="96"/>
      <c r="S195" s="96"/>
      <c r="T195" s="26"/>
      <c r="U195" s="98"/>
      <c r="V195" s="27"/>
    </row>
    <row r="196" spans="1:22" x14ac:dyDescent="0.25">
      <c r="A196" s="93" t="s">
        <v>259</v>
      </c>
      <c r="B196" s="94" t="s">
        <v>41</v>
      </c>
      <c r="C196" s="94" t="s">
        <v>522</v>
      </c>
      <c r="D196" s="94" t="s">
        <v>547</v>
      </c>
      <c r="E196" s="95" t="s">
        <v>524</v>
      </c>
      <c r="F196" s="94" t="s">
        <v>336</v>
      </c>
      <c r="G196" s="94" t="s">
        <v>200</v>
      </c>
      <c r="H196" s="94" t="s">
        <v>16</v>
      </c>
      <c r="I196" s="94" t="s">
        <v>198</v>
      </c>
      <c r="J196" s="95" t="s">
        <v>201</v>
      </c>
      <c r="K196" s="94" t="s">
        <v>265</v>
      </c>
      <c r="L196" s="96">
        <v>13</v>
      </c>
      <c r="M196" s="96">
        <f>L196*VLOOKUP(H196,dagsoorttabel1,2,FALSE)</f>
        <v>2.665</v>
      </c>
      <c r="N196" s="97">
        <f>prodnorm4</f>
        <v>0</v>
      </c>
      <c r="O196" s="41">
        <f>dagwerk4</f>
        <v>0</v>
      </c>
      <c r="P196" s="94" t="s">
        <v>108</v>
      </c>
      <c r="Q196" s="26">
        <f>uurtarief4</f>
        <v>0</v>
      </c>
      <c r="R196" s="96" t="e">
        <f>IF(ISBLANK(N196),0,M196/ROUND(N196,4))</f>
        <v>#DIV/0!</v>
      </c>
      <c r="S196" s="96" t="e">
        <f>IF(ISBLANK(N196),0,R196*ROUND(O196,2))</f>
        <v>#DIV/0!</v>
      </c>
      <c r="T196" s="26" t="e">
        <f>ROUND(Q196,2)*R196</f>
        <v>#DIV/0!</v>
      </c>
      <c r="U196" s="96" t="e">
        <f>R196*dagenperjaar1</f>
        <v>#DIV/0!</v>
      </c>
      <c r="V196" s="27" t="e">
        <f>U196*ROUND(Q196,2)</f>
        <v>#DIV/0!</v>
      </c>
    </row>
    <row r="197" spans="1:22" x14ac:dyDescent="0.25">
      <c r="A197" s="93" t="s">
        <v>259</v>
      </c>
      <c r="B197" s="94" t="s">
        <v>41</v>
      </c>
      <c r="C197" s="94" t="s">
        <v>522</v>
      </c>
      <c r="D197" s="94" t="s">
        <v>548</v>
      </c>
      <c r="E197" s="95" t="s">
        <v>272</v>
      </c>
      <c r="F197" s="94" t="s">
        <v>336</v>
      </c>
      <c r="G197" s="94" t="s">
        <v>228</v>
      </c>
      <c r="H197" s="94" t="s">
        <v>9</v>
      </c>
      <c r="I197" s="94" t="s">
        <v>198</v>
      </c>
      <c r="J197" s="95" t="s">
        <v>229</v>
      </c>
      <c r="K197" s="94" t="s">
        <v>273</v>
      </c>
      <c r="L197" s="96">
        <v>117</v>
      </c>
      <c r="M197" s="96">
        <f>L197*VLOOKUP(H197,dagsoorttabel1,2,FALSE)</f>
        <v>119.92499999999998</v>
      </c>
      <c r="N197" s="97">
        <f>prodnorm18</f>
        <v>0</v>
      </c>
      <c r="O197" s="41">
        <f>dagwerk18</f>
        <v>0</v>
      </c>
      <c r="P197" s="94" t="s">
        <v>108</v>
      </c>
      <c r="Q197" s="26">
        <f>uurtarief18</f>
        <v>0</v>
      </c>
      <c r="R197" s="96" t="e">
        <f>IF(ISBLANK(N197),0,M197/ROUND(N197,4))</f>
        <v>#DIV/0!</v>
      </c>
      <c r="S197" s="96" t="e">
        <f>IF(ISBLANK(N197),0,R197*ROUND(O197,2))</f>
        <v>#DIV/0!</v>
      </c>
      <c r="T197" s="26" t="e">
        <f>ROUND(Q197,2)*R197</f>
        <v>#DIV/0!</v>
      </c>
      <c r="U197" s="96" t="e">
        <f>R197*dagenperjaar1</f>
        <v>#DIV/0!</v>
      </c>
      <c r="V197" s="27" t="e">
        <f>U197*ROUND(Q197,2)</f>
        <v>#DIV/0!</v>
      </c>
    </row>
    <row r="198" spans="1:22" x14ac:dyDescent="0.25">
      <c r="A198" s="93" t="s">
        <v>259</v>
      </c>
      <c r="B198" s="94" t="s">
        <v>41</v>
      </c>
      <c r="C198" s="94" t="s">
        <v>522</v>
      </c>
      <c r="D198" s="94" t="s">
        <v>549</v>
      </c>
      <c r="E198" s="95" t="s">
        <v>538</v>
      </c>
      <c r="F198" s="94" t="s">
        <v>336</v>
      </c>
      <c r="G198" s="94" t="s">
        <v>208</v>
      </c>
      <c r="H198" s="94" t="s">
        <v>12</v>
      </c>
      <c r="I198" s="94" t="s">
        <v>198</v>
      </c>
      <c r="J198" s="95" t="s">
        <v>209</v>
      </c>
      <c r="K198" s="94" t="s">
        <v>337</v>
      </c>
      <c r="L198" s="96">
        <v>55</v>
      </c>
      <c r="M198" s="96">
        <f>L198*VLOOKUP(H198,dagsoorttabel1,2,FALSE)</f>
        <v>33.825000000000003</v>
      </c>
      <c r="N198" s="97">
        <f>prodnorm8</f>
        <v>0</v>
      </c>
      <c r="O198" s="41">
        <f>dagwerk8</f>
        <v>0</v>
      </c>
      <c r="P198" s="94" t="s">
        <v>108</v>
      </c>
      <c r="Q198" s="26">
        <f>uurtarief8</f>
        <v>0</v>
      </c>
      <c r="R198" s="96" t="e">
        <f>IF(ISBLANK(N198),0,M198/ROUND(N198,4))</f>
        <v>#DIV/0!</v>
      </c>
      <c r="S198" s="96" t="e">
        <f>IF(ISBLANK(N198),0,R198*ROUND(O198,2))</f>
        <v>#DIV/0!</v>
      </c>
      <c r="T198" s="26" t="e">
        <f>ROUND(Q198,2)*R198</f>
        <v>#DIV/0!</v>
      </c>
      <c r="U198" s="96" t="e">
        <f>R198*dagenperjaar1</f>
        <v>#DIV/0!</v>
      </c>
      <c r="V198" s="27" t="e">
        <f>U198*ROUND(Q198,2)</f>
        <v>#DIV/0!</v>
      </c>
    </row>
    <row r="199" spans="1:22" x14ac:dyDescent="0.25">
      <c r="A199" s="93" t="s">
        <v>259</v>
      </c>
      <c r="B199" s="94" t="s">
        <v>41</v>
      </c>
      <c r="C199" s="94" t="s">
        <v>522</v>
      </c>
      <c r="D199" s="94" t="s">
        <v>550</v>
      </c>
      <c r="E199" s="95" t="s">
        <v>272</v>
      </c>
      <c r="F199" s="94" t="s">
        <v>336</v>
      </c>
      <c r="G199" s="94" t="s">
        <v>228</v>
      </c>
      <c r="H199" s="94" t="s">
        <v>9</v>
      </c>
      <c r="I199" s="94" t="s">
        <v>198</v>
      </c>
      <c r="J199" s="95" t="s">
        <v>229</v>
      </c>
      <c r="K199" s="94" t="s">
        <v>273</v>
      </c>
      <c r="L199" s="96">
        <v>149</v>
      </c>
      <c r="M199" s="96">
        <f>L199*VLOOKUP(H199,dagsoorttabel1,2,FALSE)</f>
        <v>152.72499999999999</v>
      </c>
      <c r="N199" s="97">
        <f>prodnorm18</f>
        <v>0</v>
      </c>
      <c r="O199" s="41">
        <f>dagwerk18</f>
        <v>0</v>
      </c>
      <c r="P199" s="94" t="s">
        <v>108</v>
      </c>
      <c r="Q199" s="26">
        <f>uurtarief18</f>
        <v>0</v>
      </c>
      <c r="R199" s="96" t="e">
        <f>IF(ISBLANK(N199),0,M199/ROUND(N199,4))</f>
        <v>#DIV/0!</v>
      </c>
      <c r="S199" s="96" t="e">
        <f>IF(ISBLANK(N199),0,R199*ROUND(O199,2))</f>
        <v>#DIV/0!</v>
      </c>
      <c r="T199" s="26" t="e">
        <f>ROUND(Q199,2)*R199</f>
        <v>#DIV/0!</v>
      </c>
      <c r="U199" s="96" t="e">
        <f>R199*dagenperjaar1</f>
        <v>#DIV/0!</v>
      </c>
      <c r="V199" s="27" t="e">
        <f>U199*ROUND(Q199,2)</f>
        <v>#DIV/0!</v>
      </c>
    </row>
    <row r="200" spans="1:22" x14ac:dyDescent="0.25">
      <c r="A200" s="93" t="s">
        <v>259</v>
      </c>
      <c r="B200" s="94" t="s">
        <v>41</v>
      </c>
      <c r="C200" s="94" t="s">
        <v>522</v>
      </c>
      <c r="D200" s="94" t="s">
        <v>551</v>
      </c>
      <c r="E200" s="95" t="s">
        <v>387</v>
      </c>
      <c r="F200" s="94" t="s">
        <v>336</v>
      </c>
      <c r="G200" s="94" t="s">
        <v>210</v>
      </c>
      <c r="H200" s="94" t="s">
        <v>9</v>
      </c>
      <c r="I200" s="94" t="s">
        <v>198</v>
      </c>
      <c r="J200" s="95" t="s">
        <v>211</v>
      </c>
      <c r="K200" s="94" t="s">
        <v>337</v>
      </c>
      <c r="L200" s="96">
        <v>25</v>
      </c>
      <c r="M200" s="96">
        <f>L200*VLOOKUP(H200,dagsoorttabel1,2,FALSE)</f>
        <v>25.624999999999996</v>
      </c>
      <c r="N200" s="97">
        <f>prodnorm9</f>
        <v>0</v>
      </c>
      <c r="O200" s="41">
        <f>dagwerk9</f>
        <v>0</v>
      </c>
      <c r="P200" s="94" t="s">
        <v>108</v>
      </c>
      <c r="Q200" s="26">
        <f>uurtarief9</f>
        <v>0</v>
      </c>
      <c r="R200" s="96" t="e">
        <f>IF(ISBLANK(N200),0,M200/ROUND(N200,4))</f>
        <v>#DIV/0!</v>
      </c>
      <c r="S200" s="96" t="e">
        <f>IF(ISBLANK(N200),0,R200*ROUND(O200,2))</f>
        <v>#DIV/0!</v>
      </c>
      <c r="T200" s="26" t="e">
        <f>ROUND(Q200,2)*R200</f>
        <v>#DIV/0!</v>
      </c>
      <c r="U200" s="96" t="e">
        <f>R200*dagenperjaar1</f>
        <v>#DIV/0!</v>
      </c>
      <c r="V200" s="27" t="e">
        <f>U200*ROUND(Q200,2)</f>
        <v>#DIV/0!</v>
      </c>
    </row>
    <row r="201" spans="1:22" x14ac:dyDescent="0.25">
      <c r="A201" s="93" t="s">
        <v>259</v>
      </c>
      <c r="B201" s="94" t="s">
        <v>41</v>
      </c>
      <c r="C201" s="94" t="s">
        <v>522</v>
      </c>
      <c r="D201" s="94" t="s">
        <v>552</v>
      </c>
      <c r="E201" s="95" t="s">
        <v>387</v>
      </c>
      <c r="F201" s="94" t="s">
        <v>336</v>
      </c>
      <c r="G201" s="94" t="s">
        <v>210</v>
      </c>
      <c r="H201" s="94" t="s">
        <v>9</v>
      </c>
      <c r="I201" s="94" t="s">
        <v>198</v>
      </c>
      <c r="J201" s="95" t="s">
        <v>211</v>
      </c>
      <c r="K201" s="94" t="s">
        <v>337</v>
      </c>
      <c r="L201" s="96">
        <v>19</v>
      </c>
      <c r="M201" s="96">
        <f>L201*VLOOKUP(H201,dagsoorttabel1,2,FALSE)</f>
        <v>19.474999999999998</v>
      </c>
      <c r="N201" s="97">
        <f>prodnorm9</f>
        <v>0</v>
      </c>
      <c r="O201" s="41">
        <f>dagwerk9</f>
        <v>0</v>
      </c>
      <c r="P201" s="94" t="s">
        <v>108</v>
      </c>
      <c r="Q201" s="26">
        <f>uurtarief9</f>
        <v>0</v>
      </c>
      <c r="R201" s="96" t="e">
        <f>IF(ISBLANK(N201),0,M201/ROUND(N201,4))</f>
        <v>#DIV/0!</v>
      </c>
      <c r="S201" s="96" t="e">
        <f>IF(ISBLANK(N201),0,R201*ROUND(O201,2))</f>
        <v>#DIV/0!</v>
      </c>
      <c r="T201" s="26" t="e">
        <f>ROUND(Q201,2)*R201</f>
        <v>#DIV/0!</v>
      </c>
      <c r="U201" s="96" t="e">
        <f>R201*dagenperjaar1</f>
        <v>#DIV/0!</v>
      </c>
      <c r="V201" s="27" t="e">
        <f>U201*ROUND(Q201,2)</f>
        <v>#DIV/0!</v>
      </c>
    </row>
    <row r="202" spans="1:22" x14ac:dyDescent="0.25">
      <c r="A202" s="93" t="s">
        <v>259</v>
      </c>
      <c r="B202" s="94" t="s">
        <v>41</v>
      </c>
      <c r="C202" s="94" t="s">
        <v>522</v>
      </c>
      <c r="D202" s="94" t="s">
        <v>553</v>
      </c>
      <c r="E202" s="95" t="s">
        <v>452</v>
      </c>
      <c r="F202" s="94" t="s">
        <v>336</v>
      </c>
      <c r="G202" s="94" t="s">
        <v>200</v>
      </c>
      <c r="H202" s="94" t="s">
        <v>16</v>
      </c>
      <c r="I202" s="94" t="s">
        <v>198</v>
      </c>
      <c r="J202" s="95" t="s">
        <v>201</v>
      </c>
      <c r="K202" s="94" t="s">
        <v>265</v>
      </c>
      <c r="L202" s="96">
        <v>18</v>
      </c>
      <c r="M202" s="96">
        <f>L202*VLOOKUP(H202,dagsoorttabel1,2,FALSE)</f>
        <v>3.69</v>
      </c>
      <c r="N202" s="97">
        <f>prodnorm4</f>
        <v>0</v>
      </c>
      <c r="O202" s="41">
        <f>dagwerk4</f>
        <v>0</v>
      </c>
      <c r="P202" s="94" t="s">
        <v>108</v>
      </c>
      <c r="Q202" s="26">
        <f>uurtarief4</f>
        <v>0</v>
      </c>
      <c r="R202" s="96" t="e">
        <f>IF(ISBLANK(N202),0,M202/ROUND(N202,4))</f>
        <v>#DIV/0!</v>
      </c>
      <c r="S202" s="96" t="e">
        <f>IF(ISBLANK(N202),0,R202*ROUND(O202,2))</f>
        <v>#DIV/0!</v>
      </c>
      <c r="T202" s="26" t="e">
        <f>ROUND(Q202,2)*R202</f>
        <v>#DIV/0!</v>
      </c>
      <c r="U202" s="96" t="e">
        <f>R202*dagenperjaar1</f>
        <v>#DIV/0!</v>
      </c>
      <c r="V202" s="27" t="e">
        <f>U202*ROUND(Q202,2)</f>
        <v>#DIV/0!</v>
      </c>
    </row>
    <row r="203" spans="1:22" x14ac:dyDescent="0.25">
      <c r="A203" s="93" t="s">
        <v>259</v>
      </c>
      <c r="B203" s="94" t="s">
        <v>41</v>
      </c>
      <c r="C203" s="94" t="s">
        <v>522</v>
      </c>
      <c r="D203" s="94" t="s">
        <v>554</v>
      </c>
      <c r="E203" s="95" t="s">
        <v>387</v>
      </c>
      <c r="F203" s="94" t="s">
        <v>336</v>
      </c>
      <c r="G203" s="94" t="s">
        <v>210</v>
      </c>
      <c r="H203" s="94" t="s">
        <v>9</v>
      </c>
      <c r="I203" s="94" t="s">
        <v>198</v>
      </c>
      <c r="J203" s="95" t="s">
        <v>211</v>
      </c>
      <c r="K203" s="94" t="s">
        <v>337</v>
      </c>
      <c r="L203" s="96">
        <v>18</v>
      </c>
      <c r="M203" s="96">
        <f>L203*VLOOKUP(H203,dagsoorttabel1,2,FALSE)</f>
        <v>18.45</v>
      </c>
      <c r="N203" s="97">
        <f>prodnorm9</f>
        <v>0</v>
      </c>
      <c r="O203" s="41">
        <f>dagwerk9</f>
        <v>0</v>
      </c>
      <c r="P203" s="94" t="s">
        <v>108</v>
      </c>
      <c r="Q203" s="26">
        <f>uurtarief9</f>
        <v>0</v>
      </c>
      <c r="R203" s="96" t="e">
        <f>IF(ISBLANK(N203),0,M203/ROUND(N203,4))</f>
        <v>#DIV/0!</v>
      </c>
      <c r="S203" s="96" t="e">
        <f>IF(ISBLANK(N203),0,R203*ROUND(O203,2))</f>
        <v>#DIV/0!</v>
      </c>
      <c r="T203" s="26" t="e">
        <f>ROUND(Q203,2)*R203</f>
        <v>#DIV/0!</v>
      </c>
      <c r="U203" s="96" t="e">
        <f>R203*dagenperjaar1</f>
        <v>#DIV/0!</v>
      </c>
      <c r="V203" s="27" t="e">
        <f>U203*ROUND(Q203,2)</f>
        <v>#DIV/0!</v>
      </c>
    </row>
    <row r="204" spans="1:22" x14ac:dyDescent="0.25">
      <c r="A204" s="93" t="s">
        <v>259</v>
      </c>
      <c r="B204" s="94" t="s">
        <v>41</v>
      </c>
      <c r="C204" s="94" t="s">
        <v>522</v>
      </c>
      <c r="D204" s="94" t="s">
        <v>555</v>
      </c>
      <c r="E204" s="95" t="s">
        <v>452</v>
      </c>
      <c r="F204" s="94" t="s">
        <v>336</v>
      </c>
      <c r="G204" s="94" t="s">
        <v>200</v>
      </c>
      <c r="H204" s="94" t="s">
        <v>16</v>
      </c>
      <c r="I204" s="94" t="s">
        <v>198</v>
      </c>
      <c r="J204" s="95" t="s">
        <v>201</v>
      </c>
      <c r="K204" s="94" t="s">
        <v>265</v>
      </c>
      <c r="L204" s="96">
        <v>14</v>
      </c>
      <c r="M204" s="96">
        <f>L204*VLOOKUP(H204,dagsoorttabel1,2,FALSE)</f>
        <v>2.8699999999999997</v>
      </c>
      <c r="N204" s="97">
        <f>prodnorm4</f>
        <v>0</v>
      </c>
      <c r="O204" s="41">
        <f>dagwerk4</f>
        <v>0</v>
      </c>
      <c r="P204" s="94" t="s">
        <v>108</v>
      </c>
      <c r="Q204" s="26">
        <f>uurtarief4</f>
        <v>0</v>
      </c>
      <c r="R204" s="96" t="e">
        <f>IF(ISBLANK(N204),0,M204/ROUND(N204,4))</f>
        <v>#DIV/0!</v>
      </c>
      <c r="S204" s="96" t="e">
        <f>IF(ISBLANK(N204),0,R204*ROUND(O204,2))</f>
        <v>#DIV/0!</v>
      </c>
      <c r="T204" s="26" t="e">
        <f>ROUND(Q204,2)*R204</f>
        <v>#DIV/0!</v>
      </c>
      <c r="U204" s="96" t="e">
        <f>R204*dagenperjaar1</f>
        <v>#DIV/0!</v>
      </c>
      <c r="V204" s="27" t="e">
        <f>U204*ROUND(Q204,2)</f>
        <v>#DIV/0!</v>
      </c>
    </row>
    <row r="205" spans="1:22" x14ac:dyDescent="0.25">
      <c r="A205" s="93" t="s">
        <v>259</v>
      </c>
      <c r="B205" s="94" t="s">
        <v>41</v>
      </c>
      <c r="C205" s="94" t="s">
        <v>522</v>
      </c>
      <c r="D205" s="94" t="s">
        <v>556</v>
      </c>
      <c r="E205" s="95" t="s">
        <v>280</v>
      </c>
      <c r="F205" s="94" t="s">
        <v>264</v>
      </c>
      <c r="G205" s="94" t="s">
        <v>236</v>
      </c>
      <c r="H205" s="94" t="s">
        <v>9</v>
      </c>
      <c r="I205" s="94" t="s">
        <v>198</v>
      </c>
      <c r="J205" s="95" t="s">
        <v>237</v>
      </c>
      <c r="K205" s="94" t="s">
        <v>273</v>
      </c>
      <c r="L205" s="96">
        <v>42</v>
      </c>
      <c r="M205" s="96">
        <f>L205*VLOOKUP(H205,dagsoorttabel1,2,FALSE)</f>
        <v>43.05</v>
      </c>
      <c r="N205" s="97">
        <f>prodnorm22</f>
        <v>0</v>
      </c>
      <c r="O205" s="41">
        <f>dagwerk22</f>
        <v>0</v>
      </c>
      <c r="P205" s="94" t="s">
        <v>108</v>
      </c>
      <c r="Q205" s="26">
        <f>uurtarief22</f>
        <v>0</v>
      </c>
      <c r="R205" s="96" t="e">
        <f>IF(ISBLANK(N205),0,M205/ROUND(N205,4))</f>
        <v>#DIV/0!</v>
      </c>
      <c r="S205" s="96" t="e">
        <f>IF(ISBLANK(N205),0,R205*ROUND(O205,2))</f>
        <v>#DIV/0!</v>
      </c>
      <c r="T205" s="26" t="e">
        <f>ROUND(Q205,2)*R205</f>
        <v>#DIV/0!</v>
      </c>
      <c r="U205" s="96" t="e">
        <f>R205*dagenperjaar1</f>
        <v>#DIV/0!</v>
      </c>
      <c r="V205" s="27" t="e">
        <f>U205*ROUND(Q205,2)</f>
        <v>#DIV/0!</v>
      </c>
    </row>
    <row r="206" spans="1:22" x14ac:dyDescent="0.25">
      <c r="A206" s="93" t="s">
        <v>259</v>
      </c>
      <c r="B206" s="94" t="s">
        <v>41</v>
      </c>
      <c r="C206" s="94" t="s">
        <v>522</v>
      </c>
      <c r="D206" s="94" t="s">
        <v>557</v>
      </c>
      <c r="E206" s="95" t="s">
        <v>538</v>
      </c>
      <c r="F206" s="94" t="s">
        <v>336</v>
      </c>
      <c r="G206" s="94" t="s">
        <v>208</v>
      </c>
      <c r="H206" s="94" t="s">
        <v>12</v>
      </c>
      <c r="I206" s="94" t="s">
        <v>198</v>
      </c>
      <c r="J206" s="95" t="s">
        <v>209</v>
      </c>
      <c r="K206" s="94" t="s">
        <v>337</v>
      </c>
      <c r="L206" s="96">
        <v>62</v>
      </c>
      <c r="M206" s="96">
        <f>L206*VLOOKUP(H206,dagsoorttabel1,2,FALSE)</f>
        <v>38.130000000000003</v>
      </c>
      <c r="N206" s="97">
        <f>prodnorm8</f>
        <v>0</v>
      </c>
      <c r="O206" s="41">
        <f>dagwerk8</f>
        <v>0</v>
      </c>
      <c r="P206" s="94" t="s">
        <v>108</v>
      </c>
      <c r="Q206" s="26">
        <f>uurtarief8</f>
        <v>0</v>
      </c>
      <c r="R206" s="96" t="e">
        <f>IF(ISBLANK(N206),0,M206/ROUND(N206,4))</f>
        <v>#DIV/0!</v>
      </c>
      <c r="S206" s="96" t="e">
        <f>IF(ISBLANK(N206),0,R206*ROUND(O206,2))</f>
        <v>#DIV/0!</v>
      </c>
      <c r="T206" s="26" t="e">
        <f>ROUND(Q206,2)*R206</f>
        <v>#DIV/0!</v>
      </c>
      <c r="U206" s="96" t="e">
        <f>R206*dagenperjaar1</f>
        <v>#DIV/0!</v>
      </c>
      <c r="V206" s="27" t="e">
        <f>U206*ROUND(Q206,2)</f>
        <v>#DIV/0!</v>
      </c>
    </row>
    <row r="207" spans="1:22" x14ac:dyDescent="0.25">
      <c r="A207" s="93" t="s">
        <v>259</v>
      </c>
      <c r="B207" s="94" t="s">
        <v>41</v>
      </c>
      <c r="C207" s="94" t="s">
        <v>522</v>
      </c>
      <c r="D207" s="94" t="s">
        <v>558</v>
      </c>
      <c r="E207" s="95" t="s">
        <v>538</v>
      </c>
      <c r="F207" s="94" t="s">
        <v>336</v>
      </c>
      <c r="G207" s="94" t="s">
        <v>208</v>
      </c>
      <c r="H207" s="94" t="s">
        <v>12</v>
      </c>
      <c r="I207" s="94" t="s">
        <v>198</v>
      </c>
      <c r="J207" s="95" t="s">
        <v>209</v>
      </c>
      <c r="K207" s="94" t="s">
        <v>337</v>
      </c>
      <c r="L207" s="96">
        <v>54</v>
      </c>
      <c r="M207" s="96">
        <f>L207*VLOOKUP(H207,dagsoorttabel1,2,FALSE)</f>
        <v>33.21</v>
      </c>
      <c r="N207" s="97">
        <f>prodnorm8</f>
        <v>0</v>
      </c>
      <c r="O207" s="41">
        <f>dagwerk8</f>
        <v>0</v>
      </c>
      <c r="P207" s="94" t="s">
        <v>108</v>
      </c>
      <c r="Q207" s="26">
        <f>uurtarief8</f>
        <v>0</v>
      </c>
      <c r="R207" s="96" t="e">
        <f>IF(ISBLANK(N207),0,M207/ROUND(N207,4))</f>
        <v>#DIV/0!</v>
      </c>
      <c r="S207" s="96" t="e">
        <f>IF(ISBLANK(N207),0,R207*ROUND(O207,2))</f>
        <v>#DIV/0!</v>
      </c>
      <c r="T207" s="26" t="e">
        <f>ROUND(Q207,2)*R207</f>
        <v>#DIV/0!</v>
      </c>
      <c r="U207" s="96" t="e">
        <f>R207*dagenperjaar1</f>
        <v>#DIV/0!</v>
      </c>
      <c r="V207" s="27" t="e">
        <f>U207*ROUND(Q207,2)</f>
        <v>#DIV/0!</v>
      </c>
    </row>
    <row r="208" spans="1:22" x14ac:dyDescent="0.25">
      <c r="A208" s="93" t="s">
        <v>259</v>
      </c>
      <c r="B208" s="94" t="s">
        <v>41</v>
      </c>
      <c r="C208" s="94" t="s">
        <v>522</v>
      </c>
      <c r="D208" s="94" t="s">
        <v>559</v>
      </c>
      <c r="E208" s="95" t="s">
        <v>538</v>
      </c>
      <c r="F208" s="94" t="s">
        <v>336</v>
      </c>
      <c r="G208" s="94" t="s">
        <v>208</v>
      </c>
      <c r="H208" s="94" t="s">
        <v>12</v>
      </c>
      <c r="I208" s="94" t="s">
        <v>198</v>
      </c>
      <c r="J208" s="95" t="s">
        <v>209</v>
      </c>
      <c r="K208" s="94" t="s">
        <v>337</v>
      </c>
      <c r="L208" s="96">
        <v>54</v>
      </c>
      <c r="M208" s="96">
        <f>L208*VLOOKUP(H208,dagsoorttabel1,2,FALSE)</f>
        <v>33.21</v>
      </c>
      <c r="N208" s="97">
        <f>prodnorm8</f>
        <v>0</v>
      </c>
      <c r="O208" s="41">
        <f>dagwerk8</f>
        <v>0</v>
      </c>
      <c r="P208" s="94" t="s">
        <v>108</v>
      </c>
      <c r="Q208" s="26">
        <f>uurtarief8</f>
        <v>0</v>
      </c>
      <c r="R208" s="96" t="e">
        <f>IF(ISBLANK(N208),0,M208/ROUND(N208,4))</f>
        <v>#DIV/0!</v>
      </c>
      <c r="S208" s="96" t="e">
        <f>IF(ISBLANK(N208),0,R208*ROUND(O208,2))</f>
        <v>#DIV/0!</v>
      </c>
      <c r="T208" s="26" t="e">
        <f>ROUND(Q208,2)*R208</f>
        <v>#DIV/0!</v>
      </c>
      <c r="U208" s="96" t="e">
        <f>R208*dagenperjaar1</f>
        <v>#DIV/0!</v>
      </c>
      <c r="V208" s="27" t="e">
        <f>U208*ROUND(Q208,2)</f>
        <v>#DIV/0!</v>
      </c>
    </row>
    <row r="209" spans="1:22" x14ac:dyDescent="0.25">
      <c r="A209" s="93" t="s">
        <v>259</v>
      </c>
      <c r="B209" s="94" t="s">
        <v>41</v>
      </c>
      <c r="C209" s="94" t="s">
        <v>522</v>
      </c>
      <c r="D209" s="94" t="s">
        <v>560</v>
      </c>
      <c r="E209" s="95" t="s">
        <v>387</v>
      </c>
      <c r="F209" s="94" t="s">
        <v>336</v>
      </c>
      <c r="G209" s="94" t="s">
        <v>210</v>
      </c>
      <c r="H209" s="94" t="s">
        <v>9</v>
      </c>
      <c r="I209" s="94" t="s">
        <v>198</v>
      </c>
      <c r="J209" s="95" t="s">
        <v>211</v>
      </c>
      <c r="K209" s="94" t="s">
        <v>337</v>
      </c>
      <c r="L209" s="96">
        <v>26</v>
      </c>
      <c r="M209" s="96">
        <f>L209*VLOOKUP(H209,dagsoorttabel1,2,FALSE)</f>
        <v>26.65</v>
      </c>
      <c r="N209" s="97">
        <f>prodnorm9</f>
        <v>0</v>
      </c>
      <c r="O209" s="41">
        <f>dagwerk9</f>
        <v>0</v>
      </c>
      <c r="P209" s="94" t="s">
        <v>108</v>
      </c>
      <c r="Q209" s="26">
        <f>uurtarief9</f>
        <v>0</v>
      </c>
      <c r="R209" s="96" t="e">
        <f>IF(ISBLANK(N209),0,M209/ROUND(N209,4))</f>
        <v>#DIV/0!</v>
      </c>
      <c r="S209" s="96" t="e">
        <f>IF(ISBLANK(N209),0,R209*ROUND(O209,2))</f>
        <v>#DIV/0!</v>
      </c>
      <c r="T209" s="26" t="e">
        <f>ROUND(Q209,2)*R209</f>
        <v>#DIV/0!</v>
      </c>
      <c r="U209" s="96" t="e">
        <f>R209*dagenperjaar1</f>
        <v>#DIV/0!</v>
      </c>
      <c r="V209" s="27" t="e">
        <f>U209*ROUND(Q209,2)</f>
        <v>#DIV/0!</v>
      </c>
    </row>
    <row r="210" spans="1:22" x14ac:dyDescent="0.25">
      <c r="A210" s="93" t="s">
        <v>259</v>
      </c>
      <c r="B210" s="94" t="s">
        <v>41</v>
      </c>
      <c r="C210" s="94" t="s">
        <v>522</v>
      </c>
      <c r="D210" s="94" t="s">
        <v>561</v>
      </c>
      <c r="E210" s="95" t="s">
        <v>538</v>
      </c>
      <c r="F210" s="94" t="s">
        <v>336</v>
      </c>
      <c r="G210" s="94" t="s">
        <v>208</v>
      </c>
      <c r="H210" s="94" t="s">
        <v>12</v>
      </c>
      <c r="I210" s="94" t="s">
        <v>198</v>
      </c>
      <c r="J210" s="95" t="s">
        <v>209</v>
      </c>
      <c r="K210" s="94" t="s">
        <v>337</v>
      </c>
      <c r="L210" s="96">
        <v>55</v>
      </c>
      <c r="M210" s="96">
        <f>L210*VLOOKUP(H210,dagsoorttabel1,2,FALSE)</f>
        <v>33.825000000000003</v>
      </c>
      <c r="N210" s="97">
        <f>prodnorm8</f>
        <v>0</v>
      </c>
      <c r="O210" s="41">
        <f>dagwerk8</f>
        <v>0</v>
      </c>
      <c r="P210" s="94" t="s">
        <v>108</v>
      </c>
      <c r="Q210" s="26">
        <f>uurtarief8</f>
        <v>0</v>
      </c>
      <c r="R210" s="96" t="e">
        <f>IF(ISBLANK(N210),0,M210/ROUND(N210,4))</f>
        <v>#DIV/0!</v>
      </c>
      <c r="S210" s="96" t="e">
        <f>IF(ISBLANK(N210),0,R210*ROUND(O210,2))</f>
        <v>#DIV/0!</v>
      </c>
      <c r="T210" s="26" t="e">
        <f>ROUND(Q210,2)*R210</f>
        <v>#DIV/0!</v>
      </c>
      <c r="U210" s="96" t="e">
        <f>R210*dagenperjaar1</f>
        <v>#DIV/0!</v>
      </c>
      <c r="V210" s="27" t="e">
        <f>U210*ROUND(Q210,2)</f>
        <v>#DIV/0!</v>
      </c>
    </row>
    <row r="211" spans="1:22" x14ac:dyDescent="0.25">
      <c r="A211" s="93" t="s">
        <v>259</v>
      </c>
      <c r="B211" s="94" t="s">
        <v>41</v>
      </c>
      <c r="C211" s="94" t="s">
        <v>522</v>
      </c>
      <c r="D211" s="94" t="s">
        <v>562</v>
      </c>
      <c r="E211" s="95" t="s">
        <v>538</v>
      </c>
      <c r="F211" s="94" t="s">
        <v>336</v>
      </c>
      <c r="G211" s="94" t="s">
        <v>208</v>
      </c>
      <c r="H211" s="94" t="s">
        <v>12</v>
      </c>
      <c r="I211" s="94" t="s">
        <v>198</v>
      </c>
      <c r="J211" s="95" t="s">
        <v>209</v>
      </c>
      <c r="K211" s="94" t="s">
        <v>337</v>
      </c>
      <c r="L211" s="96">
        <v>58</v>
      </c>
      <c r="M211" s="96">
        <f>L211*VLOOKUP(H211,dagsoorttabel1,2,FALSE)</f>
        <v>35.67</v>
      </c>
      <c r="N211" s="97">
        <f>prodnorm8</f>
        <v>0</v>
      </c>
      <c r="O211" s="41">
        <f>dagwerk8</f>
        <v>0</v>
      </c>
      <c r="P211" s="94" t="s">
        <v>108</v>
      </c>
      <c r="Q211" s="26">
        <f>uurtarief8</f>
        <v>0</v>
      </c>
      <c r="R211" s="96" t="e">
        <f>IF(ISBLANK(N211),0,M211/ROUND(N211,4))</f>
        <v>#DIV/0!</v>
      </c>
      <c r="S211" s="96" t="e">
        <f>IF(ISBLANK(N211),0,R211*ROUND(O211,2))</f>
        <v>#DIV/0!</v>
      </c>
      <c r="T211" s="26" t="e">
        <f>ROUND(Q211,2)*R211</f>
        <v>#DIV/0!</v>
      </c>
      <c r="U211" s="96" t="e">
        <f>R211*dagenperjaar1</f>
        <v>#DIV/0!</v>
      </c>
      <c r="V211" s="27" t="e">
        <f>U211*ROUND(Q211,2)</f>
        <v>#DIV/0!</v>
      </c>
    </row>
    <row r="212" spans="1:22" x14ac:dyDescent="0.25">
      <c r="A212" s="93" t="s">
        <v>259</v>
      </c>
      <c r="B212" s="94" t="s">
        <v>41</v>
      </c>
      <c r="C212" s="94" t="s">
        <v>522</v>
      </c>
      <c r="D212" s="94" t="s">
        <v>563</v>
      </c>
      <c r="E212" s="95" t="s">
        <v>272</v>
      </c>
      <c r="F212" s="94" t="s">
        <v>336</v>
      </c>
      <c r="G212" s="94" t="s">
        <v>228</v>
      </c>
      <c r="H212" s="94" t="s">
        <v>9</v>
      </c>
      <c r="I212" s="94" t="s">
        <v>198</v>
      </c>
      <c r="J212" s="95" t="s">
        <v>229</v>
      </c>
      <c r="K212" s="94" t="s">
        <v>273</v>
      </c>
      <c r="L212" s="96">
        <v>73</v>
      </c>
      <c r="M212" s="96">
        <f>L212*VLOOKUP(H212,dagsoorttabel1,2,FALSE)</f>
        <v>74.824999999999989</v>
      </c>
      <c r="N212" s="97">
        <f>prodnorm18</f>
        <v>0</v>
      </c>
      <c r="O212" s="41">
        <f>dagwerk18</f>
        <v>0</v>
      </c>
      <c r="P212" s="94" t="s">
        <v>108</v>
      </c>
      <c r="Q212" s="26">
        <f>uurtarief18</f>
        <v>0</v>
      </c>
      <c r="R212" s="96" t="e">
        <f>IF(ISBLANK(N212),0,M212/ROUND(N212,4))</f>
        <v>#DIV/0!</v>
      </c>
      <c r="S212" s="96" t="e">
        <f>IF(ISBLANK(N212),0,R212*ROUND(O212,2))</f>
        <v>#DIV/0!</v>
      </c>
      <c r="T212" s="26" t="e">
        <f>ROUND(Q212,2)*R212</f>
        <v>#DIV/0!</v>
      </c>
      <c r="U212" s="96" t="e">
        <f>R212*dagenperjaar1</f>
        <v>#DIV/0!</v>
      </c>
      <c r="V212" s="27" t="e">
        <f>U212*ROUND(Q212,2)</f>
        <v>#DIV/0!</v>
      </c>
    </row>
    <row r="213" spans="1:22" x14ac:dyDescent="0.25">
      <c r="A213" s="93" t="s">
        <v>259</v>
      </c>
      <c r="B213" s="94" t="s">
        <v>41</v>
      </c>
      <c r="C213" s="94" t="s">
        <v>522</v>
      </c>
      <c r="D213" s="94" t="s">
        <v>564</v>
      </c>
      <c r="E213" s="95" t="s">
        <v>565</v>
      </c>
      <c r="F213" s="94" t="s">
        <v>336</v>
      </c>
      <c r="G213" s="94" t="s">
        <v>197</v>
      </c>
      <c r="H213" s="94" t="s">
        <v>16</v>
      </c>
      <c r="I213" s="94" t="s">
        <v>198</v>
      </c>
      <c r="J213" s="95" t="s">
        <v>199</v>
      </c>
      <c r="K213" s="94" t="s">
        <v>265</v>
      </c>
      <c r="L213" s="96">
        <v>15</v>
      </c>
      <c r="M213" s="96">
        <f>L213*VLOOKUP(H213,dagsoorttabel1,2,FALSE)</f>
        <v>3.0749999999999997</v>
      </c>
      <c r="N213" s="97">
        <f>prodnorm3</f>
        <v>0</v>
      </c>
      <c r="O213" s="41">
        <f>dagwerk3</f>
        <v>0</v>
      </c>
      <c r="P213" s="94" t="s">
        <v>108</v>
      </c>
      <c r="Q213" s="26">
        <f>uurtarief3</f>
        <v>0</v>
      </c>
      <c r="R213" s="96" t="e">
        <f>IF(ISBLANK(N213),0,M213/ROUND(N213,4))</f>
        <v>#DIV/0!</v>
      </c>
      <c r="S213" s="96" t="e">
        <f>IF(ISBLANK(N213),0,R213*ROUND(O213,2))</f>
        <v>#DIV/0!</v>
      </c>
      <c r="T213" s="26" t="e">
        <f>ROUND(Q213,2)*R213</f>
        <v>#DIV/0!</v>
      </c>
      <c r="U213" s="96" t="e">
        <f>R213*dagenperjaar1</f>
        <v>#DIV/0!</v>
      </c>
      <c r="V213" s="27" t="e">
        <f>U213*ROUND(Q213,2)</f>
        <v>#DIV/0!</v>
      </c>
    </row>
    <row r="214" spans="1:22" x14ac:dyDescent="0.25">
      <c r="A214" s="93" t="s">
        <v>259</v>
      </c>
      <c r="B214" s="94" t="s">
        <v>41</v>
      </c>
      <c r="C214" s="94" t="s">
        <v>522</v>
      </c>
      <c r="D214" s="94" t="s">
        <v>566</v>
      </c>
      <c r="E214" s="95" t="s">
        <v>567</v>
      </c>
      <c r="F214" s="94" t="s">
        <v>336</v>
      </c>
      <c r="G214" s="94" t="s">
        <v>197</v>
      </c>
      <c r="H214" s="94" t="s">
        <v>16</v>
      </c>
      <c r="I214" s="94" t="s">
        <v>198</v>
      </c>
      <c r="J214" s="95" t="s">
        <v>199</v>
      </c>
      <c r="K214" s="94" t="s">
        <v>265</v>
      </c>
      <c r="L214" s="96">
        <v>20</v>
      </c>
      <c r="M214" s="96">
        <f>L214*VLOOKUP(H214,dagsoorttabel1,2,FALSE)</f>
        <v>4.0999999999999996</v>
      </c>
      <c r="N214" s="97">
        <f>prodnorm3</f>
        <v>0</v>
      </c>
      <c r="O214" s="41">
        <f>dagwerk3</f>
        <v>0</v>
      </c>
      <c r="P214" s="94" t="s">
        <v>108</v>
      </c>
      <c r="Q214" s="26">
        <f>uurtarief3</f>
        <v>0</v>
      </c>
      <c r="R214" s="96" t="e">
        <f>IF(ISBLANK(N214),0,M214/ROUND(N214,4))</f>
        <v>#DIV/0!</v>
      </c>
      <c r="S214" s="96" t="e">
        <f>IF(ISBLANK(N214),0,R214*ROUND(O214,2))</f>
        <v>#DIV/0!</v>
      </c>
      <c r="T214" s="26" t="e">
        <f>ROUND(Q214,2)*R214</f>
        <v>#DIV/0!</v>
      </c>
      <c r="U214" s="96" t="e">
        <f>R214*dagenperjaar1</f>
        <v>#DIV/0!</v>
      </c>
      <c r="V214" s="27" t="e">
        <f>U214*ROUND(Q214,2)</f>
        <v>#DIV/0!</v>
      </c>
    </row>
    <row r="215" spans="1:22" x14ac:dyDescent="0.25">
      <c r="A215" s="93" t="s">
        <v>259</v>
      </c>
      <c r="B215" s="94" t="s">
        <v>41</v>
      </c>
      <c r="C215" s="94" t="s">
        <v>522</v>
      </c>
      <c r="D215" s="94" t="s">
        <v>568</v>
      </c>
      <c r="E215" s="95" t="s">
        <v>538</v>
      </c>
      <c r="F215" s="94" t="s">
        <v>336</v>
      </c>
      <c r="G215" s="94" t="s">
        <v>208</v>
      </c>
      <c r="H215" s="94" t="s">
        <v>12</v>
      </c>
      <c r="I215" s="94" t="s">
        <v>198</v>
      </c>
      <c r="J215" s="95" t="s">
        <v>209</v>
      </c>
      <c r="K215" s="94" t="s">
        <v>337</v>
      </c>
      <c r="L215" s="96">
        <v>60</v>
      </c>
      <c r="M215" s="96">
        <f>L215*VLOOKUP(H215,dagsoorttabel1,2,FALSE)</f>
        <v>36.9</v>
      </c>
      <c r="N215" s="97">
        <f>prodnorm8</f>
        <v>0</v>
      </c>
      <c r="O215" s="41">
        <f>dagwerk8</f>
        <v>0</v>
      </c>
      <c r="P215" s="94" t="s">
        <v>108</v>
      </c>
      <c r="Q215" s="26">
        <f>uurtarief8</f>
        <v>0</v>
      </c>
      <c r="R215" s="96" t="e">
        <f>IF(ISBLANK(N215),0,M215/ROUND(N215,4))</f>
        <v>#DIV/0!</v>
      </c>
      <c r="S215" s="96" t="e">
        <f>IF(ISBLANK(N215),0,R215*ROUND(O215,2))</f>
        <v>#DIV/0!</v>
      </c>
      <c r="T215" s="26" t="e">
        <f>ROUND(Q215,2)*R215</f>
        <v>#DIV/0!</v>
      </c>
      <c r="U215" s="96" t="e">
        <f>R215*dagenperjaar1</f>
        <v>#DIV/0!</v>
      </c>
      <c r="V215" s="27" t="e">
        <f>U215*ROUND(Q215,2)</f>
        <v>#DIV/0!</v>
      </c>
    </row>
    <row r="216" spans="1:22" ht="23" x14ac:dyDescent="0.25">
      <c r="A216" s="93" t="s">
        <v>259</v>
      </c>
      <c r="B216" s="94" t="s">
        <v>41</v>
      </c>
      <c r="C216" s="94" t="s">
        <v>522</v>
      </c>
      <c r="D216" s="94" t="s">
        <v>569</v>
      </c>
      <c r="E216" s="95" t="s">
        <v>570</v>
      </c>
      <c r="F216" s="94" t="s">
        <v>336</v>
      </c>
      <c r="G216" s="94" t="s">
        <v>197</v>
      </c>
      <c r="H216" s="94" t="s">
        <v>16</v>
      </c>
      <c r="I216" s="94" t="s">
        <v>198</v>
      </c>
      <c r="J216" s="95" t="s">
        <v>199</v>
      </c>
      <c r="K216" s="94" t="s">
        <v>265</v>
      </c>
      <c r="L216" s="96">
        <v>35</v>
      </c>
      <c r="M216" s="96">
        <f>L216*VLOOKUP(H216,dagsoorttabel1,2,FALSE)</f>
        <v>7.1749999999999998</v>
      </c>
      <c r="N216" s="97">
        <f>prodnorm3</f>
        <v>0</v>
      </c>
      <c r="O216" s="41">
        <f>dagwerk3</f>
        <v>0</v>
      </c>
      <c r="P216" s="94" t="s">
        <v>108</v>
      </c>
      <c r="Q216" s="26">
        <f>uurtarief3</f>
        <v>0</v>
      </c>
      <c r="R216" s="96" t="e">
        <f>IF(ISBLANK(N216),0,M216/ROUND(N216,4))</f>
        <v>#DIV/0!</v>
      </c>
      <c r="S216" s="96" t="e">
        <f>IF(ISBLANK(N216),0,R216*ROUND(O216,2))</f>
        <v>#DIV/0!</v>
      </c>
      <c r="T216" s="26" t="e">
        <f>ROUND(Q216,2)*R216</f>
        <v>#DIV/0!</v>
      </c>
      <c r="U216" s="96" t="e">
        <f>R216*dagenperjaar1</f>
        <v>#DIV/0!</v>
      </c>
      <c r="V216" s="27" t="e">
        <f>U216*ROUND(Q216,2)</f>
        <v>#DIV/0!</v>
      </c>
    </row>
    <row r="217" spans="1:22" x14ac:dyDescent="0.25">
      <c r="A217" s="93" t="s">
        <v>259</v>
      </c>
      <c r="B217" s="94" t="s">
        <v>41</v>
      </c>
      <c r="C217" s="94" t="s">
        <v>522</v>
      </c>
      <c r="D217" s="94" t="s">
        <v>571</v>
      </c>
      <c r="E217" s="95" t="s">
        <v>317</v>
      </c>
      <c r="F217" s="94" t="s">
        <v>41</v>
      </c>
      <c r="G217" s="94" t="s">
        <v>268</v>
      </c>
      <c r="H217" s="94"/>
      <c r="I217" s="94"/>
      <c r="J217" s="94"/>
      <c r="K217" s="94" t="s">
        <v>41</v>
      </c>
      <c r="L217" s="96">
        <v>4</v>
      </c>
      <c r="M217" s="96"/>
      <c r="N217" s="97"/>
      <c r="O217" s="41"/>
      <c r="P217" s="94"/>
      <c r="Q217" s="26"/>
      <c r="R217" s="96"/>
      <c r="S217" s="96"/>
      <c r="T217" s="26"/>
      <c r="U217" s="98"/>
      <c r="V217" s="27"/>
    </row>
    <row r="218" spans="1:22" x14ac:dyDescent="0.25">
      <c r="A218" s="93" t="s">
        <v>259</v>
      </c>
      <c r="B218" s="94" t="s">
        <v>41</v>
      </c>
      <c r="C218" s="94" t="s">
        <v>522</v>
      </c>
      <c r="D218" s="94" t="s">
        <v>572</v>
      </c>
      <c r="E218" s="95" t="s">
        <v>410</v>
      </c>
      <c r="F218" s="94" t="s">
        <v>41</v>
      </c>
      <c r="G218" s="94" t="s">
        <v>268</v>
      </c>
      <c r="H218" s="94"/>
      <c r="I218" s="94"/>
      <c r="J218" s="94"/>
      <c r="K218" s="94" t="s">
        <v>41</v>
      </c>
      <c r="L218" s="96">
        <v>4</v>
      </c>
      <c r="M218" s="96"/>
      <c r="N218" s="97"/>
      <c r="O218" s="41"/>
      <c r="P218" s="94"/>
      <c r="Q218" s="26"/>
      <c r="R218" s="96"/>
      <c r="S218" s="96"/>
      <c r="T218" s="26"/>
      <c r="U218" s="98"/>
      <c r="V218" s="27"/>
    </row>
    <row r="219" spans="1:22" x14ac:dyDescent="0.25">
      <c r="A219" s="93" t="s">
        <v>259</v>
      </c>
      <c r="B219" s="94" t="s">
        <v>41</v>
      </c>
      <c r="C219" s="94" t="s">
        <v>522</v>
      </c>
      <c r="D219" s="94" t="s">
        <v>573</v>
      </c>
      <c r="E219" s="95" t="s">
        <v>574</v>
      </c>
      <c r="F219" s="94" t="s">
        <v>336</v>
      </c>
      <c r="G219" s="94" t="s">
        <v>268</v>
      </c>
      <c r="H219" s="94"/>
      <c r="I219" s="94"/>
      <c r="J219" s="94"/>
      <c r="K219" s="94" t="s">
        <v>41</v>
      </c>
      <c r="L219" s="96">
        <v>38</v>
      </c>
      <c r="M219" s="96"/>
      <c r="N219" s="97"/>
      <c r="O219" s="41"/>
      <c r="P219" s="94"/>
      <c r="Q219" s="26"/>
      <c r="R219" s="96"/>
      <c r="S219" s="96"/>
      <c r="T219" s="26"/>
      <c r="U219" s="98"/>
      <c r="V219" s="27"/>
    </row>
    <row r="220" spans="1:22" x14ac:dyDescent="0.25">
      <c r="A220" s="93" t="s">
        <v>259</v>
      </c>
      <c r="B220" s="94" t="s">
        <v>41</v>
      </c>
      <c r="C220" s="94" t="s">
        <v>522</v>
      </c>
      <c r="D220" s="94" t="s">
        <v>575</v>
      </c>
      <c r="E220" s="95" t="s">
        <v>576</v>
      </c>
      <c r="F220" s="94" t="s">
        <v>336</v>
      </c>
      <c r="G220" s="94" t="s">
        <v>214</v>
      </c>
      <c r="H220" s="94" t="s">
        <v>12</v>
      </c>
      <c r="I220" s="94" t="s">
        <v>198</v>
      </c>
      <c r="J220" s="95" t="s">
        <v>215</v>
      </c>
      <c r="K220" s="94" t="s">
        <v>337</v>
      </c>
      <c r="L220" s="96">
        <v>102</v>
      </c>
      <c r="M220" s="96">
        <f>L220*VLOOKUP(H220,dagsoorttabel1,2,FALSE)</f>
        <v>62.73</v>
      </c>
      <c r="N220" s="97">
        <f>prodnorm11</f>
        <v>0</v>
      </c>
      <c r="O220" s="41">
        <f>dagwerk11</f>
        <v>0</v>
      </c>
      <c r="P220" s="94" t="s">
        <v>108</v>
      </c>
      <c r="Q220" s="26">
        <f>uurtarief11</f>
        <v>0</v>
      </c>
      <c r="R220" s="96" t="e">
        <f>IF(ISBLANK(N220),0,M220/ROUND(N220,4))</f>
        <v>#DIV/0!</v>
      </c>
      <c r="S220" s="96" t="e">
        <f>IF(ISBLANK(N220),0,R220*ROUND(O220,2))</f>
        <v>#DIV/0!</v>
      </c>
      <c r="T220" s="26" t="e">
        <f>ROUND(Q220,2)*R220</f>
        <v>#DIV/0!</v>
      </c>
      <c r="U220" s="96" t="e">
        <f>R220*dagenperjaar1</f>
        <v>#DIV/0!</v>
      </c>
      <c r="V220" s="27" t="e">
        <f>U220*ROUND(Q220,2)</f>
        <v>#DIV/0!</v>
      </c>
    </row>
    <row r="221" spans="1:22" x14ac:dyDescent="0.25">
      <c r="A221" s="93" t="s">
        <v>259</v>
      </c>
      <c r="B221" s="94" t="s">
        <v>41</v>
      </c>
      <c r="C221" s="94" t="s">
        <v>522</v>
      </c>
      <c r="D221" s="94" t="s">
        <v>577</v>
      </c>
      <c r="E221" s="95" t="s">
        <v>576</v>
      </c>
      <c r="F221" s="94" t="s">
        <v>336</v>
      </c>
      <c r="G221" s="94" t="s">
        <v>214</v>
      </c>
      <c r="H221" s="94" t="s">
        <v>12</v>
      </c>
      <c r="I221" s="94" t="s">
        <v>198</v>
      </c>
      <c r="J221" s="95" t="s">
        <v>215</v>
      </c>
      <c r="K221" s="94" t="s">
        <v>337</v>
      </c>
      <c r="L221" s="96">
        <v>182</v>
      </c>
      <c r="M221" s="96">
        <f>L221*VLOOKUP(H221,dagsoorttabel1,2,FALSE)</f>
        <v>111.92999999999999</v>
      </c>
      <c r="N221" s="97">
        <f>prodnorm11</f>
        <v>0</v>
      </c>
      <c r="O221" s="41">
        <f>dagwerk11</f>
        <v>0</v>
      </c>
      <c r="P221" s="94" t="s">
        <v>108</v>
      </c>
      <c r="Q221" s="26">
        <f>uurtarief11</f>
        <v>0</v>
      </c>
      <c r="R221" s="96" t="e">
        <f>IF(ISBLANK(N221),0,M221/ROUND(N221,4))</f>
        <v>#DIV/0!</v>
      </c>
      <c r="S221" s="96" t="e">
        <f>IF(ISBLANK(N221),0,R221*ROUND(O221,2))</f>
        <v>#DIV/0!</v>
      </c>
      <c r="T221" s="26" t="e">
        <f>ROUND(Q221,2)*R221</f>
        <v>#DIV/0!</v>
      </c>
      <c r="U221" s="96" t="e">
        <f>R221*dagenperjaar1</f>
        <v>#DIV/0!</v>
      </c>
      <c r="V221" s="27" t="e">
        <f>U221*ROUND(Q221,2)</f>
        <v>#DIV/0!</v>
      </c>
    </row>
    <row r="222" spans="1:22" x14ac:dyDescent="0.25">
      <c r="A222" s="93" t="s">
        <v>259</v>
      </c>
      <c r="B222" s="94" t="s">
        <v>41</v>
      </c>
      <c r="C222" s="94" t="s">
        <v>522</v>
      </c>
      <c r="D222" s="94" t="s">
        <v>578</v>
      </c>
      <c r="E222" s="95" t="s">
        <v>280</v>
      </c>
      <c r="F222" s="94" t="s">
        <v>300</v>
      </c>
      <c r="G222" s="94" t="s">
        <v>236</v>
      </c>
      <c r="H222" s="94" t="s">
        <v>9</v>
      </c>
      <c r="I222" s="94" t="s">
        <v>198</v>
      </c>
      <c r="J222" s="95" t="s">
        <v>237</v>
      </c>
      <c r="K222" s="94" t="s">
        <v>273</v>
      </c>
      <c r="L222" s="96">
        <v>28</v>
      </c>
      <c r="M222" s="96">
        <f>L222*VLOOKUP(H222,dagsoorttabel1,2,FALSE)</f>
        <v>28.699999999999996</v>
      </c>
      <c r="N222" s="97">
        <f>prodnorm22</f>
        <v>0</v>
      </c>
      <c r="O222" s="41">
        <f>dagwerk22</f>
        <v>0</v>
      </c>
      <c r="P222" s="94" t="s">
        <v>108</v>
      </c>
      <c r="Q222" s="26">
        <f>uurtarief22</f>
        <v>0</v>
      </c>
      <c r="R222" s="96" t="e">
        <f>IF(ISBLANK(N222),0,M222/ROUND(N222,4))</f>
        <v>#DIV/0!</v>
      </c>
      <c r="S222" s="96" t="e">
        <f>IF(ISBLANK(N222),0,R222*ROUND(O222,2))</f>
        <v>#DIV/0!</v>
      </c>
      <c r="T222" s="26" t="e">
        <f>ROUND(Q222,2)*R222</f>
        <v>#DIV/0!</v>
      </c>
      <c r="U222" s="96" t="e">
        <f>R222*dagenperjaar1</f>
        <v>#DIV/0!</v>
      </c>
      <c r="V222" s="27" t="e">
        <f>U222*ROUND(Q222,2)</f>
        <v>#DIV/0!</v>
      </c>
    </row>
    <row r="223" spans="1:22" x14ac:dyDescent="0.25">
      <c r="A223" s="93" t="s">
        <v>259</v>
      </c>
      <c r="B223" s="94" t="s">
        <v>41</v>
      </c>
      <c r="C223" s="94" t="s">
        <v>522</v>
      </c>
      <c r="D223" s="94" t="s">
        <v>579</v>
      </c>
      <c r="E223" s="95" t="s">
        <v>502</v>
      </c>
      <c r="F223" s="94" t="s">
        <v>300</v>
      </c>
      <c r="G223" s="94" t="s">
        <v>224</v>
      </c>
      <c r="H223" s="94" t="s">
        <v>9</v>
      </c>
      <c r="I223" s="94" t="s">
        <v>198</v>
      </c>
      <c r="J223" s="95" t="s">
        <v>225</v>
      </c>
      <c r="K223" s="94" t="s">
        <v>296</v>
      </c>
      <c r="L223" s="96">
        <v>9</v>
      </c>
      <c r="M223" s="96">
        <f>L223*VLOOKUP(H223,dagsoorttabel1,2,FALSE)</f>
        <v>9.2249999999999996</v>
      </c>
      <c r="N223" s="97">
        <f>prodnorm16</f>
        <v>0</v>
      </c>
      <c r="O223" s="41">
        <f>dagwerk16</f>
        <v>0</v>
      </c>
      <c r="P223" s="94" t="s">
        <v>108</v>
      </c>
      <c r="Q223" s="26">
        <f>uurtarief16</f>
        <v>0</v>
      </c>
      <c r="R223" s="96" t="e">
        <f>IF(ISBLANK(N223),0,M223/ROUND(N223,4))</f>
        <v>#DIV/0!</v>
      </c>
      <c r="S223" s="96" t="e">
        <f>IF(ISBLANK(N223),0,R223*ROUND(O223,2))</f>
        <v>#DIV/0!</v>
      </c>
      <c r="T223" s="26" t="e">
        <f>ROUND(Q223,2)*R223</f>
        <v>#DIV/0!</v>
      </c>
      <c r="U223" s="96" t="e">
        <f>R223*dagenperjaar1</f>
        <v>#DIV/0!</v>
      </c>
      <c r="V223" s="27" t="e">
        <f>U223*ROUND(Q223,2)</f>
        <v>#DIV/0!</v>
      </c>
    </row>
    <row r="224" spans="1:22" x14ac:dyDescent="0.25">
      <c r="A224" s="93" t="s">
        <v>259</v>
      </c>
      <c r="B224" s="94" t="s">
        <v>41</v>
      </c>
      <c r="C224" s="94" t="s">
        <v>522</v>
      </c>
      <c r="D224" s="94" t="s">
        <v>580</v>
      </c>
      <c r="E224" s="95" t="s">
        <v>507</v>
      </c>
      <c r="F224" s="94" t="s">
        <v>300</v>
      </c>
      <c r="G224" s="94" t="s">
        <v>268</v>
      </c>
      <c r="H224" s="94"/>
      <c r="I224" s="94"/>
      <c r="J224" s="94"/>
      <c r="K224" s="94" t="s">
        <v>41</v>
      </c>
      <c r="L224" s="96">
        <v>4</v>
      </c>
      <c r="M224" s="96"/>
      <c r="N224" s="97"/>
      <c r="O224" s="41"/>
      <c r="P224" s="94"/>
      <c r="Q224" s="26"/>
      <c r="R224" s="96"/>
      <c r="S224" s="96"/>
      <c r="T224" s="26"/>
      <c r="U224" s="98"/>
      <c r="V224" s="27"/>
    </row>
    <row r="225" spans="1:22" x14ac:dyDescent="0.25">
      <c r="A225" s="93" t="s">
        <v>259</v>
      </c>
      <c r="B225" s="94" t="s">
        <v>41</v>
      </c>
      <c r="C225" s="94" t="s">
        <v>522</v>
      </c>
      <c r="D225" s="94" t="s">
        <v>581</v>
      </c>
      <c r="E225" s="95" t="s">
        <v>410</v>
      </c>
      <c r="F225" s="94" t="s">
        <v>41</v>
      </c>
      <c r="G225" s="94" t="s">
        <v>268</v>
      </c>
      <c r="H225" s="94"/>
      <c r="I225" s="94"/>
      <c r="J225" s="94"/>
      <c r="K225" s="94" t="s">
        <v>41</v>
      </c>
      <c r="L225" s="96">
        <v>5</v>
      </c>
      <c r="M225" s="96"/>
      <c r="N225" s="97"/>
      <c r="O225" s="41"/>
      <c r="P225" s="94"/>
      <c r="Q225" s="26"/>
      <c r="R225" s="96"/>
      <c r="S225" s="96"/>
      <c r="T225" s="26"/>
      <c r="U225" s="98"/>
      <c r="V225" s="27"/>
    </row>
    <row r="226" spans="1:22" x14ac:dyDescent="0.25">
      <c r="A226" s="93" t="s">
        <v>259</v>
      </c>
      <c r="B226" s="94" t="s">
        <v>41</v>
      </c>
      <c r="C226" s="94" t="s">
        <v>522</v>
      </c>
      <c r="D226" s="94" t="s">
        <v>582</v>
      </c>
      <c r="E226" s="95" t="s">
        <v>356</v>
      </c>
      <c r="F226" s="94" t="s">
        <v>300</v>
      </c>
      <c r="G226" s="94" t="s">
        <v>224</v>
      </c>
      <c r="H226" s="94" t="s">
        <v>9</v>
      </c>
      <c r="I226" s="94" t="s">
        <v>198</v>
      </c>
      <c r="J226" s="95" t="s">
        <v>225</v>
      </c>
      <c r="K226" s="94" t="s">
        <v>296</v>
      </c>
      <c r="L226" s="96">
        <v>4</v>
      </c>
      <c r="M226" s="96">
        <f>L226*VLOOKUP(H226,dagsoorttabel1,2,FALSE)</f>
        <v>4.0999999999999996</v>
      </c>
      <c r="N226" s="97">
        <f>prodnorm16</f>
        <v>0</v>
      </c>
      <c r="O226" s="41">
        <f>dagwerk16</f>
        <v>0</v>
      </c>
      <c r="P226" s="94" t="s">
        <v>108</v>
      </c>
      <c r="Q226" s="26">
        <f>uurtarief16</f>
        <v>0</v>
      </c>
      <c r="R226" s="96" t="e">
        <f>IF(ISBLANK(N226),0,M226/ROUND(N226,4))</f>
        <v>#DIV/0!</v>
      </c>
      <c r="S226" s="96" t="e">
        <f>IF(ISBLANK(N226),0,R226*ROUND(O226,2))</f>
        <v>#DIV/0!</v>
      </c>
      <c r="T226" s="26" t="e">
        <f>ROUND(Q226,2)*R226</f>
        <v>#DIV/0!</v>
      </c>
      <c r="U226" s="96" t="e">
        <f>R226*dagenperjaar1</f>
        <v>#DIV/0!</v>
      </c>
      <c r="V226" s="27" t="e">
        <f>U226*ROUND(Q226,2)</f>
        <v>#DIV/0!</v>
      </c>
    </row>
    <row r="227" spans="1:22" x14ac:dyDescent="0.25">
      <c r="A227" s="93" t="s">
        <v>259</v>
      </c>
      <c r="B227" s="94" t="s">
        <v>41</v>
      </c>
      <c r="C227" s="94" t="s">
        <v>522</v>
      </c>
      <c r="D227" s="94" t="s">
        <v>583</v>
      </c>
      <c r="E227" s="95" t="s">
        <v>352</v>
      </c>
      <c r="F227" s="94" t="s">
        <v>300</v>
      </c>
      <c r="G227" s="94" t="s">
        <v>224</v>
      </c>
      <c r="H227" s="94" t="s">
        <v>9</v>
      </c>
      <c r="I227" s="94" t="s">
        <v>198</v>
      </c>
      <c r="J227" s="95" t="s">
        <v>225</v>
      </c>
      <c r="K227" s="94" t="s">
        <v>296</v>
      </c>
      <c r="L227" s="96">
        <v>10</v>
      </c>
      <c r="M227" s="96">
        <f>L227*VLOOKUP(H227,dagsoorttabel1,2,FALSE)</f>
        <v>10.25</v>
      </c>
      <c r="N227" s="97">
        <f>prodnorm16</f>
        <v>0</v>
      </c>
      <c r="O227" s="41">
        <f>dagwerk16</f>
        <v>0</v>
      </c>
      <c r="P227" s="94" t="s">
        <v>108</v>
      </c>
      <c r="Q227" s="26">
        <f>uurtarief16</f>
        <v>0</v>
      </c>
      <c r="R227" s="96" t="e">
        <f>IF(ISBLANK(N227),0,M227/ROUND(N227,4))</f>
        <v>#DIV/0!</v>
      </c>
      <c r="S227" s="96" t="e">
        <f>IF(ISBLANK(N227),0,R227*ROUND(O227,2))</f>
        <v>#DIV/0!</v>
      </c>
      <c r="T227" s="26" t="e">
        <f>ROUND(Q227,2)*R227</f>
        <v>#DIV/0!</v>
      </c>
      <c r="U227" s="96" t="e">
        <f>R227*dagenperjaar1</f>
        <v>#DIV/0!</v>
      </c>
      <c r="V227" s="27" t="e">
        <f>U227*ROUND(Q227,2)</f>
        <v>#DIV/0!</v>
      </c>
    </row>
    <row r="228" spans="1:22" x14ac:dyDescent="0.25">
      <c r="A228" s="93" t="s">
        <v>259</v>
      </c>
      <c r="B228" s="94" t="s">
        <v>41</v>
      </c>
      <c r="C228" s="94" t="s">
        <v>522</v>
      </c>
      <c r="D228" s="94" t="s">
        <v>584</v>
      </c>
      <c r="E228" s="95" t="s">
        <v>358</v>
      </c>
      <c r="F228" s="94" t="s">
        <v>300</v>
      </c>
      <c r="G228" s="94" t="s">
        <v>224</v>
      </c>
      <c r="H228" s="94" t="s">
        <v>9</v>
      </c>
      <c r="I228" s="94" t="s">
        <v>198</v>
      </c>
      <c r="J228" s="95" t="s">
        <v>225</v>
      </c>
      <c r="K228" s="94" t="s">
        <v>296</v>
      </c>
      <c r="L228" s="96">
        <v>1</v>
      </c>
      <c r="M228" s="96">
        <f>L228*VLOOKUP(H228,dagsoorttabel1,2,FALSE)</f>
        <v>1.0249999999999999</v>
      </c>
      <c r="N228" s="97">
        <f>prodnorm16</f>
        <v>0</v>
      </c>
      <c r="O228" s="41">
        <f>dagwerk16</f>
        <v>0</v>
      </c>
      <c r="P228" s="94" t="s">
        <v>108</v>
      </c>
      <c r="Q228" s="26">
        <f>uurtarief16</f>
        <v>0</v>
      </c>
      <c r="R228" s="96" t="e">
        <f>IF(ISBLANK(N228),0,M228/ROUND(N228,4))</f>
        <v>#DIV/0!</v>
      </c>
      <c r="S228" s="96" t="e">
        <f>IF(ISBLANK(N228),0,R228*ROUND(O228,2))</f>
        <v>#DIV/0!</v>
      </c>
      <c r="T228" s="26" t="e">
        <f>ROUND(Q228,2)*R228</f>
        <v>#DIV/0!</v>
      </c>
      <c r="U228" s="96" t="e">
        <f>R228*dagenperjaar1</f>
        <v>#DIV/0!</v>
      </c>
      <c r="V228" s="27" t="e">
        <f>U228*ROUND(Q228,2)</f>
        <v>#DIV/0!</v>
      </c>
    </row>
    <row r="229" spans="1:22" x14ac:dyDescent="0.25">
      <c r="A229" s="93" t="s">
        <v>259</v>
      </c>
      <c r="B229" s="94" t="s">
        <v>41</v>
      </c>
      <c r="C229" s="94" t="s">
        <v>522</v>
      </c>
      <c r="D229" s="94" t="s">
        <v>584</v>
      </c>
      <c r="E229" s="95" t="s">
        <v>358</v>
      </c>
      <c r="F229" s="94" t="s">
        <v>300</v>
      </c>
      <c r="G229" s="94" t="s">
        <v>226</v>
      </c>
      <c r="H229" s="94" t="s">
        <v>9</v>
      </c>
      <c r="I229" s="94" t="s">
        <v>198</v>
      </c>
      <c r="J229" s="95" t="s">
        <v>227</v>
      </c>
      <c r="K229" s="94" t="s">
        <v>296</v>
      </c>
      <c r="L229" s="96">
        <v>1</v>
      </c>
      <c r="M229" s="96">
        <f>L229*VLOOKUP(H229,dagsoorttabel1,2,FALSE)</f>
        <v>1.0249999999999999</v>
      </c>
      <c r="N229" s="97">
        <f>prodnorm17</f>
        <v>0</v>
      </c>
      <c r="O229" s="41">
        <f>dagwerk17</f>
        <v>0</v>
      </c>
      <c r="P229" s="94" t="s">
        <v>108</v>
      </c>
      <c r="Q229" s="26">
        <f>uurtarief17</f>
        <v>0</v>
      </c>
      <c r="R229" s="96" t="e">
        <f>IF(ISBLANK(N229),0,M229/ROUND(N229,4))</f>
        <v>#DIV/0!</v>
      </c>
      <c r="S229" s="96" t="e">
        <f>IF(ISBLANK(N229),0,R229*ROUND(O229,2))</f>
        <v>#DIV/0!</v>
      </c>
      <c r="T229" s="26" t="e">
        <f>ROUND(Q229,2)*R229</f>
        <v>#DIV/0!</v>
      </c>
      <c r="U229" s="96" t="e">
        <f>R229*dagenperjaar1</f>
        <v>#DIV/0!</v>
      </c>
      <c r="V229" s="27" t="e">
        <f>U229*ROUND(Q229,2)</f>
        <v>#DIV/0!</v>
      </c>
    </row>
    <row r="230" spans="1:22" x14ac:dyDescent="0.25">
      <c r="A230" s="93" t="s">
        <v>259</v>
      </c>
      <c r="B230" s="94" t="s">
        <v>41</v>
      </c>
      <c r="C230" s="94" t="s">
        <v>522</v>
      </c>
      <c r="D230" s="94" t="s">
        <v>585</v>
      </c>
      <c r="E230" s="95" t="s">
        <v>586</v>
      </c>
      <c r="F230" s="94" t="s">
        <v>300</v>
      </c>
      <c r="G230" s="94" t="s">
        <v>224</v>
      </c>
      <c r="H230" s="94" t="s">
        <v>9</v>
      </c>
      <c r="I230" s="94" t="s">
        <v>198</v>
      </c>
      <c r="J230" s="95" t="s">
        <v>225</v>
      </c>
      <c r="K230" s="94" t="s">
        <v>532</v>
      </c>
      <c r="L230" s="96">
        <v>2</v>
      </c>
      <c r="M230" s="96">
        <f>L230*VLOOKUP(H230,dagsoorttabel1,2,FALSE)</f>
        <v>2.0499999999999998</v>
      </c>
      <c r="N230" s="97">
        <f>prodnorm16</f>
        <v>0</v>
      </c>
      <c r="O230" s="41">
        <f>dagwerk16</f>
        <v>0</v>
      </c>
      <c r="P230" s="94" t="s">
        <v>108</v>
      </c>
      <c r="Q230" s="26">
        <f>uurtarief16</f>
        <v>0</v>
      </c>
      <c r="R230" s="96" t="e">
        <f>IF(ISBLANK(N230),0,M230/ROUND(N230,4))</f>
        <v>#DIV/0!</v>
      </c>
      <c r="S230" s="96" t="e">
        <f>IF(ISBLANK(N230),0,R230*ROUND(O230,2))</f>
        <v>#DIV/0!</v>
      </c>
      <c r="T230" s="26" t="e">
        <f>ROUND(Q230,2)*R230</f>
        <v>#DIV/0!</v>
      </c>
      <c r="U230" s="96" t="e">
        <f>R230*dagenperjaar1</f>
        <v>#DIV/0!</v>
      </c>
      <c r="V230" s="27" t="e">
        <f>U230*ROUND(Q230,2)</f>
        <v>#DIV/0!</v>
      </c>
    </row>
    <row r="231" spans="1:22" x14ac:dyDescent="0.25">
      <c r="A231" s="93" t="s">
        <v>259</v>
      </c>
      <c r="B231" s="94" t="s">
        <v>41</v>
      </c>
      <c r="C231" s="94" t="s">
        <v>522</v>
      </c>
      <c r="D231" s="94" t="s">
        <v>587</v>
      </c>
      <c r="E231" s="95" t="s">
        <v>507</v>
      </c>
      <c r="F231" s="94" t="s">
        <v>336</v>
      </c>
      <c r="G231" s="94" t="s">
        <v>268</v>
      </c>
      <c r="H231" s="94"/>
      <c r="I231" s="94"/>
      <c r="J231" s="94"/>
      <c r="K231" s="94" t="s">
        <v>41</v>
      </c>
      <c r="L231" s="96">
        <v>3</v>
      </c>
      <c r="M231" s="96"/>
      <c r="N231" s="97"/>
      <c r="O231" s="41"/>
      <c r="P231" s="94"/>
      <c r="Q231" s="26"/>
      <c r="R231" s="96"/>
      <c r="S231" s="96"/>
      <c r="T231" s="26"/>
      <c r="U231" s="98"/>
      <c r="V231" s="27"/>
    </row>
    <row r="232" spans="1:22" x14ac:dyDescent="0.25">
      <c r="A232" s="93" t="s">
        <v>259</v>
      </c>
      <c r="B232" s="94" t="s">
        <v>41</v>
      </c>
      <c r="C232" s="94" t="s">
        <v>522</v>
      </c>
      <c r="D232" s="94" t="s">
        <v>588</v>
      </c>
      <c r="E232" s="95" t="s">
        <v>272</v>
      </c>
      <c r="F232" s="94" t="s">
        <v>336</v>
      </c>
      <c r="G232" s="94" t="s">
        <v>228</v>
      </c>
      <c r="H232" s="94" t="s">
        <v>9</v>
      </c>
      <c r="I232" s="94" t="s">
        <v>198</v>
      </c>
      <c r="J232" s="95" t="s">
        <v>229</v>
      </c>
      <c r="K232" s="94" t="s">
        <v>273</v>
      </c>
      <c r="L232" s="96">
        <v>81</v>
      </c>
      <c r="M232" s="96">
        <f>L232*VLOOKUP(H232,dagsoorttabel1,2,FALSE)</f>
        <v>83.024999999999991</v>
      </c>
      <c r="N232" s="97">
        <f>prodnorm18</f>
        <v>0</v>
      </c>
      <c r="O232" s="41">
        <f>dagwerk18</f>
        <v>0</v>
      </c>
      <c r="P232" s="94" t="s">
        <v>108</v>
      </c>
      <c r="Q232" s="26">
        <f>uurtarief18</f>
        <v>0</v>
      </c>
      <c r="R232" s="96" t="e">
        <f>IF(ISBLANK(N232),0,M232/ROUND(N232,4))</f>
        <v>#DIV/0!</v>
      </c>
      <c r="S232" s="96" t="e">
        <f>IF(ISBLANK(N232),0,R232*ROUND(O232,2))</f>
        <v>#DIV/0!</v>
      </c>
      <c r="T232" s="26" t="e">
        <f>ROUND(Q232,2)*R232</f>
        <v>#DIV/0!</v>
      </c>
      <c r="U232" s="96" t="e">
        <f>R232*dagenperjaar1</f>
        <v>#DIV/0!</v>
      </c>
      <c r="V232" s="27" t="e">
        <f>U232*ROUND(Q232,2)</f>
        <v>#DIV/0!</v>
      </c>
    </row>
    <row r="233" spans="1:22" x14ac:dyDescent="0.25">
      <c r="A233" s="93" t="s">
        <v>259</v>
      </c>
      <c r="B233" s="94" t="s">
        <v>41</v>
      </c>
      <c r="C233" s="94" t="s">
        <v>522</v>
      </c>
      <c r="D233" s="94" t="s">
        <v>589</v>
      </c>
      <c r="E233" s="95" t="s">
        <v>272</v>
      </c>
      <c r="F233" s="94" t="s">
        <v>336</v>
      </c>
      <c r="G233" s="94" t="s">
        <v>228</v>
      </c>
      <c r="H233" s="94" t="s">
        <v>9</v>
      </c>
      <c r="I233" s="94" t="s">
        <v>198</v>
      </c>
      <c r="J233" s="95" t="s">
        <v>229</v>
      </c>
      <c r="K233" s="94" t="s">
        <v>273</v>
      </c>
      <c r="L233" s="96">
        <v>12</v>
      </c>
      <c r="M233" s="96">
        <f>L233*VLOOKUP(H233,dagsoorttabel1,2,FALSE)</f>
        <v>12.299999999999999</v>
      </c>
      <c r="N233" s="97">
        <f>prodnorm18</f>
        <v>0</v>
      </c>
      <c r="O233" s="41">
        <f>dagwerk18</f>
        <v>0</v>
      </c>
      <c r="P233" s="94" t="s">
        <v>108</v>
      </c>
      <c r="Q233" s="26">
        <f>uurtarief18</f>
        <v>0</v>
      </c>
      <c r="R233" s="96" t="e">
        <f>IF(ISBLANK(N233),0,M233/ROUND(N233,4))</f>
        <v>#DIV/0!</v>
      </c>
      <c r="S233" s="96" t="e">
        <f>IF(ISBLANK(N233),0,R233*ROUND(O233,2))</f>
        <v>#DIV/0!</v>
      </c>
      <c r="T233" s="26" t="e">
        <f>ROUND(Q233,2)*R233</f>
        <v>#DIV/0!</v>
      </c>
      <c r="U233" s="96" t="e">
        <f>R233*dagenperjaar1</f>
        <v>#DIV/0!</v>
      </c>
      <c r="V233" s="27" t="e">
        <f>U233*ROUND(Q233,2)</f>
        <v>#DIV/0!</v>
      </c>
    </row>
    <row r="234" spans="1:22" x14ac:dyDescent="0.25">
      <c r="A234" s="93" t="s">
        <v>259</v>
      </c>
      <c r="B234" s="94" t="s">
        <v>41</v>
      </c>
      <c r="C234" s="94" t="s">
        <v>522</v>
      </c>
      <c r="D234" s="94" t="s">
        <v>590</v>
      </c>
      <c r="E234" s="95" t="s">
        <v>272</v>
      </c>
      <c r="F234" s="94" t="s">
        <v>336</v>
      </c>
      <c r="G234" s="94" t="s">
        <v>228</v>
      </c>
      <c r="H234" s="94" t="s">
        <v>9</v>
      </c>
      <c r="I234" s="94" t="s">
        <v>198</v>
      </c>
      <c r="J234" s="95" t="s">
        <v>229</v>
      </c>
      <c r="K234" s="94" t="s">
        <v>273</v>
      </c>
      <c r="L234" s="96">
        <v>28</v>
      </c>
      <c r="M234" s="96">
        <f>L234*VLOOKUP(H234,dagsoorttabel1,2,FALSE)</f>
        <v>28.699999999999996</v>
      </c>
      <c r="N234" s="97">
        <f>prodnorm18</f>
        <v>0</v>
      </c>
      <c r="O234" s="41">
        <f>dagwerk18</f>
        <v>0</v>
      </c>
      <c r="P234" s="94" t="s">
        <v>108</v>
      </c>
      <c r="Q234" s="26">
        <f>uurtarief18</f>
        <v>0</v>
      </c>
      <c r="R234" s="96" t="e">
        <f>IF(ISBLANK(N234),0,M234/ROUND(N234,4))</f>
        <v>#DIV/0!</v>
      </c>
      <c r="S234" s="96" t="e">
        <f>IF(ISBLANK(N234),0,R234*ROUND(O234,2))</f>
        <v>#DIV/0!</v>
      </c>
      <c r="T234" s="26" t="e">
        <f>ROUND(Q234,2)*R234</f>
        <v>#DIV/0!</v>
      </c>
      <c r="U234" s="96" t="e">
        <f>R234*dagenperjaar1</f>
        <v>#DIV/0!</v>
      </c>
      <c r="V234" s="27" t="e">
        <f>U234*ROUND(Q234,2)</f>
        <v>#DIV/0!</v>
      </c>
    </row>
    <row r="235" spans="1:22" x14ac:dyDescent="0.25">
      <c r="A235" s="93" t="s">
        <v>259</v>
      </c>
      <c r="B235" s="94" t="s">
        <v>41</v>
      </c>
      <c r="C235" s="94" t="s">
        <v>522</v>
      </c>
      <c r="D235" s="94" t="s">
        <v>591</v>
      </c>
      <c r="E235" s="95" t="s">
        <v>272</v>
      </c>
      <c r="F235" s="94" t="s">
        <v>336</v>
      </c>
      <c r="G235" s="94" t="s">
        <v>228</v>
      </c>
      <c r="H235" s="94" t="s">
        <v>9</v>
      </c>
      <c r="I235" s="94" t="s">
        <v>198</v>
      </c>
      <c r="J235" s="95" t="s">
        <v>229</v>
      </c>
      <c r="K235" s="94" t="s">
        <v>273</v>
      </c>
      <c r="L235" s="96">
        <v>13</v>
      </c>
      <c r="M235" s="96">
        <f>L235*VLOOKUP(H235,dagsoorttabel1,2,FALSE)</f>
        <v>13.324999999999999</v>
      </c>
      <c r="N235" s="97">
        <f>prodnorm18</f>
        <v>0</v>
      </c>
      <c r="O235" s="41">
        <f>dagwerk18</f>
        <v>0</v>
      </c>
      <c r="P235" s="94" t="s">
        <v>108</v>
      </c>
      <c r="Q235" s="26">
        <f>uurtarief18</f>
        <v>0</v>
      </c>
      <c r="R235" s="96" t="e">
        <f>IF(ISBLANK(N235),0,M235/ROUND(N235,4))</f>
        <v>#DIV/0!</v>
      </c>
      <c r="S235" s="96" t="e">
        <f>IF(ISBLANK(N235),0,R235*ROUND(O235,2))</f>
        <v>#DIV/0!</v>
      </c>
      <c r="T235" s="26" t="e">
        <f>ROUND(Q235,2)*R235</f>
        <v>#DIV/0!</v>
      </c>
      <c r="U235" s="96" t="e">
        <f>R235*dagenperjaar1</f>
        <v>#DIV/0!</v>
      </c>
      <c r="V235" s="27" t="e">
        <f>U235*ROUND(Q235,2)</f>
        <v>#DIV/0!</v>
      </c>
    </row>
    <row r="236" spans="1:22" x14ac:dyDescent="0.25">
      <c r="A236" s="93" t="s">
        <v>259</v>
      </c>
      <c r="B236" s="94" t="s">
        <v>41</v>
      </c>
      <c r="C236" s="94" t="s">
        <v>522</v>
      </c>
      <c r="D236" s="94" t="s">
        <v>592</v>
      </c>
      <c r="E236" s="95" t="s">
        <v>272</v>
      </c>
      <c r="F236" s="94" t="s">
        <v>336</v>
      </c>
      <c r="G236" s="94" t="s">
        <v>228</v>
      </c>
      <c r="H236" s="94" t="s">
        <v>9</v>
      </c>
      <c r="I236" s="94" t="s">
        <v>198</v>
      </c>
      <c r="J236" s="95" t="s">
        <v>229</v>
      </c>
      <c r="K236" s="94" t="s">
        <v>273</v>
      </c>
      <c r="L236" s="96">
        <v>11</v>
      </c>
      <c r="M236" s="96">
        <f>L236*VLOOKUP(H236,dagsoorttabel1,2,FALSE)</f>
        <v>11.274999999999999</v>
      </c>
      <c r="N236" s="97">
        <f>prodnorm18</f>
        <v>0</v>
      </c>
      <c r="O236" s="41">
        <f>dagwerk18</f>
        <v>0</v>
      </c>
      <c r="P236" s="94" t="s">
        <v>108</v>
      </c>
      <c r="Q236" s="26">
        <f>uurtarief18</f>
        <v>0</v>
      </c>
      <c r="R236" s="96" t="e">
        <f>IF(ISBLANK(N236),0,M236/ROUND(N236,4))</f>
        <v>#DIV/0!</v>
      </c>
      <c r="S236" s="96" t="e">
        <f>IF(ISBLANK(N236),0,R236*ROUND(O236,2))</f>
        <v>#DIV/0!</v>
      </c>
      <c r="T236" s="26" t="e">
        <f>ROUND(Q236,2)*R236</f>
        <v>#DIV/0!</v>
      </c>
      <c r="U236" s="96" t="e">
        <f>R236*dagenperjaar1</f>
        <v>#DIV/0!</v>
      </c>
      <c r="V236" s="27" t="e">
        <f>U236*ROUND(Q236,2)</f>
        <v>#DIV/0!</v>
      </c>
    </row>
    <row r="237" spans="1:22" x14ac:dyDescent="0.25">
      <c r="A237" s="93" t="s">
        <v>259</v>
      </c>
      <c r="B237" s="94" t="s">
        <v>41</v>
      </c>
      <c r="C237" s="94" t="s">
        <v>593</v>
      </c>
      <c r="D237" s="94" t="s">
        <v>594</v>
      </c>
      <c r="E237" s="95" t="s">
        <v>376</v>
      </c>
      <c r="F237" s="94" t="s">
        <v>336</v>
      </c>
      <c r="G237" s="94" t="s">
        <v>216</v>
      </c>
      <c r="H237" s="94" t="s">
        <v>12</v>
      </c>
      <c r="I237" s="94" t="s">
        <v>198</v>
      </c>
      <c r="J237" s="95" t="s">
        <v>217</v>
      </c>
      <c r="K237" s="94" t="s">
        <v>337</v>
      </c>
      <c r="L237" s="96">
        <v>36</v>
      </c>
      <c r="M237" s="96">
        <f>L237*VLOOKUP(H237,dagsoorttabel1,2,FALSE)</f>
        <v>22.14</v>
      </c>
      <c r="N237" s="97">
        <f>prodnorm12</f>
        <v>0</v>
      </c>
      <c r="O237" s="41">
        <f>dagwerk12</f>
        <v>0</v>
      </c>
      <c r="P237" s="94" t="s">
        <v>108</v>
      </c>
      <c r="Q237" s="26">
        <f>uurtarief12</f>
        <v>0</v>
      </c>
      <c r="R237" s="96" t="e">
        <f>IF(ISBLANK(N237),0,M237/ROUND(N237,4))</f>
        <v>#DIV/0!</v>
      </c>
      <c r="S237" s="96" t="e">
        <f>IF(ISBLANK(N237),0,R237*ROUND(O237,2))</f>
        <v>#DIV/0!</v>
      </c>
      <c r="T237" s="26" t="e">
        <f>ROUND(Q237,2)*R237</f>
        <v>#DIV/0!</v>
      </c>
      <c r="U237" s="96" t="e">
        <f>R237*dagenperjaar1</f>
        <v>#DIV/0!</v>
      </c>
      <c r="V237" s="27" t="e">
        <f>U237*ROUND(Q237,2)</f>
        <v>#DIV/0!</v>
      </c>
    </row>
    <row r="238" spans="1:22" x14ac:dyDescent="0.25">
      <c r="A238" s="93" t="s">
        <v>259</v>
      </c>
      <c r="B238" s="94" t="s">
        <v>41</v>
      </c>
      <c r="C238" s="94" t="s">
        <v>593</v>
      </c>
      <c r="D238" s="94" t="s">
        <v>595</v>
      </c>
      <c r="E238" s="95" t="s">
        <v>596</v>
      </c>
      <c r="F238" s="94" t="s">
        <v>336</v>
      </c>
      <c r="G238" s="94" t="s">
        <v>208</v>
      </c>
      <c r="H238" s="94" t="s">
        <v>12</v>
      </c>
      <c r="I238" s="94" t="s">
        <v>198</v>
      </c>
      <c r="J238" s="95" t="s">
        <v>209</v>
      </c>
      <c r="K238" s="94" t="s">
        <v>337</v>
      </c>
      <c r="L238" s="96">
        <v>68</v>
      </c>
      <c r="M238" s="96">
        <f>L238*VLOOKUP(H238,dagsoorttabel1,2,FALSE)</f>
        <v>41.82</v>
      </c>
      <c r="N238" s="97">
        <f>prodnorm8</f>
        <v>0</v>
      </c>
      <c r="O238" s="41">
        <f>dagwerk8</f>
        <v>0</v>
      </c>
      <c r="P238" s="94" t="s">
        <v>108</v>
      </c>
      <c r="Q238" s="26">
        <f>uurtarief8</f>
        <v>0</v>
      </c>
      <c r="R238" s="96" t="e">
        <f>IF(ISBLANK(N238),0,M238/ROUND(N238,4))</f>
        <v>#DIV/0!</v>
      </c>
      <c r="S238" s="96" t="e">
        <f>IF(ISBLANK(N238),0,R238*ROUND(O238,2))</f>
        <v>#DIV/0!</v>
      </c>
      <c r="T238" s="26" t="e">
        <f>ROUND(Q238,2)*R238</f>
        <v>#DIV/0!</v>
      </c>
      <c r="U238" s="96" t="e">
        <f>R238*dagenperjaar1</f>
        <v>#DIV/0!</v>
      </c>
      <c r="V238" s="27" t="e">
        <f>U238*ROUND(Q238,2)</f>
        <v>#DIV/0!</v>
      </c>
    </row>
    <row r="239" spans="1:22" x14ac:dyDescent="0.25">
      <c r="A239" s="93" t="s">
        <v>259</v>
      </c>
      <c r="B239" s="94" t="s">
        <v>41</v>
      </c>
      <c r="C239" s="94" t="s">
        <v>593</v>
      </c>
      <c r="D239" s="94" t="s">
        <v>597</v>
      </c>
      <c r="E239" s="95" t="s">
        <v>596</v>
      </c>
      <c r="F239" s="94" t="s">
        <v>336</v>
      </c>
      <c r="G239" s="94" t="s">
        <v>208</v>
      </c>
      <c r="H239" s="94" t="s">
        <v>12</v>
      </c>
      <c r="I239" s="94" t="s">
        <v>198</v>
      </c>
      <c r="J239" s="95" t="s">
        <v>209</v>
      </c>
      <c r="K239" s="94" t="s">
        <v>337</v>
      </c>
      <c r="L239" s="96">
        <v>68</v>
      </c>
      <c r="M239" s="96">
        <f>L239*VLOOKUP(H239,dagsoorttabel1,2,FALSE)</f>
        <v>41.82</v>
      </c>
      <c r="N239" s="97">
        <f>prodnorm8</f>
        <v>0</v>
      </c>
      <c r="O239" s="41">
        <f>dagwerk8</f>
        <v>0</v>
      </c>
      <c r="P239" s="94" t="s">
        <v>108</v>
      </c>
      <c r="Q239" s="26">
        <f>uurtarief8</f>
        <v>0</v>
      </c>
      <c r="R239" s="96" t="e">
        <f>IF(ISBLANK(N239),0,M239/ROUND(N239,4))</f>
        <v>#DIV/0!</v>
      </c>
      <c r="S239" s="96" t="e">
        <f>IF(ISBLANK(N239),0,R239*ROUND(O239,2))</f>
        <v>#DIV/0!</v>
      </c>
      <c r="T239" s="26" t="e">
        <f>ROUND(Q239,2)*R239</f>
        <v>#DIV/0!</v>
      </c>
      <c r="U239" s="96" t="e">
        <f>R239*dagenperjaar1</f>
        <v>#DIV/0!</v>
      </c>
      <c r="V239" s="27" t="e">
        <f>U239*ROUND(Q239,2)</f>
        <v>#DIV/0!</v>
      </c>
    </row>
    <row r="240" spans="1:22" x14ac:dyDescent="0.25">
      <c r="A240" s="93" t="s">
        <v>259</v>
      </c>
      <c r="B240" s="94" t="s">
        <v>41</v>
      </c>
      <c r="C240" s="94" t="s">
        <v>593</v>
      </c>
      <c r="D240" s="94" t="s">
        <v>598</v>
      </c>
      <c r="E240" s="95" t="s">
        <v>596</v>
      </c>
      <c r="F240" s="94" t="s">
        <v>336</v>
      </c>
      <c r="G240" s="94" t="s">
        <v>208</v>
      </c>
      <c r="H240" s="94" t="s">
        <v>12</v>
      </c>
      <c r="I240" s="94" t="s">
        <v>198</v>
      </c>
      <c r="J240" s="95" t="s">
        <v>209</v>
      </c>
      <c r="K240" s="94" t="s">
        <v>337</v>
      </c>
      <c r="L240" s="96">
        <v>68</v>
      </c>
      <c r="M240" s="96">
        <f>L240*VLOOKUP(H240,dagsoorttabel1,2,FALSE)</f>
        <v>41.82</v>
      </c>
      <c r="N240" s="97">
        <f>prodnorm8</f>
        <v>0</v>
      </c>
      <c r="O240" s="41">
        <f>dagwerk8</f>
        <v>0</v>
      </c>
      <c r="P240" s="94" t="s">
        <v>108</v>
      </c>
      <c r="Q240" s="26">
        <f>uurtarief8</f>
        <v>0</v>
      </c>
      <c r="R240" s="96" t="e">
        <f>IF(ISBLANK(N240),0,M240/ROUND(N240,4))</f>
        <v>#DIV/0!</v>
      </c>
      <c r="S240" s="96" t="e">
        <f>IF(ISBLANK(N240),0,R240*ROUND(O240,2))</f>
        <v>#DIV/0!</v>
      </c>
      <c r="T240" s="26" t="e">
        <f>ROUND(Q240,2)*R240</f>
        <v>#DIV/0!</v>
      </c>
      <c r="U240" s="96" t="e">
        <f>R240*dagenperjaar1</f>
        <v>#DIV/0!</v>
      </c>
      <c r="V240" s="27" t="e">
        <f>U240*ROUND(Q240,2)</f>
        <v>#DIV/0!</v>
      </c>
    </row>
    <row r="241" spans="1:22" x14ac:dyDescent="0.25">
      <c r="A241" s="93" t="s">
        <v>259</v>
      </c>
      <c r="B241" s="94" t="s">
        <v>41</v>
      </c>
      <c r="C241" s="94" t="s">
        <v>593</v>
      </c>
      <c r="D241" s="94" t="s">
        <v>599</v>
      </c>
      <c r="E241" s="95" t="s">
        <v>600</v>
      </c>
      <c r="F241" s="94" t="s">
        <v>336</v>
      </c>
      <c r="G241" s="94" t="s">
        <v>208</v>
      </c>
      <c r="H241" s="94" t="s">
        <v>12</v>
      </c>
      <c r="I241" s="94" t="s">
        <v>198</v>
      </c>
      <c r="J241" s="95" t="s">
        <v>209</v>
      </c>
      <c r="K241" s="94" t="s">
        <v>337</v>
      </c>
      <c r="L241" s="96">
        <v>72</v>
      </c>
      <c r="M241" s="96">
        <f>L241*VLOOKUP(H241,dagsoorttabel1,2,FALSE)</f>
        <v>44.28</v>
      </c>
      <c r="N241" s="97">
        <f>prodnorm8</f>
        <v>0</v>
      </c>
      <c r="O241" s="41">
        <f>dagwerk8</f>
        <v>0</v>
      </c>
      <c r="P241" s="94" t="s">
        <v>108</v>
      </c>
      <c r="Q241" s="26">
        <f>uurtarief8</f>
        <v>0</v>
      </c>
      <c r="R241" s="96" t="e">
        <f>IF(ISBLANK(N241),0,M241/ROUND(N241,4))</f>
        <v>#DIV/0!</v>
      </c>
      <c r="S241" s="96" t="e">
        <f>IF(ISBLANK(N241),0,R241*ROUND(O241,2))</f>
        <v>#DIV/0!</v>
      </c>
      <c r="T241" s="26" t="e">
        <f>ROUND(Q241,2)*R241</f>
        <v>#DIV/0!</v>
      </c>
      <c r="U241" s="96" t="e">
        <f>R241*dagenperjaar1</f>
        <v>#DIV/0!</v>
      </c>
      <c r="V241" s="27" t="e">
        <f>U241*ROUND(Q241,2)</f>
        <v>#DIV/0!</v>
      </c>
    </row>
    <row r="242" spans="1:22" x14ac:dyDescent="0.25">
      <c r="A242" s="93" t="s">
        <v>259</v>
      </c>
      <c r="B242" s="94" t="s">
        <v>41</v>
      </c>
      <c r="C242" s="94" t="s">
        <v>593</v>
      </c>
      <c r="D242" s="94" t="s">
        <v>601</v>
      </c>
      <c r="E242" s="95" t="s">
        <v>272</v>
      </c>
      <c r="F242" s="94" t="s">
        <v>336</v>
      </c>
      <c r="G242" s="94" t="s">
        <v>228</v>
      </c>
      <c r="H242" s="94" t="s">
        <v>9</v>
      </c>
      <c r="I242" s="94" t="s">
        <v>198</v>
      </c>
      <c r="J242" s="95" t="s">
        <v>229</v>
      </c>
      <c r="K242" s="94" t="s">
        <v>273</v>
      </c>
      <c r="L242" s="96">
        <v>66</v>
      </c>
      <c r="M242" s="96">
        <f>L242*VLOOKUP(H242,dagsoorttabel1,2,FALSE)</f>
        <v>67.649999999999991</v>
      </c>
      <c r="N242" s="97">
        <f>prodnorm18</f>
        <v>0</v>
      </c>
      <c r="O242" s="41">
        <f>dagwerk18</f>
        <v>0</v>
      </c>
      <c r="P242" s="94" t="s">
        <v>108</v>
      </c>
      <c r="Q242" s="26">
        <f>uurtarief18</f>
        <v>0</v>
      </c>
      <c r="R242" s="96" t="e">
        <f>IF(ISBLANK(N242),0,M242/ROUND(N242,4))</f>
        <v>#DIV/0!</v>
      </c>
      <c r="S242" s="96" t="e">
        <f>IF(ISBLANK(N242),0,R242*ROUND(O242,2))</f>
        <v>#DIV/0!</v>
      </c>
      <c r="T242" s="26" t="e">
        <f>ROUND(Q242,2)*R242</f>
        <v>#DIV/0!</v>
      </c>
      <c r="U242" s="96" t="e">
        <f>R242*dagenperjaar1</f>
        <v>#DIV/0!</v>
      </c>
      <c r="V242" s="27" t="e">
        <f>U242*ROUND(Q242,2)</f>
        <v>#DIV/0!</v>
      </c>
    </row>
    <row r="243" spans="1:22" x14ac:dyDescent="0.25">
      <c r="A243" s="93" t="s">
        <v>259</v>
      </c>
      <c r="B243" s="94" t="s">
        <v>41</v>
      </c>
      <c r="C243" s="94" t="s">
        <v>593</v>
      </c>
      <c r="D243" s="94" t="s">
        <v>602</v>
      </c>
      <c r="E243" s="95" t="s">
        <v>603</v>
      </c>
      <c r="F243" s="94" t="s">
        <v>336</v>
      </c>
      <c r="G243" s="94" t="s">
        <v>197</v>
      </c>
      <c r="H243" s="94" t="s">
        <v>16</v>
      </c>
      <c r="I243" s="94" t="s">
        <v>198</v>
      </c>
      <c r="J243" s="95" t="s">
        <v>199</v>
      </c>
      <c r="K243" s="94" t="s">
        <v>265</v>
      </c>
      <c r="L243" s="96">
        <v>16</v>
      </c>
      <c r="M243" s="96">
        <f>L243*VLOOKUP(H243,dagsoorttabel1,2,FALSE)</f>
        <v>3.28</v>
      </c>
      <c r="N243" s="97">
        <f>prodnorm3</f>
        <v>0</v>
      </c>
      <c r="O243" s="41">
        <f>dagwerk3</f>
        <v>0</v>
      </c>
      <c r="P243" s="94" t="s">
        <v>108</v>
      </c>
      <c r="Q243" s="26">
        <f>uurtarief3</f>
        <v>0</v>
      </c>
      <c r="R243" s="96" t="e">
        <f>IF(ISBLANK(N243),0,M243/ROUND(N243,4))</f>
        <v>#DIV/0!</v>
      </c>
      <c r="S243" s="96" t="e">
        <f>IF(ISBLANK(N243),0,R243*ROUND(O243,2))</f>
        <v>#DIV/0!</v>
      </c>
      <c r="T243" s="26" t="e">
        <f>ROUND(Q243,2)*R243</f>
        <v>#DIV/0!</v>
      </c>
      <c r="U243" s="96" t="e">
        <f>R243*dagenperjaar1</f>
        <v>#DIV/0!</v>
      </c>
      <c r="V243" s="27" t="e">
        <f>U243*ROUND(Q243,2)</f>
        <v>#DIV/0!</v>
      </c>
    </row>
    <row r="244" spans="1:22" x14ac:dyDescent="0.25">
      <c r="A244" s="93" t="s">
        <v>259</v>
      </c>
      <c r="B244" s="94" t="s">
        <v>41</v>
      </c>
      <c r="C244" s="94" t="s">
        <v>593</v>
      </c>
      <c r="D244" s="94" t="s">
        <v>604</v>
      </c>
      <c r="E244" s="95" t="s">
        <v>605</v>
      </c>
      <c r="F244" s="94" t="s">
        <v>336</v>
      </c>
      <c r="G244" s="94" t="s">
        <v>197</v>
      </c>
      <c r="H244" s="94" t="s">
        <v>16</v>
      </c>
      <c r="I244" s="94" t="s">
        <v>198</v>
      </c>
      <c r="J244" s="95" t="s">
        <v>199</v>
      </c>
      <c r="K244" s="94" t="s">
        <v>265</v>
      </c>
      <c r="L244" s="96">
        <v>21</v>
      </c>
      <c r="M244" s="96">
        <f>L244*VLOOKUP(H244,dagsoorttabel1,2,FALSE)</f>
        <v>4.3049999999999997</v>
      </c>
      <c r="N244" s="97">
        <f>prodnorm3</f>
        <v>0</v>
      </c>
      <c r="O244" s="41">
        <f>dagwerk3</f>
        <v>0</v>
      </c>
      <c r="P244" s="94" t="s">
        <v>108</v>
      </c>
      <c r="Q244" s="26">
        <f>uurtarief3</f>
        <v>0</v>
      </c>
      <c r="R244" s="96" t="e">
        <f>IF(ISBLANK(N244),0,M244/ROUND(N244,4))</f>
        <v>#DIV/0!</v>
      </c>
      <c r="S244" s="96" t="e">
        <f>IF(ISBLANK(N244),0,R244*ROUND(O244,2))</f>
        <v>#DIV/0!</v>
      </c>
      <c r="T244" s="26" t="e">
        <f>ROUND(Q244,2)*R244</f>
        <v>#DIV/0!</v>
      </c>
      <c r="U244" s="96" t="e">
        <f>R244*dagenperjaar1</f>
        <v>#DIV/0!</v>
      </c>
      <c r="V244" s="27" t="e">
        <f>U244*ROUND(Q244,2)</f>
        <v>#DIV/0!</v>
      </c>
    </row>
    <row r="245" spans="1:22" x14ac:dyDescent="0.25">
      <c r="A245" s="93" t="s">
        <v>259</v>
      </c>
      <c r="B245" s="94" t="s">
        <v>41</v>
      </c>
      <c r="C245" s="94" t="s">
        <v>593</v>
      </c>
      <c r="D245" s="94" t="s">
        <v>606</v>
      </c>
      <c r="E245" s="95" t="s">
        <v>607</v>
      </c>
      <c r="F245" s="94" t="s">
        <v>336</v>
      </c>
      <c r="G245" s="94" t="s">
        <v>200</v>
      </c>
      <c r="H245" s="94" t="s">
        <v>16</v>
      </c>
      <c r="I245" s="94" t="s">
        <v>198</v>
      </c>
      <c r="J245" s="95" t="s">
        <v>201</v>
      </c>
      <c r="K245" s="94" t="s">
        <v>265</v>
      </c>
      <c r="L245" s="96">
        <v>30</v>
      </c>
      <c r="M245" s="96">
        <f>L245*VLOOKUP(H245,dagsoorttabel1,2,FALSE)</f>
        <v>6.1499999999999995</v>
      </c>
      <c r="N245" s="97">
        <f>prodnorm4</f>
        <v>0</v>
      </c>
      <c r="O245" s="41">
        <f>dagwerk4</f>
        <v>0</v>
      </c>
      <c r="P245" s="94" t="s">
        <v>108</v>
      </c>
      <c r="Q245" s="26">
        <f>uurtarief4</f>
        <v>0</v>
      </c>
      <c r="R245" s="96" t="e">
        <f>IF(ISBLANK(N245),0,M245/ROUND(N245,4))</f>
        <v>#DIV/0!</v>
      </c>
      <c r="S245" s="96" t="e">
        <f>IF(ISBLANK(N245),0,R245*ROUND(O245,2))</f>
        <v>#DIV/0!</v>
      </c>
      <c r="T245" s="26" t="e">
        <f>ROUND(Q245,2)*R245</f>
        <v>#DIV/0!</v>
      </c>
      <c r="U245" s="96" t="e">
        <f>R245*dagenperjaar1</f>
        <v>#DIV/0!</v>
      </c>
      <c r="V245" s="27" t="e">
        <f>U245*ROUND(Q245,2)</f>
        <v>#DIV/0!</v>
      </c>
    </row>
    <row r="246" spans="1:22" x14ac:dyDescent="0.25">
      <c r="A246" s="93" t="s">
        <v>259</v>
      </c>
      <c r="B246" s="94" t="s">
        <v>41</v>
      </c>
      <c r="C246" s="94" t="s">
        <v>593</v>
      </c>
      <c r="D246" s="94" t="s">
        <v>608</v>
      </c>
      <c r="E246" s="95" t="s">
        <v>609</v>
      </c>
      <c r="F246" s="94" t="s">
        <v>336</v>
      </c>
      <c r="G246" s="94" t="s">
        <v>197</v>
      </c>
      <c r="H246" s="94" t="s">
        <v>16</v>
      </c>
      <c r="I246" s="94" t="s">
        <v>198</v>
      </c>
      <c r="J246" s="95" t="s">
        <v>199</v>
      </c>
      <c r="K246" s="94" t="s">
        <v>265</v>
      </c>
      <c r="L246" s="96">
        <v>31</v>
      </c>
      <c r="M246" s="96">
        <f>L246*VLOOKUP(H246,dagsoorttabel1,2,FALSE)</f>
        <v>6.3549999999999995</v>
      </c>
      <c r="N246" s="97">
        <f>prodnorm3</f>
        <v>0</v>
      </c>
      <c r="O246" s="41">
        <f>dagwerk3</f>
        <v>0</v>
      </c>
      <c r="P246" s="94" t="s">
        <v>108</v>
      </c>
      <c r="Q246" s="26">
        <f>uurtarief3</f>
        <v>0</v>
      </c>
      <c r="R246" s="96" t="e">
        <f>IF(ISBLANK(N246),0,M246/ROUND(N246,4))</f>
        <v>#DIV/0!</v>
      </c>
      <c r="S246" s="96" t="e">
        <f>IF(ISBLANK(N246),0,R246*ROUND(O246,2))</f>
        <v>#DIV/0!</v>
      </c>
      <c r="T246" s="26" t="e">
        <f>ROUND(Q246,2)*R246</f>
        <v>#DIV/0!</v>
      </c>
      <c r="U246" s="96" t="e">
        <f>R246*dagenperjaar1</f>
        <v>#DIV/0!</v>
      </c>
      <c r="V246" s="27" t="e">
        <f>U246*ROUND(Q246,2)</f>
        <v>#DIV/0!</v>
      </c>
    </row>
    <row r="247" spans="1:22" ht="23" x14ac:dyDescent="0.25">
      <c r="A247" s="93" t="s">
        <v>259</v>
      </c>
      <c r="B247" s="94" t="s">
        <v>41</v>
      </c>
      <c r="C247" s="94" t="s">
        <v>593</v>
      </c>
      <c r="D247" s="94" t="s">
        <v>610</v>
      </c>
      <c r="E247" s="95" t="s">
        <v>611</v>
      </c>
      <c r="F247" s="94" t="s">
        <v>336</v>
      </c>
      <c r="G247" s="94" t="s">
        <v>197</v>
      </c>
      <c r="H247" s="94" t="s">
        <v>16</v>
      </c>
      <c r="I247" s="94" t="s">
        <v>198</v>
      </c>
      <c r="J247" s="95" t="s">
        <v>199</v>
      </c>
      <c r="K247" s="94" t="s">
        <v>265</v>
      </c>
      <c r="L247" s="96">
        <v>27</v>
      </c>
      <c r="M247" s="96">
        <f>L247*VLOOKUP(H247,dagsoorttabel1,2,FALSE)</f>
        <v>5.5349999999999993</v>
      </c>
      <c r="N247" s="97">
        <f>prodnorm3</f>
        <v>0</v>
      </c>
      <c r="O247" s="41">
        <f>dagwerk3</f>
        <v>0</v>
      </c>
      <c r="P247" s="94" t="s">
        <v>108</v>
      </c>
      <c r="Q247" s="26">
        <f>uurtarief3</f>
        <v>0</v>
      </c>
      <c r="R247" s="96" t="e">
        <f>IF(ISBLANK(N247),0,M247/ROUND(N247,4))</f>
        <v>#DIV/0!</v>
      </c>
      <c r="S247" s="96" t="e">
        <f>IF(ISBLANK(N247),0,R247*ROUND(O247,2))</f>
        <v>#DIV/0!</v>
      </c>
      <c r="T247" s="26" t="e">
        <f>ROUND(Q247,2)*R247</f>
        <v>#DIV/0!</v>
      </c>
      <c r="U247" s="96" t="e">
        <f>R247*dagenperjaar1</f>
        <v>#DIV/0!</v>
      </c>
      <c r="V247" s="27" t="e">
        <f>U247*ROUND(Q247,2)</f>
        <v>#DIV/0!</v>
      </c>
    </row>
    <row r="248" spans="1:22" x14ac:dyDescent="0.25">
      <c r="A248" s="93" t="s">
        <v>259</v>
      </c>
      <c r="B248" s="94" t="s">
        <v>41</v>
      </c>
      <c r="C248" s="94" t="s">
        <v>593</v>
      </c>
      <c r="D248" s="94" t="s">
        <v>612</v>
      </c>
      <c r="E248" s="95" t="s">
        <v>317</v>
      </c>
      <c r="F248" s="94" t="s">
        <v>41</v>
      </c>
      <c r="G248" s="94" t="s">
        <v>268</v>
      </c>
      <c r="H248" s="94"/>
      <c r="I248" s="94"/>
      <c r="J248" s="94"/>
      <c r="K248" s="94" t="s">
        <v>41</v>
      </c>
      <c r="L248" s="96">
        <v>3</v>
      </c>
      <c r="M248" s="96"/>
      <c r="N248" s="97"/>
      <c r="O248" s="41"/>
      <c r="P248" s="94"/>
      <c r="Q248" s="26"/>
      <c r="R248" s="96"/>
      <c r="S248" s="96"/>
      <c r="T248" s="26"/>
      <c r="U248" s="98"/>
      <c r="V248" s="27"/>
    </row>
    <row r="249" spans="1:22" x14ac:dyDescent="0.25">
      <c r="A249" s="93" t="s">
        <v>259</v>
      </c>
      <c r="B249" s="94" t="s">
        <v>41</v>
      </c>
      <c r="C249" s="94" t="s">
        <v>593</v>
      </c>
      <c r="D249" s="94" t="s">
        <v>613</v>
      </c>
      <c r="E249" s="95" t="s">
        <v>410</v>
      </c>
      <c r="F249" s="94" t="s">
        <v>41</v>
      </c>
      <c r="G249" s="94" t="s">
        <v>268</v>
      </c>
      <c r="H249" s="94"/>
      <c r="I249" s="94"/>
      <c r="J249" s="94"/>
      <c r="K249" s="94" t="s">
        <v>41</v>
      </c>
      <c r="L249" s="96">
        <v>4</v>
      </c>
      <c r="M249" s="96"/>
      <c r="N249" s="97"/>
      <c r="O249" s="41"/>
      <c r="P249" s="94"/>
      <c r="Q249" s="26"/>
      <c r="R249" s="96"/>
      <c r="S249" s="96"/>
      <c r="T249" s="26"/>
      <c r="U249" s="98"/>
      <c r="V249" s="27"/>
    </row>
    <row r="250" spans="1:22" ht="23" x14ac:dyDescent="0.25">
      <c r="A250" s="93" t="s">
        <v>259</v>
      </c>
      <c r="B250" s="94" t="s">
        <v>41</v>
      </c>
      <c r="C250" s="94" t="s">
        <v>593</v>
      </c>
      <c r="D250" s="94" t="s">
        <v>614</v>
      </c>
      <c r="E250" s="95" t="s">
        <v>615</v>
      </c>
      <c r="F250" s="94" t="s">
        <v>336</v>
      </c>
      <c r="G250" s="94" t="s">
        <v>197</v>
      </c>
      <c r="H250" s="94" t="s">
        <v>16</v>
      </c>
      <c r="I250" s="94" t="s">
        <v>198</v>
      </c>
      <c r="J250" s="95" t="s">
        <v>199</v>
      </c>
      <c r="K250" s="94" t="s">
        <v>265</v>
      </c>
      <c r="L250" s="96">
        <v>27</v>
      </c>
      <c r="M250" s="96">
        <f>L250*VLOOKUP(H250,dagsoorttabel1,2,FALSE)</f>
        <v>5.5349999999999993</v>
      </c>
      <c r="N250" s="97">
        <f>prodnorm3</f>
        <v>0</v>
      </c>
      <c r="O250" s="41">
        <f>dagwerk3</f>
        <v>0</v>
      </c>
      <c r="P250" s="94" t="s">
        <v>108</v>
      </c>
      <c r="Q250" s="26">
        <f>uurtarief3</f>
        <v>0</v>
      </c>
      <c r="R250" s="96" t="e">
        <f>IF(ISBLANK(N250),0,M250/ROUND(N250,4))</f>
        <v>#DIV/0!</v>
      </c>
      <c r="S250" s="96" t="e">
        <f>IF(ISBLANK(N250),0,R250*ROUND(O250,2))</f>
        <v>#DIV/0!</v>
      </c>
      <c r="T250" s="26" t="e">
        <f>ROUND(Q250,2)*R250</f>
        <v>#DIV/0!</v>
      </c>
      <c r="U250" s="96" t="e">
        <f>R250*dagenperjaar1</f>
        <v>#DIV/0!</v>
      </c>
      <c r="V250" s="27" t="e">
        <f>U250*ROUND(Q250,2)</f>
        <v>#DIV/0!</v>
      </c>
    </row>
    <row r="251" spans="1:22" x14ac:dyDescent="0.25">
      <c r="A251" s="93" t="s">
        <v>259</v>
      </c>
      <c r="B251" s="94" t="s">
        <v>41</v>
      </c>
      <c r="C251" s="94" t="s">
        <v>593</v>
      </c>
      <c r="D251" s="94" t="s">
        <v>616</v>
      </c>
      <c r="E251" s="95" t="s">
        <v>617</v>
      </c>
      <c r="F251" s="94" t="s">
        <v>336</v>
      </c>
      <c r="G251" s="94" t="s">
        <v>216</v>
      </c>
      <c r="H251" s="94" t="s">
        <v>12</v>
      </c>
      <c r="I251" s="94" t="s">
        <v>198</v>
      </c>
      <c r="J251" s="95" t="s">
        <v>217</v>
      </c>
      <c r="K251" s="94" t="s">
        <v>337</v>
      </c>
      <c r="L251" s="96">
        <v>82</v>
      </c>
      <c r="M251" s="96">
        <f>L251*VLOOKUP(H251,dagsoorttabel1,2,FALSE)</f>
        <v>50.43</v>
      </c>
      <c r="N251" s="97">
        <f>prodnorm12</f>
        <v>0</v>
      </c>
      <c r="O251" s="41">
        <f>dagwerk12</f>
        <v>0</v>
      </c>
      <c r="P251" s="94" t="s">
        <v>108</v>
      </c>
      <c r="Q251" s="26">
        <f>uurtarief12</f>
        <v>0</v>
      </c>
      <c r="R251" s="96" t="e">
        <f>IF(ISBLANK(N251),0,M251/ROUND(N251,4))</f>
        <v>#DIV/0!</v>
      </c>
      <c r="S251" s="96" t="e">
        <f>IF(ISBLANK(N251),0,R251*ROUND(O251,2))</f>
        <v>#DIV/0!</v>
      </c>
      <c r="T251" s="26" t="e">
        <f>ROUND(Q251,2)*R251</f>
        <v>#DIV/0!</v>
      </c>
      <c r="U251" s="96" t="e">
        <f>R251*dagenperjaar1</f>
        <v>#DIV/0!</v>
      </c>
      <c r="V251" s="27" t="e">
        <f>U251*ROUND(Q251,2)</f>
        <v>#DIV/0!</v>
      </c>
    </row>
    <row r="252" spans="1:22" x14ac:dyDescent="0.25">
      <c r="A252" s="93" t="s">
        <v>259</v>
      </c>
      <c r="B252" s="94" t="s">
        <v>41</v>
      </c>
      <c r="C252" s="94" t="s">
        <v>593</v>
      </c>
      <c r="D252" s="94" t="s">
        <v>618</v>
      </c>
      <c r="E252" s="95" t="s">
        <v>619</v>
      </c>
      <c r="F252" s="94" t="s">
        <v>336</v>
      </c>
      <c r="G252" s="94" t="s">
        <v>216</v>
      </c>
      <c r="H252" s="94" t="s">
        <v>12</v>
      </c>
      <c r="I252" s="94" t="s">
        <v>198</v>
      </c>
      <c r="J252" s="95" t="s">
        <v>217</v>
      </c>
      <c r="K252" s="94" t="s">
        <v>337</v>
      </c>
      <c r="L252" s="96">
        <v>104</v>
      </c>
      <c r="M252" s="96">
        <f>L252*VLOOKUP(H252,dagsoorttabel1,2,FALSE)</f>
        <v>63.96</v>
      </c>
      <c r="N252" s="97">
        <f>prodnorm12</f>
        <v>0</v>
      </c>
      <c r="O252" s="41">
        <f>dagwerk12</f>
        <v>0</v>
      </c>
      <c r="P252" s="94" t="s">
        <v>108</v>
      </c>
      <c r="Q252" s="26">
        <f>uurtarief12</f>
        <v>0</v>
      </c>
      <c r="R252" s="96" t="e">
        <f>IF(ISBLANK(N252),0,M252/ROUND(N252,4))</f>
        <v>#DIV/0!</v>
      </c>
      <c r="S252" s="96" t="e">
        <f>IF(ISBLANK(N252),0,R252*ROUND(O252,2))</f>
        <v>#DIV/0!</v>
      </c>
      <c r="T252" s="26" t="e">
        <f>ROUND(Q252,2)*R252</f>
        <v>#DIV/0!</v>
      </c>
      <c r="U252" s="96" t="e">
        <f>R252*dagenperjaar1</f>
        <v>#DIV/0!</v>
      </c>
      <c r="V252" s="27" t="e">
        <f>U252*ROUND(Q252,2)</f>
        <v>#DIV/0!</v>
      </c>
    </row>
    <row r="253" spans="1:22" x14ac:dyDescent="0.25">
      <c r="A253" s="93" t="s">
        <v>259</v>
      </c>
      <c r="B253" s="94" t="s">
        <v>41</v>
      </c>
      <c r="C253" s="94" t="s">
        <v>593</v>
      </c>
      <c r="D253" s="94" t="s">
        <v>620</v>
      </c>
      <c r="E253" s="95" t="s">
        <v>320</v>
      </c>
      <c r="F253" s="94" t="s">
        <v>336</v>
      </c>
      <c r="G253" s="94" t="s">
        <v>268</v>
      </c>
      <c r="H253" s="94"/>
      <c r="I253" s="94"/>
      <c r="J253" s="94"/>
      <c r="K253" s="94" t="s">
        <v>41</v>
      </c>
      <c r="L253" s="96">
        <v>6</v>
      </c>
      <c r="M253" s="96"/>
      <c r="N253" s="97"/>
      <c r="O253" s="41"/>
      <c r="P253" s="94"/>
      <c r="Q253" s="26"/>
      <c r="R253" s="96"/>
      <c r="S253" s="96"/>
      <c r="T253" s="26"/>
      <c r="U253" s="98"/>
      <c r="V253" s="27"/>
    </row>
    <row r="254" spans="1:22" x14ac:dyDescent="0.25">
      <c r="A254" s="93" t="s">
        <v>259</v>
      </c>
      <c r="B254" s="94" t="s">
        <v>41</v>
      </c>
      <c r="C254" s="94" t="s">
        <v>593</v>
      </c>
      <c r="D254" s="94" t="s">
        <v>621</v>
      </c>
      <c r="E254" s="95" t="s">
        <v>622</v>
      </c>
      <c r="F254" s="94" t="s">
        <v>336</v>
      </c>
      <c r="G254" s="94" t="s">
        <v>216</v>
      </c>
      <c r="H254" s="94" t="s">
        <v>12</v>
      </c>
      <c r="I254" s="94" t="s">
        <v>198</v>
      </c>
      <c r="J254" s="95" t="s">
        <v>217</v>
      </c>
      <c r="K254" s="94" t="s">
        <v>337</v>
      </c>
      <c r="L254" s="96">
        <v>117</v>
      </c>
      <c r="M254" s="96">
        <f>L254*VLOOKUP(H254,dagsoorttabel1,2,FALSE)</f>
        <v>71.954999999999998</v>
      </c>
      <c r="N254" s="97">
        <f>prodnorm12</f>
        <v>0</v>
      </c>
      <c r="O254" s="41">
        <f>dagwerk12</f>
        <v>0</v>
      </c>
      <c r="P254" s="94" t="s">
        <v>108</v>
      </c>
      <c r="Q254" s="26">
        <f>uurtarief12</f>
        <v>0</v>
      </c>
      <c r="R254" s="96" t="e">
        <f>IF(ISBLANK(N254),0,M254/ROUND(N254,4))</f>
        <v>#DIV/0!</v>
      </c>
      <c r="S254" s="96" t="e">
        <f>IF(ISBLANK(N254),0,R254*ROUND(O254,2))</f>
        <v>#DIV/0!</v>
      </c>
      <c r="T254" s="26" t="e">
        <f>ROUND(Q254,2)*R254</f>
        <v>#DIV/0!</v>
      </c>
      <c r="U254" s="96" t="e">
        <f>R254*dagenperjaar1</f>
        <v>#DIV/0!</v>
      </c>
      <c r="V254" s="27" t="e">
        <f>U254*ROUND(Q254,2)</f>
        <v>#DIV/0!</v>
      </c>
    </row>
    <row r="255" spans="1:22" x14ac:dyDescent="0.25">
      <c r="A255" s="93" t="s">
        <v>259</v>
      </c>
      <c r="B255" s="94" t="s">
        <v>41</v>
      </c>
      <c r="C255" s="94" t="s">
        <v>593</v>
      </c>
      <c r="D255" s="94" t="s">
        <v>623</v>
      </c>
      <c r="E255" s="95" t="s">
        <v>272</v>
      </c>
      <c r="F255" s="94" t="s">
        <v>336</v>
      </c>
      <c r="G255" s="94" t="s">
        <v>228</v>
      </c>
      <c r="H255" s="94" t="s">
        <v>9</v>
      </c>
      <c r="I255" s="94" t="s">
        <v>198</v>
      </c>
      <c r="J255" s="95" t="s">
        <v>229</v>
      </c>
      <c r="K255" s="94" t="s">
        <v>273</v>
      </c>
      <c r="L255" s="96">
        <v>38</v>
      </c>
      <c r="M255" s="96">
        <f>L255*VLOOKUP(H255,dagsoorttabel1,2,FALSE)</f>
        <v>38.949999999999996</v>
      </c>
      <c r="N255" s="97">
        <f>prodnorm18</f>
        <v>0</v>
      </c>
      <c r="O255" s="41">
        <f>dagwerk18</f>
        <v>0</v>
      </c>
      <c r="P255" s="94" t="s">
        <v>108</v>
      </c>
      <c r="Q255" s="26">
        <f>uurtarief18</f>
        <v>0</v>
      </c>
      <c r="R255" s="96" t="e">
        <f>IF(ISBLANK(N255),0,M255/ROUND(N255,4))</f>
        <v>#DIV/0!</v>
      </c>
      <c r="S255" s="96" t="e">
        <f>IF(ISBLANK(N255),0,R255*ROUND(O255,2))</f>
        <v>#DIV/0!</v>
      </c>
      <c r="T255" s="26" t="e">
        <f>ROUND(Q255,2)*R255</f>
        <v>#DIV/0!</v>
      </c>
      <c r="U255" s="96" t="e">
        <f>R255*dagenperjaar1</f>
        <v>#DIV/0!</v>
      </c>
      <c r="V255" s="27" t="e">
        <f>U255*ROUND(Q255,2)</f>
        <v>#DIV/0!</v>
      </c>
    </row>
    <row r="256" spans="1:22" x14ac:dyDescent="0.25">
      <c r="A256" s="93" t="s">
        <v>259</v>
      </c>
      <c r="B256" s="94" t="s">
        <v>41</v>
      </c>
      <c r="C256" s="94" t="s">
        <v>593</v>
      </c>
      <c r="D256" s="94" t="s">
        <v>624</v>
      </c>
      <c r="E256" s="95" t="s">
        <v>272</v>
      </c>
      <c r="F256" s="94" t="s">
        <v>336</v>
      </c>
      <c r="G256" s="94" t="s">
        <v>228</v>
      </c>
      <c r="H256" s="94" t="s">
        <v>9</v>
      </c>
      <c r="I256" s="94" t="s">
        <v>198</v>
      </c>
      <c r="J256" s="95" t="s">
        <v>229</v>
      </c>
      <c r="K256" s="94" t="s">
        <v>273</v>
      </c>
      <c r="L256" s="96">
        <v>38</v>
      </c>
      <c r="M256" s="96">
        <f>L256*VLOOKUP(H256,dagsoorttabel1,2,FALSE)</f>
        <v>38.949999999999996</v>
      </c>
      <c r="N256" s="97">
        <f>prodnorm18</f>
        <v>0</v>
      </c>
      <c r="O256" s="41">
        <f>dagwerk18</f>
        <v>0</v>
      </c>
      <c r="P256" s="94" t="s">
        <v>108</v>
      </c>
      <c r="Q256" s="26">
        <f>uurtarief18</f>
        <v>0</v>
      </c>
      <c r="R256" s="96" t="e">
        <f>IF(ISBLANK(N256),0,M256/ROUND(N256,4))</f>
        <v>#DIV/0!</v>
      </c>
      <c r="S256" s="96" t="e">
        <f>IF(ISBLANK(N256),0,R256*ROUND(O256,2))</f>
        <v>#DIV/0!</v>
      </c>
      <c r="T256" s="26" t="e">
        <f>ROUND(Q256,2)*R256</f>
        <v>#DIV/0!</v>
      </c>
      <c r="U256" s="96" t="e">
        <f>R256*dagenperjaar1</f>
        <v>#DIV/0!</v>
      </c>
      <c r="V256" s="27" t="e">
        <f>U256*ROUND(Q256,2)</f>
        <v>#DIV/0!</v>
      </c>
    </row>
    <row r="257" spans="1:22" x14ac:dyDescent="0.25">
      <c r="A257" s="93" t="s">
        <v>259</v>
      </c>
      <c r="B257" s="94" t="s">
        <v>41</v>
      </c>
      <c r="C257" s="94" t="s">
        <v>593</v>
      </c>
      <c r="D257" s="94" t="s">
        <v>625</v>
      </c>
      <c r="E257" s="95" t="s">
        <v>280</v>
      </c>
      <c r="F257" s="94" t="s">
        <v>300</v>
      </c>
      <c r="G257" s="94" t="s">
        <v>236</v>
      </c>
      <c r="H257" s="94" t="s">
        <v>9</v>
      </c>
      <c r="I257" s="94" t="s">
        <v>198</v>
      </c>
      <c r="J257" s="95" t="s">
        <v>237</v>
      </c>
      <c r="K257" s="94" t="s">
        <v>273</v>
      </c>
      <c r="L257" s="96">
        <v>28</v>
      </c>
      <c r="M257" s="96">
        <f>L257*VLOOKUP(H257,dagsoorttabel1,2,FALSE)</f>
        <v>28.699999999999996</v>
      </c>
      <c r="N257" s="97">
        <f>prodnorm22</f>
        <v>0</v>
      </c>
      <c r="O257" s="41">
        <f>dagwerk22</f>
        <v>0</v>
      </c>
      <c r="P257" s="94" t="s">
        <v>108</v>
      </c>
      <c r="Q257" s="26">
        <f>uurtarief22</f>
        <v>0</v>
      </c>
      <c r="R257" s="96" t="e">
        <f>IF(ISBLANK(N257),0,M257/ROUND(N257,4))</f>
        <v>#DIV/0!</v>
      </c>
      <c r="S257" s="96" t="e">
        <f>IF(ISBLANK(N257),0,R257*ROUND(O257,2))</f>
        <v>#DIV/0!</v>
      </c>
      <c r="T257" s="26" t="e">
        <f>ROUND(Q257,2)*R257</f>
        <v>#DIV/0!</v>
      </c>
      <c r="U257" s="96" t="e">
        <f>R257*dagenperjaar1</f>
        <v>#DIV/0!</v>
      </c>
      <c r="V257" s="27" t="e">
        <f>U257*ROUND(Q257,2)</f>
        <v>#DIV/0!</v>
      </c>
    </row>
    <row r="258" spans="1:22" x14ac:dyDescent="0.25">
      <c r="A258" s="93" t="s">
        <v>259</v>
      </c>
      <c r="B258" s="94" t="s">
        <v>41</v>
      </c>
      <c r="C258" s="94" t="s">
        <v>593</v>
      </c>
      <c r="D258" s="94" t="s">
        <v>626</v>
      </c>
      <c r="E258" s="95" t="s">
        <v>410</v>
      </c>
      <c r="F258" s="94" t="s">
        <v>41</v>
      </c>
      <c r="G258" s="94" t="s">
        <v>268</v>
      </c>
      <c r="H258" s="94"/>
      <c r="I258" s="94"/>
      <c r="J258" s="94"/>
      <c r="K258" s="94" t="s">
        <v>41</v>
      </c>
      <c r="L258" s="96">
        <v>5</v>
      </c>
      <c r="M258" s="96"/>
      <c r="N258" s="97"/>
      <c r="O258" s="41"/>
      <c r="P258" s="94"/>
      <c r="Q258" s="26"/>
      <c r="R258" s="96"/>
      <c r="S258" s="96"/>
      <c r="T258" s="26"/>
      <c r="U258" s="98"/>
      <c r="V258" s="27"/>
    </row>
    <row r="259" spans="1:22" x14ac:dyDescent="0.25">
      <c r="A259" s="93" t="s">
        <v>259</v>
      </c>
      <c r="B259" s="94" t="s">
        <v>41</v>
      </c>
      <c r="C259" s="94" t="s">
        <v>593</v>
      </c>
      <c r="D259" s="94" t="s">
        <v>627</v>
      </c>
      <c r="E259" s="95" t="s">
        <v>502</v>
      </c>
      <c r="F259" s="94" t="s">
        <v>300</v>
      </c>
      <c r="G259" s="94" t="s">
        <v>224</v>
      </c>
      <c r="H259" s="94" t="s">
        <v>9</v>
      </c>
      <c r="I259" s="94" t="s">
        <v>198</v>
      </c>
      <c r="J259" s="95" t="s">
        <v>225</v>
      </c>
      <c r="K259" s="94" t="s">
        <v>296</v>
      </c>
      <c r="L259" s="96">
        <v>10</v>
      </c>
      <c r="M259" s="96">
        <f>L259*VLOOKUP(H259,dagsoorttabel1,2,FALSE)</f>
        <v>10.25</v>
      </c>
      <c r="N259" s="97">
        <f>prodnorm16</f>
        <v>0</v>
      </c>
      <c r="O259" s="41">
        <f>dagwerk16</f>
        <v>0</v>
      </c>
      <c r="P259" s="94" t="s">
        <v>108</v>
      </c>
      <c r="Q259" s="26">
        <f>uurtarief16</f>
        <v>0</v>
      </c>
      <c r="R259" s="96" t="e">
        <f>IF(ISBLANK(N259),0,M259/ROUND(N259,4))</f>
        <v>#DIV/0!</v>
      </c>
      <c r="S259" s="96" t="e">
        <f>IF(ISBLANK(N259),0,R259*ROUND(O259,2))</f>
        <v>#DIV/0!</v>
      </c>
      <c r="T259" s="26" t="e">
        <f>ROUND(Q259,2)*R259</f>
        <v>#DIV/0!</v>
      </c>
      <c r="U259" s="96" t="e">
        <f>R259*dagenperjaar1</f>
        <v>#DIV/0!</v>
      </c>
      <c r="V259" s="27" t="e">
        <f>U259*ROUND(Q259,2)</f>
        <v>#DIV/0!</v>
      </c>
    </row>
    <row r="260" spans="1:22" x14ac:dyDescent="0.25">
      <c r="A260" s="93" t="s">
        <v>259</v>
      </c>
      <c r="B260" s="94" t="s">
        <v>41</v>
      </c>
      <c r="C260" s="94" t="s">
        <v>593</v>
      </c>
      <c r="D260" s="94" t="s">
        <v>628</v>
      </c>
      <c r="E260" s="95" t="s">
        <v>629</v>
      </c>
      <c r="F260" s="94" t="s">
        <v>300</v>
      </c>
      <c r="G260" s="94" t="s">
        <v>268</v>
      </c>
      <c r="H260" s="94"/>
      <c r="I260" s="94"/>
      <c r="J260" s="94"/>
      <c r="K260" s="94" t="s">
        <v>41</v>
      </c>
      <c r="L260" s="96">
        <v>4</v>
      </c>
      <c r="M260" s="96"/>
      <c r="N260" s="97"/>
      <c r="O260" s="41"/>
      <c r="P260" s="94"/>
      <c r="Q260" s="26"/>
      <c r="R260" s="96"/>
      <c r="S260" s="96"/>
      <c r="T260" s="26"/>
      <c r="U260" s="98"/>
      <c r="V260" s="27"/>
    </row>
    <row r="261" spans="1:22" x14ac:dyDescent="0.25">
      <c r="A261" s="93" t="s">
        <v>259</v>
      </c>
      <c r="B261" s="94" t="s">
        <v>41</v>
      </c>
      <c r="C261" s="94" t="s">
        <v>593</v>
      </c>
      <c r="D261" s="94" t="s">
        <v>630</v>
      </c>
      <c r="E261" s="95" t="s">
        <v>315</v>
      </c>
      <c r="F261" s="94" t="s">
        <v>300</v>
      </c>
      <c r="G261" s="94" t="s">
        <v>268</v>
      </c>
      <c r="H261" s="94"/>
      <c r="I261" s="94"/>
      <c r="J261" s="94"/>
      <c r="K261" s="94" t="s">
        <v>41</v>
      </c>
      <c r="L261" s="96">
        <v>3</v>
      </c>
      <c r="M261" s="96"/>
      <c r="N261" s="97"/>
      <c r="O261" s="41"/>
      <c r="P261" s="94"/>
      <c r="Q261" s="26"/>
      <c r="R261" s="96"/>
      <c r="S261" s="96"/>
      <c r="T261" s="26"/>
      <c r="U261" s="98"/>
      <c r="V261" s="27"/>
    </row>
    <row r="262" spans="1:22" x14ac:dyDescent="0.25">
      <c r="A262" s="93" t="s">
        <v>259</v>
      </c>
      <c r="B262" s="94" t="s">
        <v>41</v>
      </c>
      <c r="C262" s="94" t="s">
        <v>593</v>
      </c>
      <c r="D262" s="94" t="s">
        <v>631</v>
      </c>
      <c r="E262" s="95" t="s">
        <v>358</v>
      </c>
      <c r="F262" s="94" t="s">
        <v>300</v>
      </c>
      <c r="G262" s="94" t="s">
        <v>224</v>
      </c>
      <c r="H262" s="94" t="s">
        <v>9</v>
      </c>
      <c r="I262" s="94" t="s">
        <v>198</v>
      </c>
      <c r="J262" s="95" t="s">
        <v>225</v>
      </c>
      <c r="K262" s="94" t="s">
        <v>532</v>
      </c>
      <c r="L262" s="96">
        <v>1</v>
      </c>
      <c r="M262" s="96">
        <f>L262*VLOOKUP(H262,dagsoorttabel1,2,FALSE)</f>
        <v>1.0249999999999999</v>
      </c>
      <c r="N262" s="97">
        <f>prodnorm16</f>
        <v>0</v>
      </c>
      <c r="O262" s="41">
        <f>dagwerk16</f>
        <v>0</v>
      </c>
      <c r="P262" s="94" t="s">
        <v>108</v>
      </c>
      <c r="Q262" s="26">
        <f>uurtarief16</f>
        <v>0</v>
      </c>
      <c r="R262" s="96" t="e">
        <f>IF(ISBLANK(N262),0,M262/ROUND(N262,4))</f>
        <v>#DIV/0!</v>
      </c>
      <c r="S262" s="96" t="e">
        <f>IF(ISBLANK(N262),0,R262*ROUND(O262,2))</f>
        <v>#DIV/0!</v>
      </c>
      <c r="T262" s="26" t="e">
        <f>ROUND(Q262,2)*R262</f>
        <v>#DIV/0!</v>
      </c>
      <c r="U262" s="96" t="e">
        <f>R262*dagenperjaar1</f>
        <v>#DIV/0!</v>
      </c>
      <c r="V262" s="27" t="e">
        <f>U262*ROUND(Q262,2)</f>
        <v>#DIV/0!</v>
      </c>
    </row>
    <row r="263" spans="1:22" x14ac:dyDescent="0.25">
      <c r="A263" s="93" t="s">
        <v>259</v>
      </c>
      <c r="B263" s="94" t="s">
        <v>41</v>
      </c>
      <c r="C263" s="94" t="s">
        <v>593</v>
      </c>
      <c r="D263" s="94" t="s">
        <v>631</v>
      </c>
      <c r="E263" s="95" t="s">
        <v>358</v>
      </c>
      <c r="F263" s="94" t="s">
        <v>300</v>
      </c>
      <c r="G263" s="94" t="s">
        <v>226</v>
      </c>
      <c r="H263" s="94" t="s">
        <v>9</v>
      </c>
      <c r="I263" s="94" t="s">
        <v>198</v>
      </c>
      <c r="J263" s="95" t="s">
        <v>227</v>
      </c>
      <c r="K263" s="94" t="s">
        <v>532</v>
      </c>
      <c r="L263" s="96">
        <v>1</v>
      </c>
      <c r="M263" s="96">
        <f>L263*VLOOKUP(H263,dagsoorttabel1,2,FALSE)</f>
        <v>1.0249999999999999</v>
      </c>
      <c r="N263" s="97">
        <f>prodnorm17</f>
        <v>0</v>
      </c>
      <c r="O263" s="41">
        <f>dagwerk17</f>
        <v>0</v>
      </c>
      <c r="P263" s="94" t="s">
        <v>108</v>
      </c>
      <c r="Q263" s="26">
        <f>uurtarief17</f>
        <v>0</v>
      </c>
      <c r="R263" s="96" t="e">
        <f>IF(ISBLANK(N263),0,M263/ROUND(N263,4))</f>
        <v>#DIV/0!</v>
      </c>
      <c r="S263" s="96" t="e">
        <f>IF(ISBLANK(N263),0,R263*ROUND(O263,2))</f>
        <v>#DIV/0!</v>
      </c>
      <c r="T263" s="26" t="e">
        <f>ROUND(Q263,2)*R263</f>
        <v>#DIV/0!</v>
      </c>
      <c r="U263" s="96" t="e">
        <f>R263*dagenperjaar1</f>
        <v>#DIV/0!</v>
      </c>
      <c r="V263" s="27" t="e">
        <f>U263*ROUND(Q263,2)</f>
        <v>#DIV/0!</v>
      </c>
    </row>
    <row r="264" spans="1:22" x14ac:dyDescent="0.25">
      <c r="A264" s="93" t="s">
        <v>259</v>
      </c>
      <c r="B264" s="94" t="s">
        <v>41</v>
      </c>
      <c r="C264" s="94" t="s">
        <v>593</v>
      </c>
      <c r="D264" s="94" t="s">
        <v>632</v>
      </c>
      <c r="E264" s="95" t="s">
        <v>586</v>
      </c>
      <c r="F264" s="94" t="s">
        <v>300</v>
      </c>
      <c r="G264" s="94" t="s">
        <v>224</v>
      </c>
      <c r="H264" s="94" t="s">
        <v>9</v>
      </c>
      <c r="I264" s="94" t="s">
        <v>198</v>
      </c>
      <c r="J264" s="95" t="s">
        <v>225</v>
      </c>
      <c r="K264" s="94" t="s">
        <v>296</v>
      </c>
      <c r="L264" s="96">
        <v>2</v>
      </c>
      <c r="M264" s="96">
        <f>L264*VLOOKUP(H264,dagsoorttabel1,2,FALSE)</f>
        <v>2.0499999999999998</v>
      </c>
      <c r="N264" s="97">
        <f>prodnorm16</f>
        <v>0</v>
      </c>
      <c r="O264" s="41">
        <f>dagwerk16</f>
        <v>0</v>
      </c>
      <c r="P264" s="94" t="s">
        <v>108</v>
      </c>
      <c r="Q264" s="26">
        <f>uurtarief16</f>
        <v>0</v>
      </c>
      <c r="R264" s="96" t="e">
        <f>IF(ISBLANK(N264),0,M264/ROUND(N264,4))</f>
        <v>#DIV/0!</v>
      </c>
      <c r="S264" s="96" t="e">
        <f>IF(ISBLANK(N264),0,R264*ROUND(O264,2))</f>
        <v>#DIV/0!</v>
      </c>
      <c r="T264" s="26" t="e">
        <f>ROUND(Q264,2)*R264</f>
        <v>#DIV/0!</v>
      </c>
      <c r="U264" s="96" t="e">
        <f>R264*dagenperjaar1</f>
        <v>#DIV/0!</v>
      </c>
      <c r="V264" s="27" t="e">
        <f>U264*ROUND(Q264,2)</f>
        <v>#DIV/0!</v>
      </c>
    </row>
    <row r="265" spans="1:22" x14ac:dyDescent="0.25">
      <c r="A265" s="93" t="s">
        <v>259</v>
      </c>
      <c r="B265" s="94" t="s">
        <v>41</v>
      </c>
      <c r="C265" s="94" t="s">
        <v>593</v>
      </c>
      <c r="D265" s="94" t="s">
        <v>633</v>
      </c>
      <c r="E265" s="95" t="s">
        <v>502</v>
      </c>
      <c r="F265" s="94" t="s">
        <v>300</v>
      </c>
      <c r="G265" s="94" t="s">
        <v>224</v>
      </c>
      <c r="H265" s="94" t="s">
        <v>9</v>
      </c>
      <c r="I265" s="94" t="s">
        <v>198</v>
      </c>
      <c r="J265" s="95" t="s">
        <v>225</v>
      </c>
      <c r="K265" s="94" t="s">
        <v>296</v>
      </c>
      <c r="L265" s="96">
        <v>10</v>
      </c>
      <c r="M265" s="96">
        <f>L265*VLOOKUP(H265,dagsoorttabel1,2,FALSE)</f>
        <v>10.25</v>
      </c>
      <c r="N265" s="97">
        <f>prodnorm16</f>
        <v>0</v>
      </c>
      <c r="O265" s="41">
        <f>dagwerk16</f>
        <v>0</v>
      </c>
      <c r="P265" s="94" t="s">
        <v>108</v>
      </c>
      <c r="Q265" s="26">
        <f>uurtarief16</f>
        <v>0</v>
      </c>
      <c r="R265" s="96" t="e">
        <f>IF(ISBLANK(N265),0,M265/ROUND(N265,4))</f>
        <v>#DIV/0!</v>
      </c>
      <c r="S265" s="96" t="e">
        <f>IF(ISBLANK(N265),0,R265*ROUND(O265,2))</f>
        <v>#DIV/0!</v>
      </c>
      <c r="T265" s="26" t="e">
        <f>ROUND(Q265,2)*R265</f>
        <v>#DIV/0!</v>
      </c>
      <c r="U265" s="96" t="e">
        <f>R265*dagenperjaar1</f>
        <v>#DIV/0!</v>
      </c>
      <c r="V265" s="27" t="e">
        <f>U265*ROUND(Q265,2)</f>
        <v>#DIV/0!</v>
      </c>
    </row>
    <row r="266" spans="1:22" ht="23" x14ac:dyDescent="0.25">
      <c r="A266" s="93" t="s">
        <v>259</v>
      </c>
      <c r="B266" s="94" t="s">
        <v>41</v>
      </c>
      <c r="C266" s="94" t="s">
        <v>593</v>
      </c>
      <c r="D266" s="94" t="s">
        <v>634</v>
      </c>
      <c r="E266" s="95" t="s">
        <v>635</v>
      </c>
      <c r="F266" s="94" t="s">
        <v>336</v>
      </c>
      <c r="G266" s="94" t="s">
        <v>216</v>
      </c>
      <c r="H266" s="94" t="s">
        <v>12</v>
      </c>
      <c r="I266" s="94" t="s">
        <v>198</v>
      </c>
      <c r="J266" s="95" t="s">
        <v>217</v>
      </c>
      <c r="K266" s="94" t="s">
        <v>337</v>
      </c>
      <c r="L266" s="96">
        <v>29</v>
      </c>
      <c r="M266" s="96">
        <f>L266*VLOOKUP(H266,dagsoorttabel1,2,FALSE)</f>
        <v>17.835000000000001</v>
      </c>
      <c r="N266" s="97">
        <f>prodnorm12</f>
        <v>0</v>
      </c>
      <c r="O266" s="41">
        <f>dagwerk12</f>
        <v>0</v>
      </c>
      <c r="P266" s="94" t="s">
        <v>108</v>
      </c>
      <c r="Q266" s="26">
        <f>uurtarief12</f>
        <v>0</v>
      </c>
      <c r="R266" s="96" t="e">
        <f>IF(ISBLANK(N266),0,M266/ROUND(N266,4))</f>
        <v>#DIV/0!</v>
      </c>
      <c r="S266" s="96" t="e">
        <f>IF(ISBLANK(N266),0,R266*ROUND(O266,2))</f>
        <v>#DIV/0!</v>
      </c>
      <c r="T266" s="26" t="e">
        <f>ROUND(Q266,2)*R266</f>
        <v>#DIV/0!</v>
      </c>
      <c r="U266" s="96" t="e">
        <f>R266*dagenperjaar1</f>
        <v>#DIV/0!</v>
      </c>
      <c r="V266" s="27" t="e">
        <f>U266*ROUND(Q266,2)</f>
        <v>#DIV/0!</v>
      </c>
    </row>
    <row r="267" spans="1:22" x14ac:dyDescent="0.25">
      <c r="A267" s="93" t="s">
        <v>259</v>
      </c>
      <c r="B267" s="94" t="s">
        <v>41</v>
      </c>
      <c r="C267" s="94" t="s">
        <v>593</v>
      </c>
      <c r="D267" s="94" t="s">
        <v>636</v>
      </c>
      <c r="E267" s="95" t="s">
        <v>637</v>
      </c>
      <c r="F267" s="94" t="s">
        <v>336</v>
      </c>
      <c r="G267" s="94" t="s">
        <v>268</v>
      </c>
      <c r="H267" s="94"/>
      <c r="I267" s="94"/>
      <c r="J267" s="94"/>
      <c r="K267" s="94" t="s">
        <v>41</v>
      </c>
      <c r="L267" s="96">
        <v>5</v>
      </c>
      <c r="M267" s="96"/>
      <c r="N267" s="97"/>
      <c r="O267" s="41"/>
      <c r="P267" s="94"/>
      <c r="Q267" s="26"/>
      <c r="R267" s="96"/>
      <c r="S267" s="96"/>
      <c r="T267" s="26"/>
      <c r="U267" s="98"/>
      <c r="V267" s="27"/>
    </row>
    <row r="268" spans="1:22" x14ac:dyDescent="0.25">
      <c r="A268" s="93" t="s">
        <v>259</v>
      </c>
      <c r="B268" s="94" t="s">
        <v>41</v>
      </c>
      <c r="C268" s="94" t="s">
        <v>593</v>
      </c>
      <c r="D268" s="94" t="s">
        <v>638</v>
      </c>
      <c r="E268" s="95" t="s">
        <v>272</v>
      </c>
      <c r="F268" s="94" t="s">
        <v>336</v>
      </c>
      <c r="G268" s="94" t="s">
        <v>228</v>
      </c>
      <c r="H268" s="94" t="s">
        <v>9</v>
      </c>
      <c r="I268" s="94" t="s">
        <v>198</v>
      </c>
      <c r="J268" s="95" t="s">
        <v>229</v>
      </c>
      <c r="K268" s="94" t="s">
        <v>273</v>
      </c>
      <c r="L268" s="96">
        <v>12</v>
      </c>
      <c r="M268" s="96">
        <f>L268*VLOOKUP(H268,dagsoorttabel1,2,FALSE)</f>
        <v>12.299999999999999</v>
      </c>
      <c r="N268" s="97">
        <f>prodnorm18</f>
        <v>0</v>
      </c>
      <c r="O268" s="41">
        <f>dagwerk18</f>
        <v>0</v>
      </c>
      <c r="P268" s="94" t="s">
        <v>108</v>
      </c>
      <c r="Q268" s="26">
        <f>uurtarief18</f>
        <v>0</v>
      </c>
      <c r="R268" s="96" t="e">
        <f>IF(ISBLANK(N268),0,M268/ROUND(N268,4))</f>
        <v>#DIV/0!</v>
      </c>
      <c r="S268" s="96" t="e">
        <f>IF(ISBLANK(N268),0,R268*ROUND(O268,2))</f>
        <v>#DIV/0!</v>
      </c>
      <c r="T268" s="26" t="e">
        <f>ROUND(Q268,2)*R268</f>
        <v>#DIV/0!</v>
      </c>
      <c r="U268" s="96" t="e">
        <f>R268*dagenperjaar1</f>
        <v>#DIV/0!</v>
      </c>
      <c r="V268" s="27" t="e">
        <f>U268*ROUND(Q268,2)</f>
        <v>#DIV/0!</v>
      </c>
    </row>
    <row r="269" spans="1:22" x14ac:dyDescent="0.25">
      <c r="A269" s="99" t="s">
        <v>259</v>
      </c>
      <c r="B269" s="100" t="s">
        <v>41</v>
      </c>
      <c r="C269" s="100" t="s">
        <v>593</v>
      </c>
      <c r="D269" s="100" t="s">
        <v>639</v>
      </c>
      <c r="E269" s="101" t="s">
        <v>272</v>
      </c>
      <c r="F269" s="100" t="s">
        <v>336</v>
      </c>
      <c r="G269" s="100" t="s">
        <v>228</v>
      </c>
      <c r="H269" s="100" t="s">
        <v>9</v>
      </c>
      <c r="I269" s="100" t="s">
        <v>198</v>
      </c>
      <c r="J269" s="101" t="s">
        <v>229</v>
      </c>
      <c r="K269" s="100" t="s">
        <v>273</v>
      </c>
      <c r="L269" s="102">
        <v>11</v>
      </c>
      <c r="M269" s="102">
        <f>L269*VLOOKUP(H269,dagsoorttabel1,2,FALSE)</f>
        <v>11.274999999999999</v>
      </c>
      <c r="N269" s="103">
        <f>prodnorm18</f>
        <v>0</v>
      </c>
      <c r="O269" s="104">
        <f>dagwerk18</f>
        <v>0</v>
      </c>
      <c r="P269" s="100" t="s">
        <v>108</v>
      </c>
      <c r="Q269" s="36">
        <f>uurtarief18</f>
        <v>0</v>
      </c>
      <c r="R269" s="102" t="e">
        <f>IF(ISBLANK(N269),0,M269/ROUND(N269,4))</f>
        <v>#DIV/0!</v>
      </c>
      <c r="S269" s="102" t="e">
        <f>IF(ISBLANK(N269),0,R269*ROUND(O269,2))</f>
        <v>#DIV/0!</v>
      </c>
      <c r="T269" s="36" t="e">
        <f>ROUND(Q269,2)*R269</f>
        <v>#DIV/0!</v>
      </c>
      <c r="U269" s="102" t="e">
        <f>R269*dagenperjaar1</f>
        <v>#DIV/0!</v>
      </c>
      <c r="V269" s="37" t="e">
        <f>U269*ROUND(Q269,2)</f>
        <v>#DIV/0!</v>
      </c>
    </row>
    <row r="270" spans="1:22" x14ac:dyDescent="0.25">
      <c r="A270" s="75" t="s">
        <v>640</v>
      </c>
      <c r="B270" s="76"/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8" t="e">
        <f>IF(_xlfn.SINGLE(object1_urenjaar1)&gt;0,_xlfn.SINGLE(object1_prijsjaar1)/_xlfn.SINGLE(object1_urenjaar1),0)</f>
        <v>#DIV/0!</v>
      </c>
      <c r="R270" s="77" t="e">
        <f>SUM(R5:R269)</f>
        <v>#DIV/0!</v>
      </c>
      <c r="S270" s="77" t="e">
        <f>SUM(S5:S269)</f>
        <v>#DIV/0!</v>
      </c>
      <c r="T270" s="78" t="e">
        <f>SUM(T5:T269)</f>
        <v>#DIV/0!</v>
      </c>
      <c r="U270" s="77" t="e">
        <f>SUM(U5:U269)</f>
        <v>#DIV/0!</v>
      </c>
      <c r="V270" s="78" t="e">
        <f>SUM(V5:V269)</f>
        <v>#DIV/0!</v>
      </c>
    </row>
  </sheetData>
  <sheetProtection algorithmName="SHA-512" hashValue="UcT4OoMqLxsopkcuN2LoDM2v0kjYiOqRxW/utHd8VUzI22ok71O2kKZf7/gsSSyFawvA91RUm8ZIxfHrrjKRXg==" saltValue="T2VyFBngom6dPYWAag8fJA==" spinCount="100000" sheet="1" objects="1" scenarios="1" autoFilter="0"/>
  <autoFilter ref="A3:V270" xr:uid="{8AF64636-1CB1-4330-AE9D-D55449CACCFD}"/>
  <pageMargins left="0.7" right="0.7" top="0.75" bottom="0.75" header="0.3" footer="0.3"/>
  <pageSetup scale="61" orientation="landscape" horizontalDpi="300" verticalDpi="300" r:id="rId1"/>
  <headerFooter>
    <oddFooter>&amp;LOns Middelbaar Onderwijs                                    
CONCEPT PER 01-08-2026&amp;ROpmaakdatum: 15-01-2026
Intexso - Plantageweg 23E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9F8B7-08B4-4497-8F2F-F4DDE63F963F}">
  <dimension ref="A1:J28"/>
  <sheetViews>
    <sheetView workbookViewId="0"/>
  </sheetViews>
  <sheetFormatPr defaultRowHeight="11.5" x14ac:dyDescent="0.25"/>
  <cols>
    <col min="1" max="1" width="5.6328125" customWidth="1"/>
    <col min="2" max="2" width="6.1796875" customWidth="1"/>
    <col min="3" max="3" width="11.6328125" customWidth="1"/>
    <col min="4" max="10" width="12.6328125" customWidth="1"/>
  </cols>
  <sheetData>
    <row r="1" spans="1:10" x14ac:dyDescent="0.25">
      <c r="A1" s="1" t="s">
        <v>641</v>
      </c>
    </row>
    <row r="3" spans="1:10" ht="23" x14ac:dyDescent="0.25">
      <c r="A3" s="105" t="s">
        <v>189</v>
      </c>
      <c r="B3" s="105" t="s">
        <v>7</v>
      </c>
      <c r="C3" s="106" t="s">
        <v>642</v>
      </c>
      <c r="D3" s="106" t="s">
        <v>643</v>
      </c>
      <c r="E3" s="106" t="s">
        <v>644</v>
      </c>
      <c r="F3" s="106" t="s">
        <v>645</v>
      </c>
      <c r="G3" s="106" t="s">
        <v>646</v>
      </c>
      <c r="H3" s="106" t="s">
        <v>647</v>
      </c>
      <c r="I3" s="105" t="s">
        <v>648</v>
      </c>
      <c r="J3" s="105" t="s">
        <v>649</v>
      </c>
    </row>
    <row r="4" spans="1:10" x14ac:dyDescent="0.25">
      <c r="A4" s="107"/>
      <c r="B4" s="107"/>
      <c r="C4" s="107"/>
      <c r="D4" s="107"/>
      <c r="E4" s="107"/>
      <c r="F4" s="107"/>
      <c r="G4" s="107"/>
      <c r="H4" s="107"/>
      <c r="I4" s="107"/>
      <c r="J4" s="108" t="s">
        <v>191</v>
      </c>
    </row>
    <row r="5" spans="1:10" x14ac:dyDescent="0.25">
      <c r="A5" s="51" t="s">
        <v>197</v>
      </c>
      <c r="B5" s="51" t="s">
        <v>9</v>
      </c>
      <c r="C5" s="51" t="s">
        <v>4</v>
      </c>
      <c r="D5" s="51" t="s">
        <v>198</v>
      </c>
      <c r="E5" s="66">
        <f>IF(B5="","",VLOOKUP(B5,dagsoorttabel1,2,FALSE))</f>
        <v>1.0249999999999999</v>
      </c>
      <c r="F5" s="66">
        <v>1</v>
      </c>
      <c r="G5" s="66">
        <f>IF(prodnorm2&gt;0,1/ROUND(prodnorm2,4),0)</f>
        <v>0</v>
      </c>
      <c r="H5" s="68">
        <f>ROUND(dagwerk2,4+2)</f>
        <v>0</v>
      </c>
      <c r="I5" s="55">
        <f>ROUND(uurtarief2,2)</f>
        <v>0</v>
      </c>
      <c r="J5" s="66">
        <v>15</v>
      </c>
    </row>
    <row r="6" spans="1:10" x14ac:dyDescent="0.25">
      <c r="A6" s="56" t="s">
        <v>197</v>
      </c>
      <c r="B6" s="56" t="s">
        <v>16</v>
      </c>
      <c r="C6" s="56" t="s">
        <v>4</v>
      </c>
      <c r="D6" s="56" t="s">
        <v>198</v>
      </c>
      <c r="E6" s="69">
        <f>IF(B6="","",VLOOKUP(B6,dagsoorttabel1,2,FALSE))</f>
        <v>0.20499999999999999</v>
      </c>
      <c r="F6" s="69">
        <v>1</v>
      </c>
      <c r="G6" s="69">
        <f>IF(prodnorm3&gt;0,1/ROUND(prodnorm3,4),0)</f>
        <v>0</v>
      </c>
      <c r="H6" s="71">
        <f>ROUND(dagwerk3,4+2)</f>
        <v>0</v>
      </c>
      <c r="I6" s="60">
        <f>ROUND(uurtarief3,2)</f>
        <v>0</v>
      </c>
      <c r="J6" s="69">
        <v>519</v>
      </c>
    </row>
    <row r="7" spans="1:10" x14ac:dyDescent="0.25">
      <c r="A7" s="56" t="s">
        <v>200</v>
      </c>
      <c r="B7" s="56" t="s">
        <v>16</v>
      </c>
      <c r="C7" s="56" t="s">
        <v>4</v>
      </c>
      <c r="D7" s="56" t="s">
        <v>198</v>
      </c>
      <c r="E7" s="69">
        <f>IF(B7="","",VLOOKUP(B7,dagsoorttabel1,2,FALSE))</f>
        <v>0.20499999999999999</v>
      </c>
      <c r="F7" s="69">
        <v>1</v>
      </c>
      <c r="G7" s="69">
        <f>IF(prodnorm4&gt;0,1/ROUND(prodnorm4,4),0)</f>
        <v>0</v>
      </c>
      <c r="H7" s="71">
        <f>ROUND(dagwerk4,4+2)</f>
        <v>0</v>
      </c>
      <c r="I7" s="60">
        <f>ROUND(uurtarief4,2)</f>
        <v>0</v>
      </c>
      <c r="J7" s="69">
        <v>163</v>
      </c>
    </row>
    <row r="8" spans="1:10" x14ac:dyDescent="0.25">
      <c r="A8" s="56" t="s">
        <v>202</v>
      </c>
      <c r="B8" s="56" t="s">
        <v>9</v>
      </c>
      <c r="C8" s="56" t="s">
        <v>4</v>
      </c>
      <c r="D8" s="56" t="s">
        <v>198</v>
      </c>
      <c r="E8" s="69">
        <f>IF(B8="","",VLOOKUP(B8,dagsoorttabel1,2,FALSE))</f>
        <v>1.0249999999999999</v>
      </c>
      <c r="F8" s="69">
        <v>1</v>
      </c>
      <c r="G8" s="69">
        <f>IF(prodnorm5&gt;0,1/ROUND(prodnorm5,4),0)</f>
        <v>0</v>
      </c>
      <c r="H8" s="71">
        <f>ROUND(dagwerk5,4+2)</f>
        <v>0</v>
      </c>
      <c r="I8" s="60">
        <f>ROUND(uurtarief5,2)</f>
        <v>0</v>
      </c>
      <c r="J8" s="69">
        <v>994</v>
      </c>
    </row>
    <row r="9" spans="1:10" x14ac:dyDescent="0.25">
      <c r="A9" s="56" t="s">
        <v>204</v>
      </c>
      <c r="B9" s="56" t="s">
        <v>9</v>
      </c>
      <c r="C9" s="56" t="s">
        <v>4</v>
      </c>
      <c r="D9" s="56" t="s">
        <v>198</v>
      </c>
      <c r="E9" s="69">
        <f>IF(B9="","",VLOOKUP(B9,dagsoorttabel1,2,FALSE))</f>
        <v>1.0249999999999999</v>
      </c>
      <c r="F9" s="69">
        <v>1</v>
      </c>
      <c r="G9" s="69">
        <f>IF(prodnorm6&gt;0,1/ROUND(prodnorm6,4),0)</f>
        <v>0</v>
      </c>
      <c r="H9" s="71">
        <f>ROUND(dagwerk6,4+2)</f>
        <v>0</v>
      </c>
      <c r="I9" s="60">
        <f>ROUND(uurtarief6,2)</f>
        <v>0</v>
      </c>
      <c r="J9" s="69">
        <v>599</v>
      </c>
    </row>
    <row r="10" spans="1:10" x14ac:dyDescent="0.25">
      <c r="A10" s="56" t="s">
        <v>206</v>
      </c>
      <c r="B10" s="56" t="s">
        <v>9</v>
      </c>
      <c r="C10" s="56" t="s">
        <v>4</v>
      </c>
      <c r="D10" s="56" t="s">
        <v>198</v>
      </c>
      <c r="E10" s="69">
        <f>IF(B10="","",VLOOKUP(B10,dagsoorttabel1,2,FALSE))</f>
        <v>1.0249999999999999</v>
      </c>
      <c r="F10" s="69">
        <v>1</v>
      </c>
      <c r="G10" s="69">
        <f>IF(prodnorm7&gt;0,1/ROUND(prodnorm7,4),0)</f>
        <v>0</v>
      </c>
      <c r="H10" s="71">
        <f>ROUND(dagwerk7,4+2)</f>
        <v>0</v>
      </c>
      <c r="I10" s="60">
        <f>ROUND(uurtarief7,2)</f>
        <v>0</v>
      </c>
      <c r="J10" s="69">
        <v>126</v>
      </c>
    </row>
    <row r="11" spans="1:10" x14ac:dyDescent="0.25">
      <c r="A11" s="56" t="s">
        <v>208</v>
      </c>
      <c r="B11" s="56" t="s">
        <v>12</v>
      </c>
      <c r="C11" s="56" t="s">
        <v>4</v>
      </c>
      <c r="D11" s="56" t="s">
        <v>198</v>
      </c>
      <c r="E11" s="69">
        <f>IF(B11="","",VLOOKUP(B11,dagsoorttabel1,2,FALSE))</f>
        <v>0.61499999999999999</v>
      </c>
      <c r="F11" s="69">
        <v>1</v>
      </c>
      <c r="G11" s="69">
        <f>IF(prodnorm8&gt;0,1/ROUND(prodnorm8,4),0)</f>
        <v>0</v>
      </c>
      <c r="H11" s="71">
        <f>ROUND(dagwerk8,4+2)</f>
        <v>0</v>
      </c>
      <c r="I11" s="60">
        <f>ROUND(uurtarief8,2)</f>
        <v>0</v>
      </c>
      <c r="J11" s="69">
        <v>2011</v>
      </c>
    </row>
    <row r="12" spans="1:10" x14ac:dyDescent="0.25">
      <c r="A12" s="56" t="s">
        <v>210</v>
      </c>
      <c r="B12" s="56" t="s">
        <v>9</v>
      </c>
      <c r="C12" s="56" t="s">
        <v>4</v>
      </c>
      <c r="D12" s="56" t="s">
        <v>198</v>
      </c>
      <c r="E12" s="69">
        <f>IF(B12="","",VLOOKUP(B12,dagsoorttabel1,2,FALSE))</f>
        <v>1.0249999999999999</v>
      </c>
      <c r="F12" s="69">
        <v>1</v>
      </c>
      <c r="G12" s="69">
        <f>IF(prodnorm9&gt;0,1/ROUND(prodnorm9,4),0)</f>
        <v>0</v>
      </c>
      <c r="H12" s="71">
        <f>ROUND(dagwerk9,4+2)</f>
        <v>0</v>
      </c>
      <c r="I12" s="60">
        <f>ROUND(uurtarief9,2)</f>
        <v>0</v>
      </c>
      <c r="J12" s="69">
        <v>262</v>
      </c>
    </row>
    <row r="13" spans="1:10" x14ac:dyDescent="0.25">
      <c r="A13" s="56" t="s">
        <v>212</v>
      </c>
      <c r="B13" s="56" t="s">
        <v>9</v>
      </c>
      <c r="C13" s="56" t="s">
        <v>4</v>
      </c>
      <c r="D13" s="56" t="s">
        <v>198</v>
      </c>
      <c r="E13" s="69">
        <f>IF(B13="","",VLOOKUP(B13,dagsoorttabel1,2,FALSE))</f>
        <v>1.0249999999999999</v>
      </c>
      <c r="F13" s="69">
        <v>1</v>
      </c>
      <c r="G13" s="69">
        <f>IF(prodnorm10&gt;0,1/ROUND(prodnorm10,4),0)</f>
        <v>0</v>
      </c>
      <c r="H13" s="71">
        <f>ROUND(dagwerk10,4+2)</f>
        <v>0</v>
      </c>
      <c r="I13" s="60">
        <f>ROUND(uurtarief10,2)</f>
        <v>0</v>
      </c>
      <c r="J13" s="69">
        <v>119</v>
      </c>
    </row>
    <row r="14" spans="1:10" x14ac:dyDescent="0.25">
      <c r="A14" s="56" t="s">
        <v>214</v>
      </c>
      <c r="B14" s="56" t="s">
        <v>12</v>
      </c>
      <c r="C14" s="56" t="s">
        <v>4</v>
      </c>
      <c r="D14" s="56" t="s">
        <v>198</v>
      </c>
      <c r="E14" s="69">
        <f>IF(B14="","",VLOOKUP(B14,dagsoorttabel1,2,FALSE))</f>
        <v>0.61499999999999999</v>
      </c>
      <c r="F14" s="69">
        <v>1</v>
      </c>
      <c r="G14" s="69">
        <f>IF(prodnorm11&gt;0,1/ROUND(prodnorm11,4),0)</f>
        <v>0</v>
      </c>
      <c r="H14" s="71">
        <f>ROUND(dagwerk11,4+2)</f>
        <v>0</v>
      </c>
      <c r="I14" s="60">
        <f>ROUND(uurtarief11,2)</f>
        <v>0</v>
      </c>
      <c r="J14" s="69">
        <v>309</v>
      </c>
    </row>
    <row r="15" spans="1:10" x14ac:dyDescent="0.25">
      <c r="A15" s="56" t="s">
        <v>216</v>
      </c>
      <c r="B15" s="56" t="s">
        <v>12</v>
      </c>
      <c r="C15" s="56" t="s">
        <v>4</v>
      </c>
      <c r="D15" s="56" t="s">
        <v>198</v>
      </c>
      <c r="E15" s="69">
        <f>IF(B15="","",VLOOKUP(B15,dagsoorttabel1,2,FALSE))</f>
        <v>0.61499999999999999</v>
      </c>
      <c r="F15" s="69">
        <v>1</v>
      </c>
      <c r="G15" s="69">
        <f>IF(prodnorm12&gt;0,1/ROUND(prodnorm12,4),0)</f>
        <v>0</v>
      </c>
      <c r="H15" s="71">
        <f>ROUND(dagwerk12,4+2)</f>
        <v>0</v>
      </c>
      <c r="I15" s="60">
        <f>ROUND(uurtarief12,2)</f>
        <v>0</v>
      </c>
      <c r="J15" s="69">
        <v>368</v>
      </c>
    </row>
    <row r="16" spans="1:10" x14ac:dyDescent="0.25">
      <c r="A16" s="56" t="s">
        <v>218</v>
      </c>
      <c r="B16" s="56" t="s">
        <v>12</v>
      </c>
      <c r="C16" s="56" t="s">
        <v>4</v>
      </c>
      <c r="D16" s="56" t="s">
        <v>198</v>
      </c>
      <c r="E16" s="69">
        <f>IF(B16="","",VLOOKUP(B16,dagsoorttabel1,2,FALSE))</f>
        <v>0.61499999999999999</v>
      </c>
      <c r="F16" s="69">
        <v>1</v>
      </c>
      <c r="G16" s="69">
        <f>IF(prodnorm13&gt;0,1/ROUND(prodnorm13,4),0)</f>
        <v>0</v>
      </c>
      <c r="H16" s="71">
        <f>ROUND(dagwerk13,4+2)</f>
        <v>0</v>
      </c>
      <c r="I16" s="60">
        <f>ROUND(uurtarief13,2)</f>
        <v>0</v>
      </c>
      <c r="J16" s="69">
        <v>470</v>
      </c>
    </row>
    <row r="17" spans="1:10" x14ac:dyDescent="0.25">
      <c r="A17" s="56" t="s">
        <v>220</v>
      </c>
      <c r="B17" s="56" t="s">
        <v>9</v>
      </c>
      <c r="C17" s="56" t="s">
        <v>4</v>
      </c>
      <c r="D17" s="56" t="s">
        <v>198</v>
      </c>
      <c r="E17" s="69">
        <f>IF(B17="","",VLOOKUP(B17,dagsoorttabel1,2,FALSE))</f>
        <v>1.0249999999999999</v>
      </c>
      <c r="F17" s="69">
        <v>1</v>
      </c>
      <c r="G17" s="69">
        <f>IF(prodnorm14&gt;0,1/ROUND(prodnorm14,4),0)</f>
        <v>0</v>
      </c>
      <c r="H17" s="71">
        <f>ROUND(dagwerk14,4+2)</f>
        <v>0</v>
      </c>
      <c r="I17" s="60">
        <f>ROUND(uurtarief14,2)</f>
        <v>0</v>
      </c>
      <c r="J17" s="69">
        <v>95</v>
      </c>
    </row>
    <row r="18" spans="1:10" x14ac:dyDescent="0.25">
      <c r="A18" s="56" t="s">
        <v>222</v>
      </c>
      <c r="B18" s="56" t="s">
        <v>9</v>
      </c>
      <c r="C18" s="56" t="s">
        <v>4</v>
      </c>
      <c r="D18" s="56" t="s">
        <v>198</v>
      </c>
      <c r="E18" s="69">
        <f>IF(B18="","",VLOOKUP(B18,dagsoorttabel1,2,FALSE))</f>
        <v>1.0249999999999999</v>
      </c>
      <c r="F18" s="69">
        <v>1</v>
      </c>
      <c r="G18" s="69">
        <f>IF(prodnorm15&gt;0,1/ROUND(prodnorm15,4),0)</f>
        <v>0</v>
      </c>
      <c r="H18" s="71">
        <f>ROUND(dagwerk15,4+2)</f>
        <v>0</v>
      </c>
      <c r="I18" s="60">
        <f>ROUND(uurtarief15,2)</f>
        <v>0</v>
      </c>
      <c r="J18" s="69">
        <v>122</v>
      </c>
    </row>
    <row r="19" spans="1:10" x14ac:dyDescent="0.25">
      <c r="A19" s="56" t="s">
        <v>224</v>
      </c>
      <c r="B19" s="56" t="s">
        <v>9</v>
      </c>
      <c r="C19" s="56" t="s">
        <v>4</v>
      </c>
      <c r="D19" s="56" t="s">
        <v>198</v>
      </c>
      <c r="E19" s="69">
        <f>IF(B19="","",VLOOKUP(B19,dagsoorttabel1,2,FALSE))</f>
        <v>1.0249999999999999</v>
      </c>
      <c r="F19" s="69">
        <v>1</v>
      </c>
      <c r="G19" s="69">
        <f>IF(prodnorm16&gt;0,1/ROUND(prodnorm16,4),0)</f>
        <v>0</v>
      </c>
      <c r="H19" s="71">
        <f>ROUND(dagwerk16,4+2)</f>
        <v>0</v>
      </c>
      <c r="I19" s="60">
        <f>ROUND(uurtarief16,2)</f>
        <v>0</v>
      </c>
      <c r="J19" s="69">
        <v>188</v>
      </c>
    </row>
    <row r="20" spans="1:10" x14ac:dyDescent="0.25">
      <c r="A20" s="56" t="s">
        <v>226</v>
      </c>
      <c r="B20" s="56" t="s">
        <v>9</v>
      </c>
      <c r="C20" s="56" t="s">
        <v>4</v>
      </c>
      <c r="D20" s="56" t="s">
        <v>198</v>
      </c>
      <c r="E20" s="69">
        <f>IF(B20="","",VLOOKUP(B20,dagsoorttabel1,2,FALSE))</f>
        <v>1.0249999999999999</v>
      </c>
      <c r="F20" s="69">
        <v>1</v>
      </c>
      <c r="G20" s="69">
        <f>IF(prodnorm17&gt;0,1/ROUND(prodnorm17,4),0)</f>
        <v>0</v>
      </c>
      <c r="H20" s="71">
        <f>ROUND(dagwerk17,4+2)</f>
        <v>0</v>
      </c>
      <c r="I20" s="60">
        <f>ROUND(uurtarief17,2)</f>
        <v>0</v>
      </c>
      <c r="J20" s="69">
        <v>21</v>
      </c>
    </row>
    <row r="21" spans="1:10" x14ac:dyDescent="0.25">
      <c r="A21" s="56" t="s">
        <v>228</v>
      </c>
      <c r="B21" s="56" t="s">
        <v>9</v>
      </c>
      <c r="C21" s="56" t="s">
        <v>4</v>
      </c>
      <c r="D21" s="56" t="s">
        <v>198</v>
      </c>
      <c r="E21" s="69">
        <f>IF(B21="","",VLOOKUP(B21,dagsoorttabel1,2,FALSE))</f>
        <v>1.0249999999999999</v>
      </c>
      <c r="F21" s="69">
        <v>1</v>
      </c>
      <c r="G21" s="69">
        <f>IF(prodnorm18&gt;0,1/ROUND(prodnorm18,4),0)</f>
        <v>0</v>
      </c>
      <c r="H21" s="71">
        <f>ROUND(dagwerk18,4+2)</f>
        <v>0</v>
      </c>
      <c r="I21" s="60">
        <f>ROUND(uurtarief18,2)</f>
        <v>0</v>
      </c>
      <c r="J21" s="69">
        <v>1550</v>
      </c>
    </row>
    <row r="22" spans="1:10" x14ac:dyDescent="0.25">
      <c r="A22" s="56" t="s">
        <v>230</v>
      </c>
      <c r="B22" s="56" t="s">
        <v>9</v>
      </c>
      <c r="C22" s="56" t="s">
        <v>4</v>
      </c>
      <c r="D22" s="56" t="s">
        <v>198</v>
      </c>
      <c r="E22" s="69">
        <f>IF(B22="","",VLOOKUP(B22,dagsoorttabel1,2,FALSE))</f>
        <v>1.0249999999999999</v>
      </c>
      <c r="F22" s="69">
        <v>1</v>
      </c>
      <c r="G22" s="69">
        <f>IF(prodnorm19&gt;0,1/ROUND(prodnorm19,4),0)</f>
        <v>0</v>
      </c>
      <c r="H22" s="71">
        <f>ROUND(dagwerk19,4+2)</f>
        <v>0</v>
      </c>
      <c r="I22" s="60">
        <f>ROUND(uurtarief19,2)</f>
        <v>0</v>
      </c>
      <c r="J22" s="69">
        <v>405</v>
      </c>
    </row>
    <row r="23" spans="1:10" x14ac:dyDescent="0.25">
      <c r="A23" s="56" t="s">
        <v>232</v>
      </c>
      <c r="B23" s="56" t="s">
        <v>9</v>
      </c>
      <c r="C23" s="56" t="s">
        <v>4</v>
      </c>
      <c r="D23" s="56" t="s">
        <v>198</v>
      </c>
      <c r="E23" s="69">
        <f>IF(B23="","",VLOOKUP(B23,dagsoorttabel1,2,FALSE))</f>
        <v>1.0249999999999999</v>
      </c>
      <c r="F23" s="69">
        <v>1</v>
      </c>
      <c r="G23" s="69">
        <f>IF(prodnorm20&gt;0,1/ROUND(prodnorm20,4),0)</f>
        <v>0</v>
      </c>
      <c r="H23" s="71">
        <f>ROUND(dagwerk20,4+2)</f>
        <v>0</v>
      </c>
      <c r="I23" s="60">
        <f>ROUND(uurtarief20,2)</f>
        <v>0</v>
      </c>
      <c r="J23" s="69">
        <v>8</v>
      </c>
    </row>
    <row r="24" spans="1:10" x14ac:dyDescent="0.25">
      <c r="A24" s="56" t="s">
        <v>234</v>
      </c>
      <c r="B24" s="56" t="s">
        <v>9</v>
      </c>
      <c r="C24" s="56" t="s">
        <v>4</v>
      </c>
      <c r="D24" s="56" t="s">
        <v>198</v>
      </c>
      <c r="E24" s="69">
        <f>IF(B24="","",VLOOKUP(B24,dagsoorttabel1,2,FALSE))</f>
        <v>1.0249999999999999</v>
      </c>
      <c r="F24" s="69">
        <v>1</v>
      </c>
      <c r="G24" s="69">
        <f>IF(prodnorm21&gt;0,1/ROUND(prodnorm21,4),0)</f>
        <v>0</v>
      </c>
      <c r="H24" s="71">
        <f>ROUND(dagwerk21,4+2)</f>
        <v>0</v>
      </c>
      <c r="I24" s="60">
        <f>ROUND(uurtarief21,2)</f>
        <v>0</v>
      </c>
      <c r="J24" s="69">
        <v>186</v>
      </c>
    </row>
    <row r="25" spans="1:10" x14ac:dyDescent="0.25">
      <c r="A25" s="56" t="s">
        <v>236</v>
      </c>
      <c r="B25" s="56" t="s">
        <v>9</v>
      </c>
      <c r="C25" s="56" t="s">
        <v>4</v>
      </c>
      <c r="D25" s="56" t="s">
        <v>198</v>
      </c>
      <c r="E25" s="69">
        <f>IF(B25="","",VLOOKUP(B25,dagsoorttabel1,2,FALSE))</f>
        <v>1.0249999999999999</v>
      </c>
      <c r="F25" s="69">
        <v>1</v>
      </c>
      <c r="G25" s="69">
        <f>IF(prodnorm22&gt;0,1/ROUND(prodnorm22,4),0)</f>
        <v>0</v>
      </c>
      <c r="H25" s="71">
        <f>ROUND(dagwerk22,4+2)</f>
        <v>0</v>
      </c>
      <c r="I25" s="60">
        <f>ROUND(uurtarief22,2)</f>
        <v>0</v>
      </c>
      <c r="J25" s="69">
        <v>527</v>
      </c>
    </row>
    <row r="26" spans="1:10" x14ac:dyDescent="0.25">
      <c r="A26" s="56" t="s">
        <v>238</v>
      </c>
      <c r="B26" s="56" t="s">
        <v>23</v>
      </c>
      <c r="C26" s="56" t="s">
        <v>4</v>
      </c>
      <c r="D26" s="56" t="s">
        <v>239</v>
      </c>
      <c r="E26" s="69">
        <f>IF(B26="","",VLOOKUP(B26,dagsoorttabel1,2,FALSE))</f>
        <v>0.01</v>
      </c>
      <c r="F26" s="69">
        <v>1</v>
      </c>
      <c r="G26" s="69">
        <f>IF(prodnorm23&gt;0,1/ROUND(prodnorm23,4),0)</f>
        <v>0</v>
      </c>
      <c r="H26" s="71">
        <f>ROUND(dagwerk23,4+2)</f>
        <v>0</v>
      </c>
      <c r="I26" s="60">
        <f>ROUND(uurtarief23,2)</f>
        <v>0</v>
      </c>
      <c r="J26" s="69">
        <v>914</v>
      </c>
    </row>
    <row r="27" spans="1:10" x14ac:dyDescent="0.25">
      <c r="A27" s="61" t="s">
        <v>241</v>
      </c>
      <c r="B27" s="61" t="s">
        <v>14</v>
      </c>
      <c r="C27" s="61" t="s">
        <v>4</v>
      </c>
      <c r="D27" s="61" t="s">
        <v>242</v>
      </c>
      <c r="E27" s="72">
        <f>IF(B27="","",VLOOKUP(B27,dagsoorttabel1,2,FALSE))</f>
        <v>0.5</v>
      </c>
      <c r="F27" s="72">
        <v>1</v>
      </c>
      <c r="G27" s="72">
        <v>1</v>
      </c>
      <c r="H27" s="109">
        <f>ROUND(dagwerk1,4+2)</f>
        <v>0</v>
      </c>
      <c r="I27" s="65">
        <f>ROUND(uurtarief1,2)</f>
        <v>0</v>
      </c>
      <c r="J27" s="72">
        <v>1</v>
      </c>
    </row>
    <row r="28" spans="1:10" x14ac:dyDescent="0.25">
      <c r="A28" s="75" t="s">
        <v>245</v>
      </c>
      <c r="B28" s="76"/>
      <c r="C28" s="76"/>
      <c r="D28" s="76"/>
      <c r="E28" s="76"/>
      <c r="F28" s="76"/>
      <c r="G28" s="76"/>
      <c r="H28" s="76"/>
      <c r="I28" s="76"/>
      <c r="J28" s="110"/>
    </row>
  </sheetData>
  <sheetProtection algorithmName="SHA-512" hashValue="8c06yQlIG4ethAD0/Uq+TyW5BZAjcYk31/v6ZMFYU1OyaTZWkd5bo5SLesR00cNDCalT+TxjSKf1HDM7Jnx3aA==" saltValue="IREnQ1DPvuFTLVlX042HkQ==" spinCount="100000" sheet="1" objects="1" scenarios="1" autoFilter="0"/>
  <pageMargins left="0.7" right="0.7" top="0.75" bottom="0.75" header="0.3" footer="0.3"/>
  <pageSetup scale="70" orientation="landscape" horizontalDpi="300" verticalDpi="300" r:id="rId1"/>
  <headerFooter>
    <oddFooter>&amp;LOns Middelbaar Onderwijs                                    
CONCEPT PER 01-08-2026&amp;ROpmaakdatum: 15-01-2026
Intexso - Plantageweg 23E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47DB6-2582-4D24-8795-2E5E3583C44A}">
  <dimension ref="A1:M12"/>
  <sheetViews>
    <sheetView workbookViewId="0"/>
  </sheetViews>
  <sheetFormatPr defaultRowHeight="11.5" x14ac:dyDescent="0.25"/>
  <cols>
    <col min="1" max="1" width="8.6328125" customWidth="1"/>
    <col min="2" max="2" width="28.6328125" customWidth="1"/>
    <col min="3" max="4" width="15.6328125" customWidth="1"/>
    <col min="5" max="5" width="6.1796875" customWidth="1"/>
    <col min="6" max="6" width="10.6328125" customWidth="1"/>
    <col min="7" max="9" width="12.1796875" customWidth="1"/>
    <col min="10" max="11" width="12.6328125" customWidth="1"/>
    <col min="12" max="12" width="14.6328125" customWidth="1"/>
    <col min="13" max="13" width="13.6328125" customWidth="1"/>
  </cols>
  <sheetData>
    <row r="1" spans="1:13" x14ac:dyDescent="0.25">
      <c r="A1" s="1" t="str">
        <f>CONCATENATE("Bijlage 7.5.4: ",tabeltype," objecten")</f>
        <v>Bijlage 7.5.4: Invultabel objecten</v>
      </c>
    </row>
    <row r="3" spans="1:13" ht="34.5" x14ac:dyDescent="0.25">
      <c r="A3" s="44" t="s">
        <v>248</v>
      </c>
      <c r="B3" s="44" t="s">
        <v>650</v>
      </c>
      <c r="C3" s="44" t="s">
        <v>651</v>
      </c>
      <c r="D3" s="44" t="s">
        <v>652</v>
      </c>
      <c r="E3" s="44" t="s">
        <v>7</v>
      </c>
      <c r="F3" s="44" t="s">
        <v>653</v>
      </c>
      <c r="G3" s="44" t="s">
        <v>654</v>
      </c>
      <c r="H3" s="44" t="s">
        <v>655</v>
      </c>
      <c r="I3" s="44" t="s">
        <v>656</v>
      </c>
      <c r="J3" s="44" t="s">
        <v>657</v>
      </c>
      <c r="K3" s="44" t="s">
        <v>195</v>
      </c>
      <c r="L3" s="44" t="s">
        <v>196</v>
      </c>
      <c r="M3" s="44" t="s">
        <v>658</v>
      </c>
    </row>
    <row r="4" spans="1:13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7"/>
    </row>
    <row r="5" spans="1:13" x14ac:dyDescent="0.25">
      <c r="A5" s="48" t="s">
        <v>104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50"/>
    </row>
    <row r="6" spans="1:13" x14ac:dyDescent="0.25">
      <c r="A6" s="111" t="s">
        <v>259</v>
      </c>
      <c r="B6" s="111" t="s">
        <v>659</v>
      </c>
      <c r="C6" s="111" t="s">
        <v>660</v>
      </c>
      <c r="D6" s="111" t="s">
        <v>661</v>
      </c>
      <c r="E6" s="112" t="s">
        <v>9</v>
      </c>
      <c r="F6" s="113">
        <f>gemuurtarief1</f>
        <v>0</v>
      </c>
      <c r="G6" s="114">
        <f>SUMPRODUCT(taakfreqtabel1,uurfactortabel1,kengetaltabel1,object1_opptabel1)*(1/VLOOKUP(E6,dagsoorttabel1,2,FALSE))</f>
        <v>0.48780487804878053</v>
      </c>
      <c r="H6" s="114">
        <f>SUMPRODUCT(dagwerktabel1,taakfreqtabel1,uurfactortabel1,kengetaltabel1,object1_opptabel1)*(1/VLOOKUP(E6,dagsoorttabel1,2,FALSE))</f>
        <v>0</v>
      </c>
      <c r="I6" s="115">
        <f>SUMPRODUCT(taakfreqtabel1,kengetaltabel1,tarieftabel1,object1_opptabel1)*(1/VLOOKUP(E6,dagsoorttabel1,2,FALSE))</f>
        <v>0</v>
      </c>
      <c r="J6" s="114">
        <f>H6*dagenperjaar1*VLOOKUP(E6,dagsoorttabel1,2,FALSE)</f>
        <v>0</v>
      </c>
      <c r="K6" s="114">
        <f>G6*dagenperjaar1*VLOOKUP(E6,dagsoorttabel1,2,FALSE)</f>
        <v>100.00000000000001</v>
      </c>
      <c r="L6" s="115">
        <f>I6*dagenperjaar1*VLOOKUP(E6,dagsoorttabel1,2,FALSE)</f>
        <v>0</v>
      </c>
      <c r="M6" s="115">
        <f>L6/12</f>
        <v>0</v>
      </c>
    </row>
    <row r="7" spans="1:13" x14ac:dyDescent="0.25">
      <c r="A7" s="75" t="s">
        <v>245</v>
      </c>
      <c r="B7" s="76"/>
      <c r="C7" s="76"/>
      <c r="D7" s="76"/>
      <c r="E7" s="76"/>
      <c r="F7" s="76"/>
      <c r="G7" s="76"/>
      <c r="H7" s="76"/>
      <c r="I7" s="76"/>
      <c r="J7" s="77">
        <f>SUM(J6:J6)</f>
        <v>0</v>
      </c>
      <c r="K7" s="77">
        <f>SUM(K6:K6)</f>
        <v>100.00000000000001</v>
      </c>
      <c r="L7" s="78">
        <f>SUM(L6:L6)</f>
        <v>0</v>
      </c>
      <c r="M7" s="79">
        <f>SUM(M6:M6)</f>
        <v>0</v>
      </c>
    </row>
    <row r="8" spans="1:13" x14ac:dyDescent="0.25">
      <c r="A8" s="80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81"/>
    </row>
    <row r="10" spans="1:13" x14ac:dyDescent="0.25">
      <c r="A10" s="75" t="s">
        <v>662</v>
      </c>
      <c r="B10" s="76"/>
      <c r="C10" s="76"/>
      <c r="D10" s="76"/>
      <c r="E10" s="76"/>
      <c r="F10" s="76"/>
      <c r="G10" s="76"/>
      <c r="H10" s="76"/>
      <c r="I10" s="76"/>
      <c r="J10" s="77">
        <f>urenjaartotaalhf1</f>
        <v>0</v>
      </c>
      <c r="K10" s="77">
        <f>urenjaartotaal1</f>
        <v>100.00000000000001</v>
      </c>
      <c r="L10" s="78">
        <f>prijsjaartotaal1</f>
        <v>0</v>
      </c>
      <c r="M10" s="78">
        <f>prijsmaandtotaal1</f>
        <v>0</v>
      </c>
    </row>
    <row r="12" spans="1:13" x14ac:dyDescent="0.25">
      <c r="A12" s="75" t="s">
        <v>663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8">
        <f>L10*1.21</f>
        <v>0</v>
      </c>
      <c r="M12" s="78">
        <f>M10*1.21</f>
        <v>0</v>
      </c>
    </row>
  </sheetData>
  <sheetProtection algorithmName="SHA-512" hashValue="XLxODfhRelMfeHa6MsEcruUs/CrBhsUKTFj2T8J7RV74PVMvQ7C5SYrJvq2J4VCtO1xFJfDbTDo2/xIxOOTqgg==" saltValue="a8x2Cq1gPLec/H0Ktb2FzQ==" spinCount="100000" sheet="1" objects="1" scenarios="1" autoFilter="0"/>
  <pageMargins left="0.7" right="0.7" top="0.75" bottom="0.75" header="0.3" footer="0.3"/>
  <pageSetup scale="65" orientation="landscape" horizontalDpi="300" verticalDpi="300" r:id="rId1"/>
  <headerFooter>
    <oddFooter>&amp;LOns Middelbaar Onderwijs                                    
CONCEPT PER 01-08-2026&amp;ROpmaakdatum: 15-01-2026
Intexso - Plantageweg 23E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72814-E575-4625-9DE8-9CC2E0AE4E0B}">
  <dimension ref="A1:C18"/>
  <sheetViews>
    <sheetView workbookViewId="0"/>
  </sheetViews>
  <sheetFormatPr defaultRowHeight="11.5" x14ac:dyDescent="0.25"/>
  <cols>
    <col min="1" max="1" width="25.6328125" customWidth="1"/>
    <col min="2" max="3" width="20.6328125" customWidth="1"/>
  </cols>
  <sheetData>
    <row r="1" spans="1:3" x14ac:dyDescent="0.25">
      <c r="A1" s="1" t="str">
        <f>CONCATENATE("Bijlage 7.5.5: ",tabeltype," totaalblad objecten")</f>
        <v>Bijlage 7.5.5: Invultabel totaalblad objecten</v>
      </c>
    </row>
    <row r="3" spans="1:3" x14ac:dyDescent="0.25">
      <c r="A3" s="116" t="s">
        <v>664</v>
      </c>
      <c r="B3" s="120" t="s">
        <v>677</v>
      </c>
      <c r="C3" s="120" t="s">
        <v>259</v>
      </c>
    </row>
    <row r="4" spans="1:3" x14ac:dyDescent="0.25">
      <c r="A4" s="117" t="s">
        <v>665</v>
      </c>
      <c r="B4" s="123"/>
      <c r="C4" s="121" t="s">
        <v>41</v>
      </c>
    </row>
    <row r="5" spans="1:3" ht="23" x14ac:dyDescent="0.25">
      <c r="A5" s="117" t="s">
        <v>666</v>
      </c>
      <c r="B5" s="123"/>
      <c r="C5" s="117" t="s">
        <v>659</v>
      </c>
    </row>
    <row r="6" spans="1:3" x14ac:dyDescent="0.25">
      <c r="A6" s="117" t="s">
        <v>667</v>
      </c>
      <c r="B6" s="123"/>
      <c r="C6" s="121" t="s">
        <v>660</v>
      </c>
    </row>
    <row r="7" spans="1:3" x14ac:dyDescent="0.25">
      <c r="A7" s="117" t="s">
        <v>668</v>
      </c>
      <c r="B7" s="123"/>
      <c r="C7" s="121" t="s">
        <v>661</v>
      </c>
    </row>
    <row r="8" spans="1:3" x14ac:dyDescent="0.25">
      <c r="A8" s="117" t="s">
        <v>669</v>
      </c>
      <c r="B8" s="122">
        <f>SUM(C8:C8)</f>
        <v>9036</v>
      </c>
      <c r="C8" s="122">
        <v>9036</v>
      </c>
    </row>
    <row r="9" spans="1:3" x14ac:dyDescent="0.25">
      <c r="A9" s="117" t="s">
        <v>41</v>
      </c>
      <c r="B9" s="123"/>
      <c r="C9" s="123"/>
    </row>
    <row r="10" spans="1:3" x14ac:dyDescent="0.25">
      <c r="A10" s="117" t="s">
        <v>670</v>
      </c>
      <c r="B10" s="69">
        <f>SUM(C10:C10)</f>
        <v>0</v>
      </c>
      <c r="C10" s="122">
        <f>objecturenhf1_1</f>
        <v>0</v>
      </c>
    </row>
    <row r="11" spans="1:3" x14ac:dyDescent="0.25">
      <c r="A11" s="117" t="s">
        <v>671</v>
      </c>
      <c r="B11" s="69">
        <f>SUM(C11:C11)</f>
        <v>100.00000000000001</v>
      </c>
      <c r="C11" s="69">
        <f>objecturen1_1</f>
        <v>100.00000000000001</v>
      </c>
    </row>
    <row r="12" spans="1:3" ht="23" x14ac:dyDescent="0.25">
      <c r="A12" s="117" t="s">
        <v>672</v>
      </c>
      <c r="B12" s="69">
        <f>IF(AND(urenjaartotaal1&gt;0,dagenperjaar1&gt;0),B8/(urenjaartotaal1/dagenperjaar1),0)</f>
        <v>18071.999999999996</v>
      </c>
      <c r="C12" s="69">
        <f>IF(AND(objecturen1_1&gt;0,dagenperjaar1&gt;0),C8/(objecturen1_1/dagenperjaar1),0)</f>
        <v>18071.999999999996</v>
      </c>
    </row>
    <row r="13" spans="1:3" x14ac:dyDescent="0.25">
      <c r="A13" s="117" t="s">
        <v>673</v>
      </c>
      <c r="B13" s="60">
        <f>SUM(C13:C13)</f>
        <v>0</v>
      </c>
      <c r="C13" s="60">
        <f>objectprijs1_1</f>
        <v>0</v>
      </c>
    </row>
    <row r="14" spans="1:3" x14ac:dyDescent="0.25">
      <c r="A14" s="117" t="s">
        <v>674</v>
      </c>
      <c r="B14" s="60">
        <f>SUM(C14:C14)</f>
        <v>0</v>
      </c>
      <c r="C14" s="60">
        <f>C13/12</f>
        <v>0</v>
      </c>
    </row>
    <row r="15" spans="1:3" x14ac:dyDescent="0.25">
      <c r="A15" s="117" t="s">
        <v>675</v>
      </c>
      <c r="B15" s="60">
        <f>SUM(C15:C15)</f>
        <v>0</v>
      </c>
      <c r="C15" s="60">
        <f>C14*1.21</f>
        <v>0</v>
      </c>
    </row>
    <row r="16" spans="1:3" x14ac:dyDescent="0.25">
      <c r="A16" s="117" t="s">
        <v>41</v>
      </c>
      <c r="B16" s="123"/>
      <c r="C16" s="123"/>
    </row>
    <row r="17" spans="1:3" x14ac:dyDescent="0.25">
      <c r="A17" s="117" t="s">
        <v>41</v>
      </c>
      <c r="B17" s="123"/>
      <c r="C17" s="123"/>
    </row>
    <row r="18" spans="1:3" x14ac:dyDescent="0.25">
      <c r="A18" s="118" t="s">
        <v>676</v>
      </c>
      <c r="B18" s="65">
        <f>IF(B8&gt;0,B13/B8,0)</f>
        <v>0</v>
      </c>
      <c r="C18" s="65">
        <f>IF(C8&gt;0,C13/C8,0)</f>
        <v>0</v>
      </c>
    </row>
  </sheetData>
  <sheetProtection algorithmName="SHA-512" hashValue="uOIrP6ZwDDOrcX2NmErF0i3XuDfjt8ZkCSlXm0RIVwv/++n0IS6u5PTblWkXl0blD7xOKcwb0UJCaEWfRI2YsQ==" saltValue="nU2NkqX51KCzRczgz0SYqQ==" spinCount="100000" sheet="1" objects="1" scenarios="1" autoFilter="0"/>
  <pageMargins left="0.7" right="0.7" top="0.75" bottom="0.75" header="0.3" footer="0.3"/>
  <pageSetup scale="65" orientation="landscape" horizontalDpi="300" verticalDpi="300" r:id="rId1"/>
  <headerFooter>
    <oddFooter>&amp;LOns Middelbaar Onderwijs                                    
CONCEPT PER 01-08-2026&amp;ROpmaakdatum: 15-01-2026
Intexso - Plantageweg 23E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A35A4-DF88-4B0D-B0AE-3CA44BD4DB40}">
  <dimension ref="A1:E78"/>
  <sheetViews>
    <sheetView workbookViewId="0"/>
  </sheetViews>
  <sheetFormatPr defaultRowHeight="11.5" x14ac:dyDescent="0.25"/>
  <cols>
    <col min="1" max="1" width="7.6328125" customWidth="1"/>
    <col min="2" max="2" width="40.6328125" customWidth="1"/>
    <col min="3" max="3" width="18.6328125" customWidth="1"/>
    <col min="4" max="4" width="20.6328125" customWidth="1"/>
    <col min="5" max="5" width="15.6328125" customWidth="1"/>
  </cols>
  <sheetData>
    <row r="1" spans="1:5" x14ac:dyDescent="0.25">
      <c r="A1" s="1" t="str">
        <f>CONCATENATE("Bijlage 7.5.6: ",tabeltype," afroep incidenteel")</f>
        <v>Bijlage 7.5.6: Invultabel afroep incidenteel</v>
      </c>
    </row>
    <row r="3" spans="1:5" ht="34.5" x14ac:dyDescent="0.25">
      <c r="A3" s="44" t="s">
        <v>678</v>
      </c>
      <c r="B3" s="44" t="s">
        <v>99</v>
      </c>
      <c r="C3" s="44" t="s">
        <v>102</v>
      </c>
      <c r="D3" s="44" t="s">
        <v>679</v>
      </c>
      <c r="E3" s="44" t="s">
        <v>680</v>
      </c>
    </row>
    <row r="4" spans="1:5" x14ac:dyDescent="0.25">
      <c r="A4" s="45"/>
      <c r="B4" s="46"/>
      <c r="C4" s="46"/>
      <c r="D4" s="46"/>
      <c r="E4" s="47"/>
    </row>
    <row r="5" spans="1:5" x14ac:dyDescent="0.25">
      <c r="A5" s="48" t="s">
        <v>104</v>
      </c>
      <c r="B5" s="49"/>
      <c r="C5" s="49"/>
      <c r="D5" s="49"/>
      <c r="E5" s="50"/>
    </row>
    <row r="6" spans="1:5" x14ac:dyDescent="0.25">
      <c r="A6" s="51" t="s">
        <v>681</v>
      </c>
      <c r="B6" s="51" t="s">
        <v>682</v>
      </c>
      <c r="C6" s="51" t="s">
        <v>683</v>
      </c>
      <c r="D6" s="51" t="s">
        <v>684</v>
      </c>
      <c r="E6" s="124"/>
    </row>
    <row r="7" spans="1:5" x14ac:dyDescent="0.25">
      <c r="A7" s="56" t="s">
        <v>685</v>
      </c>
      <c r="B7" s="56" t="s">
        <v>682</v>
      </c>
      <c r="C7" s="56" t="s">
        <v>683</v>
      </c>
      <c r="D7" s="56" t="s">
        <v>686</v>
      </c>
      <c r="E7" s="125"/>
    </row>
    <row r="8" spans="1:5" x14ac:dyDescent="0.25">
      <c r="A8" s="56" t="s">
        <v>687</v>
      </c>
      <c r="B8" s="56" t="s">
        <v>682</v>
      </c>
      <c r="C8" s="56" t="s">
        <v>683</v>
      </c>
      <c r="D8" s="56" t="s">
        <v>688</v>
      </c>
      <c r="E8" s="125"/>
    </row>
    <row r="9" spans="1:5" x14ac:dyDescent="0.25">
      <c r="A9" s="56" t="s">
        <v>689</v>
      </c>
      <c r="B9" s="56" t="s">
        <v>682</v>
      </c>
      <c r="C9" s="56" t="s">
        <v>683</v>
      </c>
      <c r="D9" s="56" t="s">
        <v>690</v>
      </c>
      <c r="E9" s="125"/>
    </row>
    <row r="10" spans="1:5" x14ac:dyDescent="0.25">
      <c r="A10" s="56" t="s">
        <v>691</v>
      </c>
      <c r="B10" s="56" t="s">
        <v>692</v>
      </c>
      <c r="C10" s="56" t="s">
        <v>683</v>
      </c>
      <c r="D10" s="56" t="s">
        <v>684</v>
      </c>
      <c r="E10" s="125"/>
    </row>
    <row r="11" spans="1:5" x14ac:dyDescent="0.25">
      <c r="A11" s="56" t="s">
        <v>693</v>
      </c>
      <c r="B11" s="56" t="s">
        <v>692</v>
      </c>
      <c r="C11" s="56" t="s">
        <v>683</v>
      </c>
      <c r="D11" s="56" t="s">
        <v>686</v>
      </c>
      <c r="E11" s="125"/>
    </row>
    <row r="12" spans="1:5" x14ac:dyDescent="0.25">
      <c r="A12" s="56" t="s">
        <v>694</v>
      </c>
      <c r="B12" s="56" t="s">
        <v>692</v>
      </c>
      <c r="C12" s="56" t="s">
        <v>683</v>
      </c>
      <c r="D12" s="56" t="s">
        <v>688</v>
      </c>
      <c r="E12" s="125"/>
    </row>
    <row r="13" spans="1:5" x14ac:dyDescent="0.25">
      <c r="A13" s="56" t="s">
        <v>695</v>
      </c>
      <c r="B13" s="56" t="s">
        <v>692</v>
      </c>
      <c r="C13" s="56" t="s">
        <v>683</v>
      </c>
      <c r="D13" s="56" t="s">
        <v>690</v>
      </c>
      <c r="E13" s="125"/>
    </row>
    <row r="14" spans="1:5" x14ac:dyDescent="0.25">
      <c r="A14" s="56" t="s">
        <v>696</v>
      </c>
      <c r="B14" s="56" t="s">
        <v>697</v>
      </c>
      <c r="C14" s="56" t="s">
        <v>683</v>
      </c>
      <c r="D14" s="56" t="s">
        <v>684</v>
      </c>
      <c r="E14" s="125"/>
    </row>
    <row r="15" spans="1:5" x14ac:dyDescent="0.25">
      <c r="A15" s="56" t="s">
        <v>698</v>
      </c>
      <c r="B15" s="56" t="s">
        <v>697</v>
      </c>
      <c r="C15" s="56" t="s">
        <v>683</v>
      </c>
      <c r="D15" s="56" t="s">
        <v>686</v>
      </c>
      <c r="E15" s="125"/>
    </row>
    <row r="16" spans="1:5" x14ac:dyDescent="0.25">
      <c r="A16" s="56" t="s">
        <v>699</v>
      </c>
      <c r="B16" s="56" t="s">
        <v>697</v>
      </c>
      <c r="C16" s="56" t="s">
        <v>683</v>
      </c>
      <c r="D16" s="56" t="s">
        <v>688</v>
      </c>
      <c r="E16" s="125"/>
    </row>
    <row r="17" spans="1:5" x14ac:dyDescent="0.25">
      <c r="A17" s="56" t="s">
        <v>700</v>
      </c>
      <c r="B17" s="56" t="s">
        <v>697</v>
      </c>
      <c r="C17" s="56" t="s">
        <v>683</v>
      </c>
      <c r="D17" s="56" t="s">
        <v>690</v>
      </c>
      <c r="E17" s="125"/>
    </row>
    <row r="18" spans="1:5" x14ac:dyDescent="0.25">
      <c r="A18" s="56" t="s">
        <v>701</v>
      </c>
      <c r="B18" s="56" t="s">
        <v>702</v>
      </c>
      <c r="C18" s="56" t="s">
        <v>703</v>
      </c>
      <c r="D18" s="56" t="s">
        <v>704</v>
      </c>
      <c r="E18" s="125"/>
    </row>
    <row r="19" spans="1:5" x14ac:dyDescent="0.25">
      <c r="A19" s="56" t="s">
        <v>705</v>
      </c>
      <c r="B19" s="56" t="s">
        <v>702</v>
      </c>
      <c r="C19" s="56" t="s">
        <v>703</v>
      </c>
      <c r="D19" s="56" t="s">
        <v>706</v>
      </c>
      <c r="E19" s="125"/>
    </row>
    <row r="20" spans="1:5" x14ac:dyDescent="0.25">
      <c r="A20" s="56" t="s">
        <v>707</v>
      </c>
      <c r="B20" s="56" t="s">
        <v>702</v>
      </c>
      <c r="C20" s="56" t="s">
        <v>703</v>
      </c>
      <c r="D20" s="56" t="s">
        <v>708</v>
      </c>
      <c r="E20" s="125"/>
    </row>
    <row r="21" spans="1:5" x14ac:dyDescent="0.25">
      <c r="A21" s="56" t="s">
        <v>709</v>
      </c>
      <c r="B21" s="56" t="s">
        <v>702</v>
      </c>
      <c r="C21" s="56" t="s">
        <v>703</v>
      </c>
      <c r="D21" s="56" t="s">
        <v>710</v>
      </c>
      <c r="E21" s="125"/>
    </row>
    <row r="22" spans="1:5" x14ac:dyDescent="0.25">
      <c r="A22" s="56" t="s">
        <v>711</v>
      </c>
      <c r="B22" s="56" t="s">
        <v>712</v>
      </c>
      <c r="C22" s="56" t="s">
        <v>703</v>
      </c>
      <c r="D22" s="56" t="s">
        <v>704</v>
      </c>
      <c r="E22" s="125"/>
    </row>
    <row r="23" spans="1:5" x14ac:dyDescent="0.25">
      <c r="A23" s="56" t="s">
        <v>713</v>
      </c>
      <c r="B23" s="56" t="s">
        <v>712</v>
      </c>
      <c r="C23" s="56" t="s">
        <v>703</v>
      </c>
      <c r="D23" s="56" t="s">
        <v>706</v>
      </c>
      <c r="E23" s="125"/>
    </row>
    <row r="24" spans="1:5" x14ac:dyDescent="0.25">
      <c r="A24" s="56" t="s">
        <v>714</v>
      </c>
      <c r="B24" s="56" t="s">
        <v>712</v>
      </c>
      <c r="C24" s="56" t="s">
        <v>703</v>
      </c>
      <c r="D24" s="56" t="s">
        <v>708</v>
      </c>
      <c r="E24" s="125"/>
    </row>
    <row r="25" spans="1:5" x14ac:dyDescent="0.25">
      <c r="A25" s="56" t="s">
        <v>715</v>
      </c>
      <c r="B25" s="56" t="s">
        <v>712</v>
      </c>
      <c r="C25" s="56" t="s">
        <v>703</v>
      </c>
      <c r="D25" s="56" t="s">
        <v>710</v>
      </c>
      <c r="E25" s="125"/>
    </row>
    <row r="26" spans="1:5" x14ac:dyDescent="0.25">
      <c r="A26" s="56" t="s">
        <v>716</v>
      </c>
      <c r="B26" s="56" t="s">
        <v>717</v>
      </c>
      <c r="C26" s="56" t="s">
        <v>703</v>
      </c>
      <c r="D26" s="56" t="s">
        <v>704</v>
      </c>
      <c r="E26" s="125"/>
    </row>
    <row r="27" spans="1:5" x14ac:dyDescent="0.25">
      <c r="A27" s="56" t="s">
        <v>718</v>
      </c>
      <c r="B27" s="56" t="s">
        <v>717</v>
      </c>
      <c r="C27" s="56" t="s">
        <v>703</v>
      </c>
      <c r="D27" s="56" t="s">
        <v>706</v>
      </c>
      <c r="E27" s="125"/>
    </row>
    <row r="28" spans="1:5" x14ac:dyDescent="0.25">
      <c r="A28" s="56" t="s">
        <v>719</v>
      </c>
      <c r="B28" s="56" t="s">
        <v>717</v>
      </c>
      <c r="C28" s="56" t="s">
        <v>703</v>
      </c>
      <c r="D28" s="56" t="s">
        <v>708</v>
      </c>
      <c r="E28" s="125"/>
    </row>
    <row r="29" spans="1:5" x14ac:dyDescent="0.25">
      <c r="A29" s="56" t="s">
        <v>720</v>
      </c>
      <c r="B29" s="56" t="s">
        <v>717</v>
      </c>
      <c r="C29" s="56" t="s">
        <v>703</v>
      </c>
      <c r="D29" s="56" t="s">
        <v>710</v>
      </c>
      <c r="E29" s="125"/>
    </row>
    <row r="30" spans="1:5" x14ac:dyDescent="0.25">
      <c r="A30" s="56" t="s">
        <v>721</v>
      </c>
      <c r="B30" s="56" t="s">
        <v>722</v>
      </c>
      <c r="C30" s="56" t="s">
        <v>703</v>
      </c>
      <c r="D30" s="56" t="s">
        <v>41</v>
      </c>
      <c r="E30" s="125"/>
    </row>
    <row r="31" spans="1:5" x14ac:dyDescent="0.25">
      <c r="A31" s="56" t="s">
        <v>723</v>
      </c>
      <c r="B31" s="56" t="s">
        <v>724</v>
      </c>
      <c r="C31" s="56" t="s">
        <v>725</v>
      </c>
      <c r="D31" s="56" t="s">
        <v>41</v>
      </c>
      <c r="E31" s="125"/>
    </row>
    <row r="32" spans="1:5" x14ac:dyDescent="0.25">
      <c r="A32" s="56" t="s">
        <v>726</v>
      </c>
      <c r="B32" s="56" t="s">
        <v>727</v>
      </c>
      <c r="C32" s="56" t="s">
        <v>703</v>
      </c>
      <c r="D32" s="56" t="s">
        <v>728</v>
      </c>
      <c r="E32" s="125"/>
    </row>
    <row r="33" spans="1:5" x14ac:dyDescent="0.25">
      <c r="A33" s="56" t="s">
        <v>729</v>
      </c>
      <c r="B33" s="56" t="s">
        <v>727</v>
      </c>
      <c r="C33" s="56" t="s">
        <v>703</v>
      </c>
      <c r="D33" s="56" t="s">
        <v>730</v>
      </c>
      <c r="E33" s="125"/>
    </row>
    <row r="34" spans="1:5" x14ac:dyDescent="0.25">
      <c r="A34" s="56" t="s">
        <v>731</v>
      </c>
      <c r="B34" s="56" t="s">
        <v>727</v>
      </c>
      <c r="C34" s="56" t="s">
        <v>703</v>
      </c>
      <c r="D34" s="56" t="s">
        <v>732</v>
      </c>
      <c r="E34" s="125"/>
    </row>
    <row r="35" spans="1:5" x14ac:dyDescent="0.25">
      <c r="A35" s="56" t="s">
        <v>733</v>
      </c>
      <c r="B35" s="56" t="s">
        <v>727</v>
      </c>
      <c r="C35" s="56" t="s">
        <v>703</v>
      </c>
      <c r="D35" s="56" t="s">
        <v>734</v>
      </c>
      <c r="E35" s="125"/>
    </row>
    <row r="36" spans="1:5" x14ac:dyDescent="0.25">
      <c r="A36" s="56" t="s">
        <v>735</v>
      </c>
      <c r="B36" s="56" t="s">
        <v>736</v>
      </c>
      <c r="C36" s="56" t="s">
        <v>703</v>
      </c>
      <c r="D36" s="56" t="s">
        <v>728</v>
      </c>
      <c r="E36" s="125"/>
    </row>
    <row r="37" spans="1:5" x14ac:dyDescent="0.25">
      <c r="A37" s="56" t="s">
        <v>737</v>
      </c>
      <c r="B37" s="56" t="s">
        <v>736</v>
      </c>
      <c r="C37" s="56" t="s">
        <v>703</v>
      </c>
      <c r="D37" s="56" t="s">
        <v>730</v>
      </c>
      <c r="E37" s="125"/>
    </row>
    <row r="38" spans="1:5" x14ac:dyDescent="0.25">
      <c r="A38" s="56" t="s">
        <v>738</v>
      </c>
      <c r="B38" s="56" t="s">
        <v>736</v>
      </c>
      <c r="C38" s="56" t="s">
        <v>703</v>
      </c>
      <c r="D38" s="56" t="s">
        <v>732</v>
      </c>
      <c r="E38" s="125"/>
    </row>
    <row r="39" spans="1:5" x14ac:dyDescent="0.25">
      <c r="A39" s="56" t="s">
        <v>739</v>
      </c>
      <c r="B39" s="56" t="s">
        <v>736</v>
      </c>
      <c r="C39" s="56" t="s">
        <v>703</v>
      </c>
      <c r="D39" s="56" t="s">
        <v>734</v>
      </c>
      <c r="E39" s="125"/>
    </row>
    <row r="40" spans="1:5" x14ac:dyDescent="0.25">
      <c r="A40" s="56" t="s">
        <v>740</v>
      </c>
      <c r="B40" s="56" t="s">
        <v>741</v>
      </c>
      <c r="C40" s="56" t="s">
        <v>703</v>
      </c>
      <c r="D40" s="56" t="s">
        <v>728</v>
      </c>
      <c r="E40" s="125"/>
    </row>
    <row r="41" spans="1:5" x14ac:dyDescent="0.25">
      <c r="A41" s="56" t="s">
        <v>742</v>
      </c>
      <c r="B41" s="56" t="s">
        <v>741</v>
      </c>
      <c r="C41" s="56" t="s">
        <v>703</v>
      </c>
      <c r="D41" s="56" t="s">
        <v>730</v>
      </c>
      <c r="E41" s="125"/>
    </row>
    <row r="42" spans="1:5" x14ac:dyDescent="0.25">
      <c r="A42" s="56" t="s">
        <v>743</v>
      </c>
      <c r="B42" s="56" t="s">
        <v>741</v>
      </c>
      <c r="C42" s="56" t="s">
        <v>703</v>
      </c>
      <c r="D42" s="56" t="s">
        <v>732</v>
      </c>
      <c r="E42" s="125"/>
    </row>
    <row r="43" spans="1:5" x14ac:dyDescent="0.25">
      <c r="A43" s="56" t="s">
        <v>744</v>
      </c>
      <c r="B43" s="56" t="s">
        <v>741</v>
      </c>
      <c r="C43" s="56" t="s">
        <v>703</v>
      </c>
      <c r="D43" s="56" t="s">
        <v>734</v>
      </c>
      <c r="E43" s="125"/>
    </row>
    <row r="44" spans="1:5" x14ac:dyDescent="0.25">
      <c r="A44" s="56" t="s">
        <v>745</v>
      </c>
      <c r="B44" s="56" t="s">
        <v>746</v>
      </c>
      <c r="C44" s="56" t="s">
        <v>703</v>
      </c>
      <c r="D44" s="56" t="s">
        <v>728</v>
      </c>
      <c r="E44" s="125"/>
    </row>
    <row r="45" spans="1:5" x14ac:dyDescent="0.25">
      <c r="A45" s="56" t="s">
        <v>747</v>
      </c>
      <c r="B45" s="56" t="s">
        <v>746</v>
      </c>
      <c r="C45" s="56" t="s">
        <v>703</v>
      </c>
      <c r="D45" s="56" t="s">
        <v>730</v>
      </c>
      <c r="E45" s="125"/>
    </row>
    <row r="46" spans="1:5" x14ac:dyDescent="0.25">
      <c r="A46" s="56" t="s">
        <v>748</v>
      </c>
      <c r="B46" s="56" t="s">
        <v>746</v>
      </c>
      <c r="C46" s="56" t="s">
        <v>703</v>
      </c>
      <c r="D46" s="56" t="s">
        <v>732</v>
      </c>
      <c r="E46" s="125"/>
    </row>
    <row r="47" spans="1:5" x14ac:dyDescent="0.25">
      <c r="A47" s="56" t="s">
        <v>749</v>
      </c>
      <c r="B47" s="56" t="s">
        <v>746</v>
      </c>
      <c r="C47" s="56" t="s">
        <v>703</v>
      </c>
      <c r="D47" s="56" t="s">
        <v>734</v>
      </c>
      <c r="E47" s="125"/>
    </row>
    <row r="48" spans="1:5" x14ac:dyDescent="0.25">
      <c r="A48" s="56" t="s">
        <v>750</v>
      </c>
      <c r="B48" s="56" t="s">
        <v>751</v>
      </c>
      <c r="C48" s="56" t="s">
        <v>703</v>
      </c>
      <c r="D48" s="56" t="s">
        <v>728</v>
      </c>
      <c r="E48" s="125"/>
    </row>
    <row r="49" spans="1:5" x14ac:dyDescent="0.25">
      <c r="A49" s="56" t="s">
        <v>752</v>
      </c>
      <c r="B49" s="56" t="s">
        <v>751</v>
      </c>
      <c r="C49" s="56" t="s">
        <v>703</v>
      </c>
      <c r="D49" s="56" t="s">
        <v>730</v>
      </c>
      <c r="E49" s="125"/>
    </row>
    <row r="50" spans="1:5" x14ac:dyDescent="0.25">
      <c r="A50" s="56" t="s">
        <v>753</v>
      </c>
      <c r="B50" s="56" t="s">
        <v>751</v>
      </c>
      <c r="C50" s="56" t="s">
        <v>703</v>
      </c>
      <c r="D50" s="56" t="s">
        <v>732</v>
      </c>
      <c r="E50" s="125"/>
    </row>
    <row r="51" spans="1:5" x14ac:dyDescent="0.25">
      <c r="A51" s="56" t="s">
        <v>754</v>
      </c>
      <c r="B51" s="56" t="s">
        <v>751</v>
      </c>
      <c r="C51" s="56" t="s">
        <v>703</v>
      </c>
      <c r="D51" s="56" t="s">
        <v>734</v>
      </c>
      <c r="E51" s="125"/>
    </row>
    <row r="52" spans="1:5" x14ac:dyDescent="0.25">
      <c r="A52" s="56" t="s">
        <v>755</v>
      </c>
      <c r="B52" s="56" t="s">
        <v>756</v>
      </c>
      <c r="C52" s="56" t="s">
        <v>703</v>
      </c>
      <c r="D52" s="56" t="s">
        <v>728</v>
      </c>
      <c r="E52" s="125"/>
    </row>
    <row r="53" spans="1:5" x14ac:dyDescent="0.25">
      <c r="A53" s="56" t="s">
        <v>757</v>
      </c>
      <c r="B53" s="56" t="s">
        <v>756</v>
      </c>
      <c r="C53" s="56" t="s">
        <v>703</v>
      </c>
      <c r="D53" s="56" t="s">
        <v>730</v>
      </c>
      <c r="E53" s="125"/>
    </row>
    <row r="54" spans="1:5" x14ac:dyDescent="0.25">
      <c r="A54" s="56" t="s">
        <v>758</v>
      </c>
      <c r="B54" s="56" t="s">
        <v>756</v>
      </c>
      <c r="C54" s="56" t="s">
        <v>703</v>
      </c>
      <c r="D54" s="56" t="s">
        <v>732</v>
      </c>
      <c r="E54" s="125"/>
    </row>
    <row r="55" spans="1:5" x14ac:dyDescent="0.25">
      <c r="A55" s="56" t="s">
        <v>759</v>
      </c>
      <c r="B55" s="56" t="s">
        <v>756</v>
      </c>
      <c r="C55" s="56" t="s">
        <v>703</v>
      </c>
      <c r="D55" s="56" t="s">
        <v>734</v>
      </c>
      <c r="E55" s="125"/>
    </row>
    <row r="56" spans="1:5" x14ac:dyDescent="0.25">
      <c r="A56" s="56" t="s">
        <v>760</v>
      </c>
      <c r="B56" s="56" t="s">
        <v>761</v>
      </c>
      <c r="C56" s="56" t="s">
        <v>703</v>
      </c>
      <c r="D56" s="56" t="s">
        <v>728</v>
      </c>
      <c r="E56" s="125"/>
    </row>
    <row r="57" spans="1:5" x14ac:dyDescent="0.25">
      <c r="A57" s="56" t="s">
        <v>762</v>
      </c>
      <c r="B57" s="56" t="s">
        <v>761</v>
      </c>
      <c r="C57" s="56" t="s">
        <v>703</v>
      </c>
      <c r="D57" s="56" t="s">
        <v>730</v>
      </c>
      <c r="E57" s="125"/>
    </row>
    <row r="58" spans="1:5" x14ac:dyDescent="0.25">
      <c r="A58" s="56" t="s">
        <v>763</v>
      </c>
      <c r="B58" s="56" t="s">
        <v>761</v>
      </c>
      <c r="C58" s="56" t="s">
        <v>703</v>
      </c>
      <c r="D58" s="56" t="s">
        <v>732</v>
      </c>
      <c r="E58" s="125"/>
    </row>
    <row r="59" spans="1:5" x14ac:dyDescent="0.25">
      <c r="A59" s="56" t="s">
        <v>764</v>
      </c>
      <c r="B59" s="56" t="s">
        <v>761</v>
      </c>
      <c r="C59" s="56" t="s">
        <v>703</v>
      </c>
      <c r="D59" s="56" t="s">
        <v>734</v>
      </c>
      <c r="E59" s="125"/>
    </row>
    <row r="60" spans="1:5" x14ac:dyDescent="0.25">
      <c r="A60" s="56" t="s">
        <v>765</v>
      </c>
      <c r="B60" s="56" t="s">
        <v>766</v>
      </c>
      <c r="C60" s="56" t="s">
        <v>703</v>
      </c>
      <c r="D60" s="56" t="s">
        <v>728</v>
      </c>
      <c r="E60" s="125"/>
    </row>
    <row r="61" spans="1:5" x14ac:dyDescent="0.25">
      <c r="A61" s="56" t="s">
        <v>767</v>
      </c>
      <c r="B61" s="56" t="s">
        <v>766</v>
      </c>
      <c r="C61" s="56" t="s">
        <v>703</v>
      </c>
      <c r="D61" s="56" t="s">
        <v>730</v>
      </c>
      <c r="E61" s="125"/>
    </row>
    <row r="62" spans="1:5" x14ac:dyDescent="0.25">
      <c r="A62" s="56" t="s">
        <v>768</v>
      </c>
      <c r="B62" s="56" t="s">
        <v>766</v>
      </c>
      <c r="C62" s="56" t="s">
        <v>703</v>
      </c>
      <c r="D62" s="56" t="s">
        <v>732</v>
      </c>
      <c r="E62" s="125"/>
    </row>
    <row r="63" spans="1:5" x14ac:dyDescent="0.25">
      <c r="A63" s="56" t="s">
        <v>769</v>
      </c>
      <c r="B63" s="56" t="s">
        <v>766</v>
      </c>
      <c r="C63" s="56" t="s">
        <v>703</v>
      </c>
      <c r="D63" s="56" t="s">
        <v>734</v>
      </c>
      <c r="E63" s="125"/>
    </row>
    <row r="64" spans="1:5" x14ac:dyDescent="0.25">
      <c r="A64" s="56" t="s">
        <v>770</v>
      </c>
      <c r="B64" s="56" t="s">
        <v>771</v>
      </c>
      <c r="C64" s="56" t="s">
        <v>703</v>
      </c>
      <c r="D64" s="56" t="s">
        <v>728</v>
      </c>
      <c r="E64" s="125"/>
    </row>
    <row r="65" spans="1:5" x14ac:dyDescent="0.25">
      <c r="A65" s="56" t="s">
        <v>772</v>
      </c>
      <c r="B65" s="56" t="s">
        <v>771</v>
      </c>
      <c r="C65" s="56" t="s">
        <v>703</v>
      </c>
      <c r="D65" s="56" t="s">
        <v>730</v>
      </c>
      <c r="E65" s="125"/>
    </row>
    <row r="66" spans="1:5" x14ac:dyDescent="0.25">
      <c r="A66" s="56" t="s">
        <v>773</v>
      </c>
      <c r="B66" s="56" t="s">
        <v>771</v>
      </c>
      <c r="C66" s="56" t="s">
        <v>703</v>
      </c>
      <c r="D66" s="56" t="s">
        <v>732</v>
      </c>
      <c r="E66" s="125"/>
    </row>
    <row r="67" spans="1:5" x14ac:dyDescent="0.25">
      <c r="A67" s="56" t="s">
        <v>774</v>
      </c>
      <c r="B67" s="56" t="s">
        <v>771</v>
      </c>
      <c r="C67" s="56" t="s">
        <v>703</v>
      </c>
      <c r="D67" s="56" t="s">
        <v>734</v>
      </c>
      <c r="E67" s="125"/>
    </row>
    <row r="68" spans="1:5" x14ac:dyDescent="0.25">
      <c r="A68" s="56" t="s">
        <v>775</v>
      </c>
      <c r="B68" s="56" t="s">
        <v>776</v>
      </c>
      <c r="C68" s="56" t="s">
        <v>703</v>
      </c>
      <c r="D68" s="56" t="s">
        <v>728</v>
      </c>
      <c r="E68" s="125"/>
    </row>
    <row r="69" spans="1:5" x14ac:dyDescent="0.25">
      <c r="A69" s="56" t="s">
        <v>777</v>
      </c>
      <c r="B69" s="56" t="s">
        <v>776</v>
      </c>
      <c r="C69" s="56" t="s">
        <v>703</v>
      </c>
      <c r="D69" s="56" t="s">
        <v>730</v>
      </c>
      <c r="E69" s="125"/>
    </row>
    <row r="70" spans="1:5" x14ac:dyDescent="0.25">
      <c r="A70" s="56" t="s">
        <v>778</v>
      </c>
      <c r="B70" s="56" t="s">
        <v>776</v>
      </c>
      <c r="C70" s="56" t="s">
        <v>703</v>
      </c>
      <c r="D70" s="56" t="s">
        <v>732</v>
      </c>
      <c r="E70" s="125"/>
    </row>
    <row r="71" spans="1:5" x14ac:dyDescent="0.25">
      <c r="A71" s="56" t="s">
        <v>779</v>
      </c>
      <c r="B71" s="56" t="s">
        <v>776</v>
      </c>
      <c r="C71" s="56" t="s">
        <v>703</v>
      </c>
      <c r="D71" s="56" t="s">
        <v>734</v>
      </c>
      <c r="E71" s="125"/>
    </row>
    <row r="72" spans="1:5" x14ac:dyDescent="0.25">
      <c r="A72" s="56" t="s">
        <v>780</v>
      </c>
      <c r="B72" s="56" t="s">
        <v>781</v>
      </c>
      <c r="C72" s="56" t="s">
        <v>703</v>
      </c>
      <c r="D72" s="56" t="s">
        <v>728</v>
      </c>
      <c r="E72" s="125"/>
    </row>
    <row r="73" spans="1:5" x14ac:dyDescent="0.25">
      <c r="A73" s="56" t="s">
        <v>782</v>
      </c>
      <c r="B73" s="56" t="s">
        <v>781</v>
      </c>
      <c r="C73" s="56" t="s">
        <v>703</v>
      </c>
      <c r="D73" s="56" t="s">
        <v>730</v>
      </c>
      <c r="E73" s="125"/>
    </row>
    <row r="74" spans="1:5" x14ac:dyDescent="0.25">
      <c r="A74" s="56" t="s">
        <v>783</v>
      </c>
      <c r="B74" s="56" t="s">
        <v>781</v>
      </c>
      <c r="C74" s="56" t="s">
        <v>703</v>
      </c>
      <c r="D74" s="56" t="s">
        <v>732</v>
      </c>
      <c r="E74" s="125"/>
    </row>
    <row r="75" spans="1:5" x14ac:dyDescent="0.25">
      <c r="A75" s="61" t="s">
        <v>784</v>
      </c>
      <c r="B75" s="61" t="s">
        <v>781</v>
      </c>
      <c r="C75" s="61" t="s">
        <v>703</v>
      </c>
      <c r="D75" s="61" t="s">
        <v>734</v>
      </c>
      <c r="E75" s="126"/>
    </row>
    <row r="76" spans="1:5" x14ac:dyDescent="0.25">
      <c r="A76" s="75" t="s">
        <v>245</v>
      </c>
      <c r="B76" s="76"/>
      <c r="C76" s="76"/>
      <c r="D76" s="76"/>
      <c r="E76" s="119"/>
    </row>
    <row r="78" spans="1:5" x14ac:dyDescent="0.25">
      <c r="A78" s="75" t="s">
        <v>785</v>
      </c>
      <c r="B78" s="76"/>
      <c r="C78" s="76"/>
      <c r="D78" s="76"/>
      <c r="E78" s="119"/>
    </row>
  </sheetData>
  <sheetProtection algorithmName="SHA-512" hashValue="orQI4MOjrK4fLJqYIp8KaIshS8yHgr23xQ5EE3Ryc4gO04+ys13l1HIZJdAg7QB61sZDJlZ8jP7KA7aK/S3GUw==" saltValue="FGfy/HSENNFe1c/n+PiiSg==" spinCount="100000" sheet="1" objects="1" scenarios="1" autoFilter="0"/>
  <pageMargins left="0.7" right="0.7" top="0.75" bottom="0.75" header="0.3" footer="0.3"/>
  <pageSetup scale="65" orientation="landscape" horizontalDpi="300" verticalDpi="300" r:id="rId1"/>
  <headerFooter>
    <oddFooter>&amp;LOns Middelbaar Onderwijs                                    
CONCEPT PER 01-08-2026&amp;ROpmaakdatum: 15-01-2026
Intexso - Plantageweg 23E - Leusden
+31 (33) 2778485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343A6084500B40B98D8BA23D3B1C9F" ma:contentTypeVersion="3" ma:contentTypeDescription="Een nieuw document maken." ma:contentTypeScope="" ma:versionID="dc0f8e44d21d8f7a317b3e337c698c9e">
  <xsd:schema xmlns:xsd="http://www.w3.org/2001/XMLSchema" xmlns:xs="http://www.w3.org/2001/XMLSchema" xmlns:p="http://schemas.microsoft.com/office/2006/metadata/properties" xmlns:ns2="533ff8bd-6564-4fcd-a2dd-30f900a3ecb7" targetNamespace="http://schemas.microsoft.com/office/2006/metadata/properties" ma:root="true" ma:fieldsID="f216c544ac8d843de6d0dd105242d9d6" ns2:_="">
    <xsd:import namespace="533ff8bd-6564-4fcd-a2dd-30f900a3ec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3ff8bd-6564-4fcd-a2dd-30f900a3ec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E5EC51-5269-4CD4-A81D-A19D2C094DEF}"/>
</file>

<file path=customXml/itemProps2.xml><?xml version="1.0" encoding="utf-8"?>
<ds:datastoreItem xmlns:ds="http://schemas.openxmlformats.org/officeDocument/2006/customXml" ds:itemID="{1F702501-C435-41BA-B35C-33D521ADB026}"/>
</file>

<file path=customXml/itemProps3.xml><?xml version="1.0" encoding="utf-8"?>
<ds:datastoreItem xmlns:ds="http://schemas.openxmlformats.org/officeDocument/2006/customXml" ds:itemID="{0813BF21-229F-41C6-A226-6E52B0BF66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429</vt:i4>
      </vt:variant>
    </vt:vector>
  </HeadingPairs>
  <TitlesOfParts>
    <vt:vector size="440" baseType="lpstr">
      <vt:lpstr>Omreken</vt:lpstr>
      <vt:lpstr>Tariefopbouw</vt:lpstr>
      <vt:lpstr>Categorienormen</vt:lpstr>
      <vt:lpstr>Regulier werk</vt:lpstr>
      <vt:lpstr>Ruimten werkdag</vt:lpstr>
      <vt:lpstr>Objectinformatie</vt:lpstr>
      <vt:lpstr>Objecten</vt:lpstr>
      <vt:lpstr>Totaalblad Objecten</vt:lpstr>
      <vt:lpstr>Afroep incidenteel</vt:lpstr>
      <vt:lpstr>Regiewerk</vt:lpstr>
      <vt:lpstr>Totaal</vt:lpstr>
      <vt:lpstr>'Afroep incidenteel'!Afdruktitels</vt:lpstr>
      <vt:lpstr>Categorienormen!Afdruktitels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Tariefopbouw!Afdruktitels</vt:lpstr>
      <vt:lpstr>Totaal!Afdruktitels</vt:lpstr>
      <vt:lpstr>'Totaalblad Objecten'!Afdruktitels</vt:lpstr>
      <vt:lpstr>catdw_1_BKHB_1</vt:lpstr>
      <vt:lpstr>catdw_1_BKHV_41</vt:lpstr>
      <vt:lpstr>catdw_1_BVHB_1</vt:lpstr>
      <vt:lpstr>catdw_1_BVHV_41</vt:lpstr>
      <vt:lpstr>catdw_1_GSHB_1</vt:lpstr>
      <vt:lpstr>catdw_1_GSHV_41</vt:lpstr>
      <vt:lpstr>catdw_1_KAHB_1</vt:lpstr>
      <vt:lpstr>catdw_1_KAHV_41</vt:lpstr>
      <vt:lpstr>catdw_1_KDHB_1</vt:lpstr>
      <vt:lpstr>catdw_1_KDHV_41</vt:lpstr>
      <vt:lpstr>catdw_1_LLHB_1</vt:lpstr>
      <vt:lpstr>catdw_1_LLHV_41</vt:lpstr>
      <vt:lpstr>catdw_1_LOHB_1</vt:lpstr>
      <vt:lpstr>catdw_1_LOHV_41</vt:lpstr>
      <vt:lpstr>catdw_1_MAHB_1</vt:lpstr>
      <vt:lpstr>catdw_1_MAHV_41</vt:lpstr>
      <vt:lpstr>catdw_1_PAHB_1</vt:lpstr>
      <vt:lpstr>catdw_1_PAHV_41</vt:lpstr>
      <vt:lpstr>catdw_1_PLHB_1</vt:lpstr>
      <vt:lpstr>catdw_1_PLHV_41</vt:lpstr>
      <vt:lpstr>catdw_1_PSHB_1</vt:lpstr>
      <vt:lpstr>catdw_1_PSHV_41</vt:lpstr>
      <vt:lpstr>catdw_1_SDHB_1</vt:lpstr>
      <vt:lpstr>catdw_1_SDHV_41</vt:lpstr>
      <vt:lpstr>catdw_1_SKHB_1</vt:lpstr>
      <vt:lpstr>catdw_1_SKHV_41</vt:lpstr>
      <vt:lpstr>catdw_1_STHB_1</vt:lpstr>
      <vt:lpstr>catdw_1_STHV_41</vt:lpstr>
      <vt:lpstr>catdw_1_VAHB_1</vt:lpstr>
      <vt:lpstr>catdw_1_VAHV_41</vt:lpstr>
      <vt:lpstr>catdw_1_VEHB_1</vt:lpstr>
      <vt:lpstr>catdw_1_VEHV_41</vt:lpstr>
      <vt:lpstr>catdw_1_VLHB_1</vt:lpstr>
      <vt:lpstr>catdw_1_VLHV_41</vt:lpstr>
      <vt:lpstr>catdw_1_VOHB_1</vt:lpstr>
      <vt:lpstr>catdw_1_VOHV_41</vt:lpstr>
      <vt:lpstr>catdw_1_VTHB_1</vt:lpstr>
      <vt:lpstr>catdw_1_VTHV_41</vt:lpstr>
      <vt:lpstr>catdw_1_XDGB_1</vt:lpstr>
      <vt:lpstr>catfd_1_BKHB_1</vt:lpstr>
      <vt:lpstr>catfd_1_BKHV_41</vt:lpstr>
      <vt:lpstr>catfd_1_BVHB_1</vt:lpstr>
      <vt:lpstr>catfd_1_BVHV_41</vt:lpstr>
      <vt:lpstr>catfd_1_GSHB_1</vt:lpstr>
      <vt:lpstr>catfd_1_GSHV_41</vt:lpstr>
      <vt:lpstr>catfd_1_KAHB_1</vt:lpstr>
      <vt:lpstr>catfd_1_KAHV_41</vt:lpstr>
      <vt:lpstr>catfd_1_KDHB_1</vt:lpstr>
      <vt:lpstr>catfd_1_KDHV_41</vt:lpstr>
      <vt:lpstr>catfd_1_LLHB_1</vt:lpstr>
      <vt:lpstr>catfd_1_LLHV_41</vt:lpstr>
      <vt:lpstr>catfd_1_LOHB_1</vt:lpstr>
      <vt:lpstr>catfd_1_LOHV_41</vt:lpstr>
      <vt:lpstr>catfd_1_MAHB_1</vt:lpstr>
      <vt:lpstr>catfd_1_MAHV_41</vt:lpstr>
      <vt:lpstr>catfd_1_PAHB_1</vt:lpstr>
      <vt:lpstr>catfd_1_PAHV_41</vt:lpstr>
      <vt:lpstr>catfd_1_PLHB_1</vt:lpstr>
      <vt:lpstr>catfd_1_PLHV_41</vt:lpstr>
      <vt:lpstr>catfd_1_PSHB_1</vt:lpstr>
      <vt:lpstr>catfd_1_PSHV_41</vt:lpstr>
      <vt:lpstr>catfd_1_SDHB_1</vt:lpstr>
      <vt:lpstr>catfd_1_SDHV_41</vt:lpstr>
      <vt:lpstr>catfd_1_SKHB_1</vt:lpstr>
      <vt:lpstr>catfd_1_SKHV_41</vt:lpstr>
      <vt:lpstr>catfd_1_STHB_1</vt:lpstr>
      <vt:lpstr>catfd_1_STHV_41</vt:lpstr>
      <vt:lpstr>catfd_1_VAHB_1</vt:lpstr>
      <vt:lpstr>catfd_1_VAHV_41</vt:lpstr>
      <vt:lpstr>catfd_1_VEHB_1</vt:lpstr>
      <vt:lpstr>catfd_1_VEHV_41</vt:lpstr>
      <vt:lpstr>catfd_1_VLHB_1</vt:lpstr>
      <vt:lpstr>catfd_1_VLHV_41</vt:lpstr>
      <vt:lpstr>catfd_1_VOHB_1</vt:lpstr>
      <vt:lpstr>catfd_1_VOHV_41</vt:lpstr>
      <vt:lpstr>catfd_1_VTHB_1</vt:lpstr>
      <vt:lpstr>catfd_1_VTHV_41</vt:lpstr>
      <vt:lpstr>catfd_1_XDGB_1</vt:lpstr>
      <vt:lpstr>catpn_1_BKHB_1</vt:lpstr>
      <vt:lpstr>catpn_1_BKHV_41</vt:lpstr>
      <vt:lpstr>catpn_1_BVHB_1</vt:lpstr>
      <vt:lpstr>catpn_1_BVHV_41</vt:lpstr>
      <vt:lpstr>catpn_1_GSHB_1</vt:lpstr>
      <vt:lpstr>catpn_1_GSHV_41</vt:lpstr>
      <vt:lpstr>catpn_1_KAHB_1</vt:lpstr>
      <vt:lpstr>catpn_1_KAHV_41</vt:lpstr>
      <vt:lpstr>catpn_1_KDHB_1</vt:lpstr>
      <vt:lpstr>catpn_1_KDHV_41</vt:lpstr>
      <vt:lpstr>catpn_1_LLHB_1</vt:lpstr>
      <vt:lpstr>catpn_1_LLHV_41</vt:lpstr>
      <vt:lpstr>catpn_1_LOHB_1</vt:lpstr>
      <vt:lpstr>catpn_1_LOHV_41</vt:lpstr>
      <vt:lpstr>catpn_1_MAHB_1</vt:lpstr>
      <vt:lpstr>catpn_1_MAHV_41</vt:lpstr>
      <vt:lpstr>catpn_1_PAHB_1</vt:lpstr>
      <vt:lpstr>catpn_1_PAHV_41</vt:lpstr>
      <vt:lpstr>catpn_1_PLHB_1</vt:lpstr>
      <vt:lpstr>catpn_1_PLHV_41</vt:lpstr>
      <vt:lpstr>catpn_1_PSHB_1</vt:lpstr>
      <vt:lpstr>catpn_1_PSHV_41</vt:lpstr>
      <vt:lpstr>catpn_1_SDHB_1</vt:lpstr>
      <vt:lpstr>catpn_1_SDHV_41</vt:lpstr>
      <vt:lpstr>catpn_1_SKHB_1</vt:lpstr>
      <vt:lpstr>catpn_1_SKHV_41</vt:lpstr>
      <vt:lpstr>catpn_1_STHB_1</vt:lpstr>
      <vt:lpstr>catpn_1_STHV_41</vt:lpstr>
      <vt:lpstr>catpn_1_VAHB_1</vt:lpstr>
      <vt:lpstr>catpn_1_VAHV_41</vt:lpstr>
      <vt:lpstr>catpn_1_VEHB_1</vt:lpstr>
      <vt:lpstr>catpn_1_VEHV_41</vt:lpstr>
      <vt:lpstr>catpn_1_VLHB_1</vt:lpstr>
      <vt:lpstr>catpn_1_VLHV_41</vt:lpstr>
      <vt:lpstr>catpn_1_VOHB_1</vt:lpstr>
      <vt:lpstr>catpn_1_VOHV_41</vt:lpstr>
      <vt:lpstr>catpn_1_VTHB_1</vt:lpstr>
      <vt:lpstr>catpn_1_VTHV_41</vt:lpstr>
      <vt:lpstr>catpn_1_XDGB_1</vt:lpstr>
      <vt:lpstr>cattf_1_BKHB_1</vt:lpstr>
      <vt:lpstr>cattf_1_BKHV_41</vt:lpstr>
      <vt:lpstr>cattf_1_BVHB_1</vt:lpstr>
      <vt:lpstr>cattf_1_BVHV_41</vt:lpstr>
      <vt:lpstr>cattf_1_GSHB_1</vt:lpstr>
      <vt:lpstr>cattf_1_GSHV_41</vt:lpstr>
      <vt:lpstr>cattf_1_KAHB_1</vt:lpstr>
      <vt:lpstr>cattf_1_KAHV_41</vt:lpstr>
      <vt:lpstr>cattf_1_KDHB_1</vt:lpstr>
      <vt:lpstr>cattf_1_KDHV_41</vt:lpstr>
      <vt:lpstr>cattf_1_LLHB_1</vt:lpstr>
      <vt:lpstr>cattf_1_LLHV_41</vt:lpstr>
      <vt:lpstr>cattf_1_LOHB_1</vt:lpstr>
      <vt:lpstr>cattf_1_LOHV_41</vt:lpstr>
      <vt:lpstr>cattf_1_MAHB_1</vt:lpstr>
      <vt:lpstr>cattf_1_MAHV_41</vt:lpstr>
      <vt:lpstr>cattf_1_PAHB_1</vt:lpstr>
      <vt:lpstr>cattf_1_PAHV_41</vt:lpstr>
      <vt:lpstr>cattf_1_PLHB_1</vt:lpstr>
      <vt:lpstr>cattf_1_PLHV_41</vt:lpstr>
      <vt:lpstr>cattf_1_PSHB_1</vt:lpstr>
      <vt:lpstr>cattf_1_PSHV_41</vt:lpstr>
      <vt:lpstr>cattf_1_SDHB_1</vt:lpstr>
      <vt:lpstr>cattf_1_SDHV_41</vt:lpstr>
      <vt:lpstr>cattf_1_SKHB_1</vt:lpstr>
      <vt:lpstr>cattf_1_SKHV_41</vt:lpstr>
      <vt:lpstr>cattf_1_STHB_1</vt:lpstr>
      <vt:lpstr>cattf_1_STHV_41</vt:lpstr>
      <vt:lpstr>cattf_1_VAHB_1</vt:lpstr>
      <vt:lpstr>cattf_1_VAHV_41</vt:lpstr>
      <vt:lpstr>cattf_1_VEHB_1</vt:lpstr>
      <vt:lpstr>cattf_1_VEHV_41</vt:lpstr>
      <vt:lpstr>cattf_1_VLHB_1</vt:lpstr>
      <vt:lpstr>cattf_1_VLHV_41</vt:lpstr>
      <vt:lpstr>cattf_1_VOHB_1</vt:lpstr>
      <vt:lpstr>cattf_1_VOHV_41</vt:lpstr>
      <vt:lpstr>cattf_1_VTHB_1</vt:lpstr>
      <vt:lpstr>cattf_1_VTHV_41</vt:lpstr>
      <vt:lpstr>cattf_1_XDGB_1</vt:lpstr>
      <vt:lpstr>dagenperjaar1</vt:lpstr>
      <vt:lpstr>dagenperjaar2</vt:lpstr>
      <vt:lpstr>dagenperjaar3</vt:lpstr>
      <vt:lpstr>dagenperjaar4</vt:lpstr>
      <vt:lpstr>dagenperweek1</vt:lpstr>
      <vt:lpstr>dagenperweek2</vt:lpstr>
      <vt:lpstr>dagenperweek3</vt:lpstr>
      <vt:lpstr>dagenperweek4</vt:lpstr>
      <vt:lpstr>dagsoorttabel1</vt:lpstr>
      <vt:lpstr>dagsoorttabel2</vt:lpstr>
      <vt:lpstr>dagsoorttabel3</vt:lpstr>
      <vt:lpstr>dagsoorttabel4</vt:lpstr>
      <vt:lpstr>dagwerk1</vt:lpstr>
      <vt:lpstr>dagwerk10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</vt:lpstr>
      <vt:lpstr>dagwerk20</vt:lpstr>
      <vt:lpstr>dagwerk21</vt:lpstr>
      <vt:lpstr>dagwerk22</vt:lpstr>
      <vt:lpstr>dagwerk23</vt:lpstr>
      <vt:lpstr>dagwerk3</vt:lpstr>
      <vt:lpstr>dagwerk4</vt:lpstr>
      <vt:lpstr>dagwerk5</vt:lpstr>
      <vt:lpstr>dagwerk6</vt:lpstr>
      <vt:lpstr>dagwerk7</vt:lpstr>
      <vt:lpstr>dagwerk8</vt:lpstr>
      <vt:lpstr>dagwerk9</vt:lpstr>
      <vt:lpstr>dagwerktabel1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object1_urendaghf1</vt:lpstr>
      <vt:lpstr>object1_urenjaar1</vt:lpstr>
      <vt:lpstr>objectprijs1_1</vt:lpstr>
      <vt:lpstr>objecturen1_1</vt:lpstr>
      <vt:lpstr>objecturenhf1_1</vt:lpstr>
      <vt:lpstr>prijsdag1</vt:lpstr>
      <vt:lpstr>prijsjaar</vt:lpstr>
      <vt:lpstr>prijsjaar1</vt:lpstr>
      <vt:lpstr>prijsjaarregie</vt:lpstr>
      <vt:lpstr>prijsjaarregie1</vt:lpstr>
      <vt:lpstr>prijsjaartotaal</vt:lpstr>
      <vt:lpstr>prijsjaartotaal1</vt:lpstr>
      <vt:lpstr>prijsjaartotaaloverzicht</vt:lpstr>
      <vt:lpstr>prijsmaandtotaal1</vt:lpstr>
      <vt:lpstr>prodnorm0</vt:lpstr>
      <vt:lpstr>prodnorm1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</vt:lpstr>
      <vt:lpstr>prodnorm20</vt:lpstr>
      <vt:lpstr>prodnorm21</vt:lpstr>
      <vt:lpstr>prodnorm22</vt:lpstr>
      <vt:lpstr>prodnorm23</vt:lpstr>
      <vt:lpstr>prodnorm3</vt:lpstr>
      <vt:lpstr>prodnorm4</vt:lpstr>
      <vt:lpstr>prodnorm5</vt:lpstr>
      <vt:lpstr>prodnorm6</vt:lpstr>
      <vt:lpstr>prodnorm7</vt:lpstr>
      <vt:lpstr>prodnorm8</vt:lpstr>
      <vt:lpstr>prodnorm9</vt:lpstr>
      <vt:lpstr>taakfreqtabel1</vt:lpstr>
      <vt:lpstr>tabeltype</vt:lpstr>
      <vt:lpstr>Tariefopbouw1</vt:lpstr>
      <vt:lpstr>Tariefopbouw2</vt:lpstr>
      <vt:lpstr>Tariefopbouw3</vt:lpstr>
      <vt:lpstr>Tariefopbouw4</vt:lpstr>
      <vt:lpstr>Tariefopbouw5</vt:lpstr>
      <vt:lpstr>Tariefopbouw6</vt:lpstr>
      <vt:lpstr>Tariefopbouw7</vt:lpstr>
      <vt:lpstr>TariefOpbouwBasisloon1</vt:lpstr>
      <vt:lpstr>TariefOpbouwBasisloon2</vt:lpstr>
      <vt:lpstr>TariefOpbouwBasisloon3</vt:lpstr>
      <vt:lpstr>TariefOpbouwBasisloon4</vt:lpstr>
      <vt:lpstr>TariefOpbouwBasisloon5</vt:lpstr>
      <vt:lpstr>TariefOpbouwBasisloon6</vt:lpstr>
      <vt:lpstr>TariefOpbouwBasisloon7</vt:lpstr>
      <vt:lpstr>TariefOpbouwBasisloon8</vt:lpstr>
      <vt:lpstr>TariefOpbouwBasisloon9</vt:lpstr>
      <vt:lpstr>TariefOpbouwDirecteKosten1</vt:lpstr>
      <vt:lpstr>TariefOpbouwDirecteKosten2</vt:lpstr>
      <vt:lpstr>TariefOpbouwDirecteKosten3</vt:lpstr>
      <vt:lpstr>TariefOpbouwDirecteKosten4</vt:lpstr>
      <vt:lpstr>TariefOpbouwDirecteKosten5</vt:lpstr>
      <vt:lpstr>TariefOpbouwDirecteKosten6</vt:lpstr>
      <vt:lpstr>TariefOpbouwDirecteKosten7</vt:lpstr>
      <vt:lpstr>TariefOpbouwDirecteKosten8</vt:lpstr>
      <vt:lpstr>TariefOpbouwDirecteKosten9</vt:lpstr>
      <vt:lpstr>TariefOpbouwErvaring1</vt:lpstr>
      <vt:lpstr>TariefOpbouwErvaring2</vt:lpstr>
      <vt:lpstr>TariefOpbouwErvaring3</vt:lpstr>
      <vt:lpstr>TariefOpbouwErvaring4</vt:lpstr>
      <vt:lpstr>TariefOpbouwErvaring5</vt:lpstr>
      <vt:lpstr>TariefOpbouwErvaring6</vt:lpstr>
      <vt:lpstr>TariefOpbouwErvaring7</vt:lpstr>
      <vt:lpstr>TariefOpbouwErvaring8</vt:lpstr>
      <vt:lpstr>TariefOpbouwErvaring9</vt:lpstr>
      <vt:lpstr>TariefOpbouwIndirecteKosten1</vt:lpstr>
      <vt:lpstr>TariefOpbouwIndirecteKosten2</vt:lpstr>
      <vt:lpstr>TariefOpbouwIndirecteKosten3</vt:lpstr>
      <vt:lpstr>TariefOpbouwIndirecteKosten4</vt:lpstr>
      <vt:lpstr>TariefOpbouwIndirecteKosten5</vt:lpstr>
      <vt:lpstr>TariefOpbouwIndirecteKosten6</vt:lpstr>
      <vt:lpstr>TariefOpbouwIndirecteKosten7</vt:lpstr>
      <vt:lpstr>TariefOpbouwIndirecteKosten8</vt:lpstr>
      <vt:lpstr>TariefOpbouwIndirecteKosten9</vt:lpstr>
      <vt:lpstr>TariefOpbouwNaam1</vt:lpstr>
      <vt:lpstr>TariefOpbouwNaam2</vt:lpstr>
      <vt:lpstr>TariefOpbouwNaam3</vt:lpstr>
      <vt:lpstr>TariefOpbouwNaam4</vt:lpstr>
      <vt:lpstr>TariefOpbouwNaam5</vt:lpstr>
      <vt:lpstr>TariefOpbouwNaam6</vt:lpstr>
      <vt:lpstr>TariefOpbouwNaam7</vt:lpstr>
      <vt:lpstr>TariefOpbouwNaam8</vt:lpstr>
      <vt:lpstr>TariefOpbouwNaam9</vt:lpstr>
      <vt:lpstr>TariefOpbouwRisicoWinst1</vt:lpstr>
      <vt:lpstr>TariefOpbouwRisicoWinst2</vt:lpstr>
      <vt:lpstr>TariefOpbouwRisicoWinst3</vt:lpstr>
      <vt:lpstr>TariefOpbouwRisicoWinst4</vt:lpstr>
      <vt:lpstr>TariefOpbouwRisicoWinst5</vt:lpstr>
      <vt:lpstr>TariefOpbouwRisicoWinst6</vt:lpstr>
      <vt:lpstr>TariefOpbouwRisicoWinst7</vt:lpstr>
      <vt:lpstr>TariefOpbouwRisicoWinst8</vt:lpstr>
      <vt:lpstr>TariefOpbouwRisicoWinst9</vt:lpstr>
      <vt:lpstr>TariefOpbouwRisicoWinstPercentage1</vt:lpstr>
      <vt:lpstr>TariefOpbouwRisicoWinstPercentage2</vt:lpstr>
      <vt:lpstr>TariefOpbouwRisicoWinstPercentage3</vt:lpstr>
      <vt:lpstr>TariefOpbouwRisicoWinstPercentage4</vt:lpstr>
      <vt:lpstr>TariefOpbouwRisicoWinstPercentage5</vt:lpstr>
      <vt:lpstr>TariefOpbouwRisicoWinstPercentage6</vt:lpstr>
      <vt:lpstr>TariefOpbouwRisicoWinstPercentage7</vt:lpstr>
      <vt:lpstr>TariefOpbouwRisicoWinstPercentage8</vt:lpstr>
      <vt:lpstr>TariefOpbouwRisicoWinstPercentage9</vt:lpstr>
      <vt:lpstr>TariefOpbouwTarief1</vt:lpstr>
      <vt:lpstr>TariefOpbouwTarief1DN</vt:lpstr>
      <vt:lpstr>TariefOpbouwTarief1W</vt:lpstr>
      <vt:lpstr>TariefOpbouwTarief1X</vt:lpstr>
      <vt:lpstr>TariefOpbouwTarief2</vt:lpstr>
      <vt:lpstr>TariefOpbouwTarief2DN</vt:lpstr>
      <vt:lpstr>TariefOpbouwTarief2W</vt:lpstr>
      <vt:lpstr>TariefOpbouwTarief2X</vt:lpstr>
      <vt:lpstr>TariefOpbouwTarief3</vt:lpstr>
      <vt:lpstr>TariefOpbouwTarief3DN</vt:lpstr>
      <vt:lpstr>TariefOpbouwTarief3W</vt:lpstr>
      <vt:lpstr>TariefOpbouwTarief3X</vt:lpstr>
      <vt:lpstr>TariefOpbouwTarief4</vt:lpstr>
      <vt:lpstr>TariefOpbouwTarief4DN</vt:lpstr>
      <vt:lpstr>TariefOpbouwTarief4W</vt:lpstr>
      <vt:lpstr>TariefOpbouwTarief4X</vt:lpstr>
      <vt:lpstr>TariefOpbouwTarief5</vt:lpstr>
      <vt:lpstr>TariefOpbouwTarief5DN</vt:lpstr>
      <vt:lpstr>TariefOpbouwTarief5W</vt:lpstr>
      <vt:lpstr>TariefOpbouwTarief5X</vt:lpstr>
      <vt:lpstr>TariefOpbouwTarief6</vt:lpstr>
      <vt:lpstr>TariefOpbouwTarief6DN</vt:lpstr>
      <vt:lpstr>TariefOpbouwTarief6W</vt:lpstr>
      <vt:lpstr>TariefOpbouwTarief6X</vt:lpstr>
      <vt:lpstr>TariefOpbouwTarief7</vt:lpstr>
      <vt:lpstr>TariefOpbouwTarief7DN</vt:lpstr>
      <vt:lpstr>TariefOpbouwTarief7W</vt:lpstr>
      <vt:lpstr>TariefOpbouwTarief7X</vt:lpstr>
      <vt:lpstr>TariefOpbouwTarief8</vt:lpstr>
      <vt:lpstr>TariefOpbouwTarief8DN</vt:lpstr>
      <vt:lpstr>TariefOpbouwTarief8W</vt:lpstr>
      <vt:lpstr>TariefOpbouwTarief8X</vt:lpstr>
      <vt:lpstr>TariefOpbouwTarief9</vt:lpstr>
      <vt:lpstr>TariefOpbouwTarief9DN</vt:lpstr>
      <vt:lpstr>TariefOpbouwTarief9W</vt:lpstr>
      <vt:lpstr>TariefOpbouwTarief9X</vt:lpstr>
      <vt:lpstr>TariefOpbouwTotaalLoonkosten1</vt:lpstr>
      <vt:lpstr>TariefOpbouwTotaalLoonkosten2</vt:lpstr>
      <vt:lpstr>TariefOpbouwTotaalLoonkosten3</vt:lpstr>
      <vt:lpstr>TariefOpbouwTotaalLoonkosten4</vt:lpstr>
      <vt:lpstr>TariefOpbouwTotaalLoonkosten5</vt:lpstr>
      <vt:lpstr>TariefOpbouwTotaalLoonkosten6</vt:lpstr>
      <vt:lpstr>TariefOpbouwTotaalLoonkosten7</vt:lpstr>
      <vt:lpstr>TariefOpbouwTotaalLoonkosten8</vt:lpstr>
      <vt:lpstr>TariefOpbouwTotaalLoonkosten9</vt:lpstr>
      <vt:lpstr>TariefOpbouwUurloon1</vt:lpstr>
      <vt:lpstr>TariefOpbouwUurloon2</vt:lpstr>
      <vt:lpstr>TariefOpbouwUurloon3</vt:lpstr>
      <vt:lpstr>TariefOpbouwUurloon4</vt:lpstr>
      <vt:lpstr>TariefOpbouwUurloon5</vt:lpstr>
      <vt:lpstr>TariefOpbouwUurloon6</vt:lpstr>
      <vt:lpstr>TariefOpbouwUurloon7</vt:lpstr>
      <vt:lpstr>TariefOpbouwUurloon8</vt:lpstr>
      <vt:lpstr>TariefOpbouwUurloon9</vt:lpstr>
      <vt:lpstr>TariefOpbouwUurloonkosten1</vt:lpstr>
      <vt:lpstr>TariefOpbouwUurloonkosten2</vt:lpstr>
      <vt:lpstr>TariefOpbouwUurloonkosten3</vt:lpstr>
      <vt:lpstr>TariefOpbouwUurloonkosten4</vt:lpstr>
      <vt:lpstr>TariefOpbouwUurloonkosten5</vt:lpstr>
      <vt:lpstr>TariefOpbouwUurloonkosten6</vt:lpstr>
      <vt:lpstr>TariefOpbouwUurloonkosten7</vt:lpstr>
      <vt:lpstr>TariefOpbouwUurloonkosten8</vt:lpstr>
      <vt:lpstr>TariefOpbouwUurloonkosten9</vt:lpstr>
      <vt:lpstr>tarieftabel1</vt:lpstr>
      <vt:lpstr>TariefUitvoering1</vt:lpstr>
      <vt:lpstr>TariefUitvoering2</vt:lpstr>
      <vt:lpstr>TariefUitvoering3</vt:lpstr>
      <vt:lpstr>TariefUitvoering4</vt:lpstr>
      <vt:lpstr>TariefUitvoering5</vt:lpstr>
      <vt:lpstr>TariefUitvoering6</vt:lpstr>
      <vt:lpstr>TariefUitvoering7</vt:lpstr>
      <vt:lpstr>urendag1</vt:lpstr>
      <vt:lpstr>urenjaar</vt:lpstr>
      <vt:lpstr>urenjaar1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uurtarief0</vt:lpstr>
      <vt:lpstr>uurtarief1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</vt:lpstr>
      <vt:lpstr>uurtarief20</vt:lpstr>
      <vt:lpstr>uurtarief21</vt:lpstr>
      <vt:lpstr>uurtarief22</vt:lpstr>
      <vt:lpstr>uurtarief23</vt:lpstr>
      <vt:lpstr>uurtarief3</vt:lpstr>
      <vt:lpstr>uurtarief4</vt:lpstr>
      <vt:lpstr>uurtarief5</vt:lpstr>
      <vt:lpstr>uurtarief6</vt:lpstr>
      <vt:lpstr>uurtarief7</vt:lpstr>
      <vt:lpstr>uurtarief8</vt:lpstr>
      <vt:lpstr>uurtarief9</vt:lpstr>
      <vt:lpstr>vp_regie</vt:lpstr>
      <vt:lpstr>vp_regulier</vt:lpstr>
      <vt:lpstr>vp_variant</vt:lpstr>
      <vt:lpstr>vu_regulier</vt:lpstr>
      <vt:lpstr>vu_variant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Boomsma</dc:creator>
  <cp:lastModifiedBy>Eric Boomsma</cp:lastModifiedBy>
  <dcterms:created xsi:type="dcterms:W3CDTF">2026-01-15T12:44:20Z</dcterms:created>
  <dcterms:modified xsi:type="dcterms:W3CDTF">2026-01-15T12:45:39Z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0x0101009D343A6084500B40B98D8BA23D3B1C9F</vt:lpwstr>
  </property>
</Properties>
</file>