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TA\EXTERN\Stedelijk Museum (Significant)\Aanbesteding\NVI1\"/>
    </mc:Choice>
  </mc:AlternateContent>
  <xr:revisionPtr revIDLastSave="0" documentId="8_{1270ADD6-1203-4A41-817B-1857F0918401}" xr6:coauthVersionLast="47" xr6:coauthVersionMax="47" xr10:uidLastSave="{00000000-0000-0000-0000-000000000000}"/>
  <bookViews>
    <workbookView xWindow="-110" yWindow="-110" windowWidth="25820" windowHeight="15500" firstSheet="8" activeTab="12" xr2:uid="{6190A786-2273-4BD9-9607-7E3868445169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Ruimten weekenddag" sheetId="6" r:id="rId6"/>
    <sheet name="Ruimten feestdag" sheetId="7" r:id="rId7"/>
    <sheet name="Objectinformatie" sheetId="8" r:id="rId8"/>
    <sheet name="Objecten" sheetId="9" r:id="rId9"/>
    <sheet name="Totaalblad Objecten" sheetId="10" r:id="rId10"/>
    <sheet name="Afroep incidenteel" sheetId="11" r:id="rId11"/>
    <sheet name="Regiewerk" sheetId="12" r:id="rId12"/>
    <sheet name="Totaal" sheetId="13" r:id="rId13"/>
  </sheets>
  <definedNames>
    <definedName name="_xlnm._FilterDatabase" localSheetId="6" hidden="1">'Ruimten feestdag'!$A$3:$V$125</definedName>
    <definedName name="_xlnm._FilterDatabase" localSheetId="5" hidden="1">'Ruimten weekenddag'!$A$3:$V$123</definedName>
    <definedName name="_xlnm._FilterDatabase" localSheetId="4" hidden="1">'Ruimten werkdag'!$A$3:$V$532</definedName>
    <definedName name="_xlnm.Print_Titles" localSheetId="10">'Afroep incidenteel'!$1:$3</definedName>
    <definedName name="_xlnm.Print_Titles" localSheetId="2">Categorienormen!$1:$3</definedName>
    <definedName name="_xlnm.Print_Titles" localSheetId="8">Objecten!$1:$3</definedName>
    <definedName name="_xlnm.Print_Titles" localSheetId="7">Objectinformatie!$A:$D,Objectinformatie!$1:$4</definedName>
    <definedName name="_xlnm.Print_Titles" localSheetId="11">Regiewerk!$1:$3</definedName>
    <definedName name="_xlnm.Print_Titles" localSheetId="3">'Regulier werk'!$1:$3</definedName>
    <definedName name="_xlnm.Print_Titles" localSheetId="6">'Ruimten feestdag'!$1:$3</definedName>
    <definedName name="_xlnm.Print_Titles" localSheetId="5">'Ruimten weekenddag'!$1:$3</definedName>
    <definedName name="_xlnm.Print_Titles" localSheetId="4">'Ruimten werkdag'!$1:$3</definedName>
    <definedName name="_xlnm.Print_Titles" localSheetId="1">Tariefopbouw!$A:$A,Tariefopbouw!$1:$2</definedName>
    <definedName name="_xlnm.Print_Titles" localSheetId="12">Totaal!$1:$3</definedName>
    <definedName name="_xlnm.Print_Titles" localSheetId="9">'Totaalblad Objecten'!$A:$A,'Totaalblad Objecten'!$1:$3</definedName>
    <definedName name="catdw_1_BKHB_1">Categorienormen!$F$39</definedName>
    <definedName name="catdw_1_BKHV_51">Categorienormen!$F$40</definedName>
    <definedName name="catdw_1_BKZB_1">Categorienormen!$F$41</definedName>
    <definedName name="catdw_1_BKZV_51">Categorienormen!$F$42</definedName>
    <definedName name="catdw_1_BVHB_1">Categorienormen!$F$43</definedName>
    <definedName name="catdw_1_BVHV_51">Categorienormen!$F$44</definedName>
    <definedName name="catdw_1_BVZB_1">Categorienormen!$F$45</definedName>
    <definedName name="catdw_1_BVZV_51">Categorienormen!$F$46</definedName>
    <definedName name="catdw_1_KPHB_1">Categorienormen!$F$16</definedName>
    <definedName name="catdw_1_KPHV_51">Categorienormen!$F$17</definedName>
    <definedName name="catdw_1_KRHB_1">Categorienormen!$F$18</definedName>
    <definedName name="catdw_1_KRHV_51">Categorienormen!$F$19</definedName>
    <definedName name="catdw_1_LAHB_1">Categorienormen!$F$12</definedName>
    <definedName name="catdw_1_LAHV_51">Categorienormen!$F$13</definedName>
    <definedName name="catdw_1_MAHB_1">Categorienormen!$F$47</definedName>
    <definedName name="catdw_1_MAHV_12">Categorienormen!$F$48</definedName>
    <definedName name="catdw_1_MAHV_51">Categorienormen!$F$49</definedName>
    <definedName name="catdw_1_MEHB_1">Categorienormen!$F$14</definedName>
    <definedName name="catdw_1_MEHV_51">Categorienormen!$F$15</definedName>
    <definedName name="catdw_1_OAHB_1">Categorienormen!$F$20</definedName>
    <definedName name="catdw_1_OAHV_12">Categorienormen!$F$21</definedName>
    <definedName name="catdw_1_OAHV_51">Categorienormen!$F$22</definedName>
    <definedName name="catdw_1_SDHB_1">Categorienormen!$F$6</definedName>
    <definedName name="catdw_1_SDHV_51">Categorienormen!$F$7</definedName>
    <definedName name="catdw_1_SKHB_1">Categorienormen!$F$8</definedName>
    <definedName name="catdw_1_SKHV_51">Categorienormen!$F$9</definedName>
    <definedName name="catdw_1_STHB_1">Categorienormen!$F$10</definedName>
    <definedName name="catdw_1_STHV_51">Categorienormen!$F$11</definedName>
    <definedName name="catdw_1_VAHB_1">Categorienormen!$F$23</definedName>
    <definedName name="catdw_1_VAHV_12">Categorienormen!$F$24</definedName>
    <definedName name="catdw_1_VAHV_51">Categorienormen!$F$25</definedName>
    <definedName name="catdw_1_VAZB_1">Categorienormen!$F$26</definedName>
    <definedName name="catdw_1_VAZV_51">Categorienormen!$F$27</definedName>
    <definedName name="catdw_1_VEHB_1">Categorienormen!$F$28</definedName>
    <definedName name="catdw_1_VEHV_51">Categorienormen!$F$29</definedName>
    <definedName name="catdw_1_VEZB_1">Categorienormen!$F$30</definedName>
    <definedName name="catdw_1_VEZV_51">Categorienormen!$F$31</definedName>
    <definedName name="catdw_1_VLHB_1">Categorienormen!$F$32</definedName>
    <definedName name="catdw_1_VLHV_12">Categorienormen!$F$33</definedName>
    <definedName name="catdw_1_VLHV_51">Categorienormen!$F$34</definedName>
    <definedName name="catdw_1_VTHB_1">Categorienormen!$F$35</definedName>
    <definedName name="catdw_1_VTHV_12">Categorienormen!$F$37</definedName>
    <definedName name="catdw_1_VTHV_2">Categorienormen!$F$36</definedName>
    <definedName name="catdw_1_VTHV_51">Categorienormen!$F$38</definedName>
    <definedName name="catdw_2_WKPHB_1">Categorienormen!$F$55</definedName>
    <definedName name="catdw_2_WKRHB_1">Categorienormen!$F$56</definedName>
    <definedName name="catdw_2_WMEHB_1">Categorienormen!$F$54</definedName>
    <definedName name="catdw_2_WSKHB_1">Categorienormen!$F$52</definedName>
    <definedName name="catdw_2_WSTHB_1">Categorienormen!$F$53</definedName>
    <definedName name="catdw_2_WVAHB_1">Categorienormen!$F$57</definedName>
    <definedName name="catdw_2_WVEHB_1">Categorienormen!$F$58</definedName>
    <definedName name="catdw_2_WVEZB_1">Categorienormen!$F$59</definedName>
    <definedName name="catdw_2_WVLHB_1">Categorienormen!$F$60</definedName>
    <definedName name="catdw_2_WVTHB_1">Categorienormen!$F$61</definedName>
    <definedName name="catdw_3_XKPHB_1">Categorienormen!$F$67</definedName>
    <definedName name="catdw_3_XKRHB_1">Categorienormen!$F$68</definedName>
    <definedName name="catdw_3_XMEHB_1">Categorienormen!$F$66</definedName>
    <definedName name="catdw_3_XSKHB_1">Categorienormen!$F$64</definedName>
    <definedName name="catdw_3_XSTHB_1">Categorienormen!$F$65</definedName>
    <definedName name="catdw_3_XVAHB_1">Categorienormen!$F$69</definedName>
    <definedName name="catdw_3_XVEHB_1">Categorienormen!$F$70</definedName>
    <definedName name="catdw_3_XVEZB_1">Categorienormen!$F$71</definedName>
    <definedName name="catdw_3_XVLHB_1">Categorienormen!$F$72</definedName>
    <definedName name="catdw_3_XVTHB_1">Categorienormen!$F$73</definedName>
    <definedName name="catfd_1_BKHB_1">Categorienormen!$C$39</definedName>
    <definedName name="catfd_1_BKHV_51">Categorienormen!$C$40</definedName>
    <definedName name="catfd_1_BKZB_1">Categorienormen!$C$41</definedName>
    <definedName name="catfd_1_BKZV_51">Categorienormen!$C$42</definedName>
    <definedName name="catfd_1_BVHB_1">Categorienormen!$C$43</definedName>
    <definedName name="catfd_1_BVHV_51">Categorienormen!$C$44</definedName>
    <definedName name="catfd_1_BVZB_1">Categorienormen!$C$45</definedName>
    <definedName name="catfd_1_BVZV_51">Categorienormen!$C$46</definedName>
    <definedName name="catfd_1_KPHB_1">Categorienormen!$C$16</definedName>
    <definedName name="catfd_1_KPHV_51">Categorienormen!$C$17</definedName>
    <definedName name="catfd_1_KRHB_1">Categorienormen!$C$18</definedName>
    <definedName name="catfd_1_KRHV_51">Categorienormen!$C$19</definedName>
    <definedName name="catfd_1_LAHB_1">Categorienormen!$C$12</definedName>
    <definedName name="catfd_1_LAHV_51">Categorienormen!$C$13</definedName>
    <definedName name="catfd_1_MAHB_1">Categorienormen!$C$47</definedName>
    <definedName name="catfd_1_MAHV_12">Categorienormen!$C$48</definedName>
    <definedName name="catfd_1_MAHV_51">Categorienormen!$C$49</definedName>
    <definedName name="catfd_1_MEHB_1">Categorienormen!$C$14</definedName>
    <definedName name="catfd_1_MEHV_51">Categorienormen!$C$15</definedName>
    <definedName name="catfd_1_OAHB_1">Categorienormen!$C$20</definedName>
    <definedName name="catfd_1_OAHV_12">Categorienormen!$C$21</definedName>
    <definedName name="catfd_1_OAHV_51">Categorienormen!$C$22</definedName>
    <definedName name="catfd_1_SDHB_1">Categorienormen!$C$6</definedName>
    <definedName name="catfd_1_SDHV_51">Categorienormen!$C$7</definedName>
    <definedName name="catfd_1_SKHB_1">Categorienormen!$C$8</definedName>
    <definedName name="catfd_1_SKHV_51">Categorienormen!$C$9</definedName>
    <definedName name="catfd_1_STHB_1">Categorienormen!$C$10</definedName>
    <definedName name="catfd_1_STHV_51">Categorienormen!$C$11</definedName>
    <definedName name="catfd_1_VAHB_1">Categorienormen!$C$23</definedName>
    <definedName name="catfd_1_VAHV_12">Categorienormen!$C$24</definedName>
    <definedName name="catfd_1_VAHV_51">Categorienormen!$C$25</definedName>
    <definedName name="catfd_1_VAZB_1">Categorienormen!$C$26</definedName>
    <definedName name="catfd_1_VAZV_51">Categorienormen!$C$27</definedName>
    <definedName name="catfd_1_VEHB_1">Categorienormen!$C$28</definedName>
    <definedName name="catfd_1_VEHV_51">Categorienormen!$C$29</definedName>
    <definedName name="catfd_1_VEZB_1">Categorienormen!$C$30</definedName>
    <definedName name="catfd_1_VEZV_51">Categorienormen!$C$31</definedName>
    <definedName name="catfd_1_VLHB_1">Categorienormen!$C$32</definedName>
    <definedName name="catfd_1_VLHV_12">Categorienormen!$C$33</definedName>
    <definedName name="catfd_1_VLHV_51">Categorienormen!$C$34</definedName>
    <definedName name="catfd_1_VTHB_1">Categorienormen!$C$35</definedName>
    <definedName name="catfd_1_VTHV_12">Categorienormen!$C$37</definedName>
    <definedName name="catfd_1_VTHV_2">Categorienormen!$C$36</definedName>
    <definedName name="catfd_1_VTHV_51">Categorienormen!$C$38</definedName>
    <definedName name="catfd_2_WKPHB_1">Categorienormen!$C$55</definedName>
    <definedName name="catfd_2_WKRHB_1">Categorienormen!$C$56</definedName>
    <definedName name="catfd_2_WMEHB_1">Categorienormen!$C$54</definedName>
    <definedName name="catfd_2_WSKHB_1">Categorienormen!$C$52</definedName>
    <definedName name="catfd_2_WSTHB_1">Categorienormen!$C$53</definedName>
    <definedName name="catfd_2_WVAHB_1">Categorienormen!$C$57</definedName>
    <definedName name="catfd_2_WVEHB_1">Categorienormen!$C$58</definedName>
    <definedName name="catfd_2_WVEZB_1">Categorienormen!$C$59</definedName>
    <definedName name="catfd_2_WVLHB_1">Categorienormen!$C$60</definedName>
    <definedName name="catfd_2_WVTHB_1">Categorienormen!$C$61</definedName>
    <definedName name="catfd_3_XKPHB_1">Categorienormen!$C$67</definedName>
    <definedName name="catfd_3_XKRHB_1">Categorienormen!$C$68</definedName>
    <definedName name="catfd_3_XMEHB_1">Categorienormen!$C$66</definedName>
    <definedName name="catfd_3_XSKHB_1">Categorienormen!$C$64</definedName>
    <definedName name="catfd_3_XSTHB_1">Categorienormen!$C$65</definedName>
    <definedName name="catfd_3_XVAHB_1">Categorienormen!$C$69</definedName>
    <definedName name="catfd_3_XVEHB_1">Categorienormen!$C$70</definedName>
    <definedName name="catfd_3_XVEZB_1">Categorienormen!$C$71</definedName>
    <definedName name="catfd_3_XVLHB_1">Categorienormen!$C$72</definedName>
    <definedName name="catfd_3_XVTHB_1">Categorienormen!$C$73</definedName>
    <definedName name="catpn_1_BKHB_1">Categorienormen!$E$39</definedName>
    <definedName name="catpn_1_BKHV_51">Categorienormen!$E$40</definedName>
    <definedName name="catpn_1_BKZB_1">Categorienormen!$E$41</definedName>
    <definedName name="catpn_1_BKZV_51">Categorienormen!$E$42</definedName>
    <definedName name="catpn_1_BVHB_1">Categorienormen!$E$43</definedName>
    <definedName name="catpn_1_BVHV_51">Categorienormen!$E$44</definedName>
    <definedName name="catpn_1_BVZB_1">Categorienormen!$E$45</definedName>
    <definedName name="catpn_1_BVZV_51">Categorienormen!$E$46</definedName>
    <definedName name="catpn_1_KPHB_1">Categorienormen!$E$16</definedName>
    <definedName name="catpn_1_KPHV_51">Categorienormen!$E$17</definedName>
    <definedName name="catpn_1_KRHB_1">Categorienormen!$E$18</definedName>
    <definedName name="catpn_1_KRHV_51">Categorienormen!$E$19</definedName>
    <definedName name="catpn_1_LAHB_1">Categorienormen!$E$12</definedName>
    <definedName name="catpn_1_LAHV_51">Categorienormen!$E$13</definedName>
    <definedName name="catpn_1_MAHB_1">Categorienormen!$E$47</definedName>
    <definedName name="catpn_1_MAHV_12">Categorienormen!$E$48</definedName>
    <definedName name="catpn_1_MAHV_51">Categorienormen!$E$49</definedName>
    <definedName name="catpn_1_MEHB_1">Categorienormen!$E$14</definedName>
    <definedName name="catpn_1_MEHV_51">Categorienormen!$E$15</definedName>
    <definedName name="catpn_1_OAHB_1">Categorienormen!$E$20</definedName>
    <definedName name="catpn_1_OAHV_12">Categorienormen!$E$21</definedName>
    <definedName name="catpn_1_OAHV_51">Categorienormen!$E$22</definedName>
    <definedName name="catpn_1_SDHB_1">Categorienormen!$E$6</definedName>
    <definedName name="catpn_1_SDHV_51">Categorienormen!$E$7</definedName>
    <definedName name="catpn_1_SKHB_1">Categorienormen!$E$8</definedName>
    <definedName name="catpn_1_SKHV_51">Categorienormen!$E$9</definedName>
    <definedName name="catpn_1_STHB_1">Categorienormen!$E$10</definedName>
    <definedName name="catpn_1_STHV_51">Categorienormen!$E$11</definedName>
    <definedName name="catpn_1_VAHB_1">Categorienormen!$E$23</definedName>
    <definedName name="catpn_1_VAHV_12">Categorienormen!$E$24</definedName>
    <definedName name="catpn_1_VAHV_51">Categorienormen!$E$25</definedName>
    <definedName name="catpn_1_VAZB_1">Categorienormen!$E$26</definedName>
    <definedName name="catpn_1_VAZV_51">Categorienormen!$E$27</definedName>
    <definedName name="catpn_1_VEHB_1">Categorienormen!$E$28</definedName>
    <definedName name="catpn_1_VEHV_51">Categorienormen!$E$29</definedName>
    <definedName name="catpn_1_VEZB_1">Categorienormen!$E$30</definedName>
    <definedName name="catpn_1_VEZV_51">Categorienormen!$E$31</definedName>
    <definedName name="catpn_1_VLHB_1">Categorienormen!$E$32</definedName>
    <definedName name="catpn_1_VLHV_12">Categorienormen!$E$33</definedName>
    <definedName name="catpn_1_VLHV_51">Categorienormen!$E$34</definedName>
    <definedName name="catpn_1_VTHB_1">Categorienormen!$E$35</definedName>
    <definedName name="catpn_1_VTHV_12">Categorienormen!$E$37</definedName>
    <definedName name="catpn_1_VTHV_2">Categorienormen!$E$36</definedName>
    <definedName name="catpn_1_VTHV_51">Categorienormen!$E$38</definedName>
    <definedName name="catpn_2_WKPHB_1">Categorienormen!$E$55</definedName>
    <definedName name="catpn_2_WKRHB_1">Categorienormen!$E$56</definedName>
    <definedName name="catpn_2_WMEHB_1">Categorienormen!$E$54</definedName>
    <definedName name="catpn_2_WSKHB_1">Categorienormen!$E$52</definedName>
    <definedName name="catpn_2_WSTHB_1">Categorienormen!$E$53</definedName>
    <definedName name="catpn_2_WVAHB_1">Categorienormen!$E$57</definedName>
    <definedName name="catpn_2_WVEHB_1">Categorienormen!$E$58</definedName>
    <definedName name="catpn_2_WVEZB_1">Categorienormen!$E$59</definedName>
    <definedName name="catpn_2_WVLHB_1">Categorienormen!$E$60</definedName>
    <definedName name="catpn_2_WVTHB_1">Categorienormen!$E$61</definedName>
    <definedName name="catpn_3_XKPHB_1">Categorienormen!$E$67</definedName>
    <definedName name="catpn_3_XKRHB_1">Categorienormen!$E$68</definedName>
    <definedName name="catpn_3_XMEHB_1">Categorienormen!$E$66</definedName>
    <definedName name="catpn_3_XSKHB_1">Categorienormen!$E$64</definedName>
    <definedName name="catpn_3_XSTHB_1">Categorienormen!$E$65</definedName>
    <definedName name="catpn_3_XVAHB_1">Categorienormen!$E$69</definedName>
    <definedName name="catpn_3_XVEHB_1">Categorienormen!$E$70</definedName>
    <definedName name="catpn_3_XVEZB_1">Categorienormen!$E$71</definedName>
    <definedName name="catpn_3_XVLHB_1">Categorienormen!$E$72</definedName>
    <definedName name="catpn_3_XVTHB_1">Categorienormen!$E$73</definedName>
    <definedName name="cattf_1_BKHB_1">Categorienormen!$H$39</definedName>
    <definedName name="cattf_1_BKHV_51">Categorienormen!$H$40</definedName>
    <definedName name="cattf_1_BKZB_1">Categorienormen!$H$41</definedName>
    <definedName name="cattf_1_BKZV_51">Categorienormen!$H$42</definedName>
    <definedName name="cattf_1_BVHB_1">Categorienormen!$H$43</definedName>
    <definedName name="cattf_1_BVHV_51">Categorienormen!$H$44</definedName>
    <definedName name="cattf_1_BVZB_1">Categorienormen!$H$45</definedName>
    <definedName name="cattf_1_BVZV_51">Categorienormen!$H$46</definedName>
    <definedName name="cattf_1_KPHB_1">Categorienormen!$H$16</definedName>
    <definedName name="cattf_1_KPHV_51">Categorienormen!$H$17</definedName>
    <definedName name="cattf_1_KRHB_1">Categorienormen!$H$18</definedName>
    <definedName name="cattf_1_KRHV_51">Categorienormen!$H$19</definedName>
    <definedName name="cattf_1_LAHB_1">Categorienormen!$H$12</definedName>
    <definedName name="cattf_1_LAHV_51">Categorienormen!$H$13</definedName>
    <definedName name="cattf_1_MAHB_1">Categorienormen!$H$47</definedName>
    <definedName name="cattf_1_MAHV_12">Categorienormen!$H$48</definedName>
    <definedName name="cattf_1_MAHV_51">Categorienormen!$H$49</definedName>
    <definedName name="cattf_1_MEHB_1">Categorienormen!$H$14</definedName>
    <definedName name="cattf_1_MEHV_51">Categorienormen!$H$15</definedName>
    <definedName name="cattf_1_OAHB_1">Categorienormen!$H$20</definedName>
    <definedName name="cattf_1_OAHV_12">Categorienormen!$H$21</definedName>
    <definedName name="cattf_1_OAHV_51">Categorienormen!$H$22</definedName>
    <definedName name="cattf_1_SDHB_1">Categorienormen!$H$6</definedName>
    <definedName name="cattf_1_SDHV_51">Categorienormen!$H$7</definedName>
    <definedName name="cattf_1_SKHB_1">Categorienormen!$H$8</definedName>
    <definedName name="cattf_1_SKHV_51">Categorienormen!$H$9</definedName>
    <definedName name="cattf_1_STHB_1">Categorienormen!$H$10</definedName>
    <definedName name="cattf_1_STHV_51">Categorienormen!$H$11</definedName>
    <definedName name="cattf_1_VAHB_1">Categorienormen!$H$23</definedName>
    <definedName name="cattf_1_VAHV_12">Categorienormen!$H$24</definedName>
    <definedName name="cattf_1_VAHV_51">Categorienormen!$H$25</definedName>
    <definedName name="cattf_1_VAZB_1">Categorienormen!$H$26</definedName>
    <definedName name="cattf_1_VAZV_51">Categorienormen!$H$27</definedName>
    <definedName name="cattf_1_VEHB_1">Categorienormen!$H$28</definedName>
    <definedName name="cattf_1_VEHV_51">Categorienormen!$H$29</definedName>
    <definedName name="cattf_1_VEZB_1">Categorienormen!$H$30</definedName>
    <definedName name="cattf_1_VEZV_51">Categorienormen!$H$31</definedName>
    <definedName name="cattf_1_VLHB_1">Categorienormen!$H$32</definedName>
    <definedName name="cattf_1_VLHV_12">Categorienormen!$H$33</definedName>
    <definedName name="cattf_1_VLHV_51">Categorienormen!$H$34</definedName>
    <definedName name="cattf_1_VTHB_1">Categorienormen!$H$35</definedName>
    <definedName name="cattf_1_VTHV_12">Categorienormen!$H$37</definedName>
    <definedName name="cattf_1_VTHV_2">Categorienormen!$H$36</definedName>
    <definedName name="cattf_1_VTHV_51">Categorienormen!$H$38</definedName>
    <definedName name="cattf_2_WKPHB_1">Categorienormen!$H$55</definedName>
    <definedName name="cattf_2_WKRHB_1">Categorienormen!$H$56</definedName>
    <definedName name="cattf_2_WMEHB_1">Categorienormen!$H$54</definedName>
    <definedName name="cattf_2_WSKHB_1">Categorienormen!$H$52</definedName>
    <definedName name="cattf_2_WSTHB_1">Categorienormen!$H$53</definedName>
    <definedName name="cattf_2_WVAHB_1">Categorienormen!$H$57</definedName>
    <definedName name="cattf_2_WVEHB_1">Categorienormen!$H$58</definedName>
    <definedName name="cattf_2_WVEZB_1">Categorienormen!$H$59</definedName>
    <definedName name="cattf_2_WVLHB_1">Categorienormen!$H$60</definedName>
    <definedName name="cattf_2_WVTHB_1">Categorienormen!$H$61</definedName>
    <definedName name="cattf_3_XKPHB_1">Categorienormen!$H$67</definedName>
    <definedName name="cattf_3_XKRHB_1">Categorienormen!$H$68</definedName>
    <definedName name="cattf_3_XMEHB_1">Categorienormen!$H$66</definedName>
    <definedName name="cattf_3_XSKHB_1">Categorienormen!$H$64</definedName>
    <definedName name="cattf_3_XSTHB_1">Categorienormen!$H$65</definedName>
    <definedName name="cattf_3_XVAHB_1">Categorienormen!$H$69</definedName>
    <definedName name="cattf_3_XVEHB_1">Categorienormen!$H$70</definedName>
    <definedName name="cattf_3_XVEZB_1">Categorienormen!$H$71</definedName>
    <definedName name="cattf_3_XVLHB_1">Categorienormen!$H$72</definedName>
    <definedName name="cattf_3_XVTHB_1">Categorienormen!$H$73</definedName>
    <definedName name="dagenperjaar1">Omreken!$B$9</definedName>
    <definedName name="dagenperjaar2">Omreken!$E$9</definedName>
    <definedName name="dagenperjaar3">Omreken!$H$9</definedName>
    <definedName name="dagenperweek1">Omreken!$B$10</definedName>
    <definedName name="dagenperweek2">Omreken!$E$10</definedName>
    <definedName name="dagenperweek3">Omreken!$H$10</definedName>
    <definedName name="dagsoorttabel1">Omreken!$A$13:$B$25</definedName>
    <definedName name="dagsoorttabel2">Omreken!$D$13:$E$16</definedName>
    <definedName name="dagsoorttabel3">Omreken!$G$13:$H$26</definedName>
    <definedName name="dagwerk1">'Regulier werk'!$H$42</definedName>
    <definedName name="dagwerk10">'Regulier werk'!$H$13</definedName>
    <definedName name="dagwerk11">'Regulier werk'!$H$14</definedName>
    <definedName name="dagwerk12">'Regulier werk'!$H$15</definedName>
    <definedName name="dagwerk13">'Regulier werk'!$H$16</definedName>
    <definedName name="dagwerk14">'Regulier werk'!$H$17</definedName>
    <definedName name="dagwerk15">'Regulier werk'!$H$18</definedName>
    <definedName name="dagwerk16">'Regulier werk'!$H$19</definedName>
    <definedName name="dagwerk17">'Regulier werk'!$H$20</definedName>
    <definedName name="dagwerk18">'Regulier werk'!$H$21</definedName>
    <definedName name="dagwerk19">'Regulier werk'!$H$22</definedName>
    <definedName name="dagwerk2">'Regulier werk'!$H$43</definedName>
    <definedName name="dagwerk20">'Regulier werk'!$H$23</definedName>
    <definedName name="dagwerk21">'Regulier werk'!$H$24</definedName>
    <definedName name="dagwerk22">'Regulier werk'!$H$25</definedName>
    <definedName name="dagwerk23">'Regulier werk'!$H$26</definedName>
    <definedName name="dagwerk24">'Regulier werk'!$H$27</definedName>
    <definedName name="dagwerk25">'Regulier werk'!$H$28</definedName>
    <definedName name="dagwerk26">'Regulier werk'!$H$29</definedName>
    <definedName name="dagwerk27">'Regulier werk'!$H$30</definedName>
    <definedName name="dagwerk28">'Regulier werk'!$H$31</definedName>
    <definedName name="dagwerk29">'Regulier werk'!$H$32</definedName>
    <definedName name="dagwerk3">'Regulier werk'!$H$6</definedName>
    <definedName name="dagwerk30">'Regulier werk'!$H$33</definedName>
    <definedName name="dagwerk31">'Regulier werk'!$H$34</definedName>
    <definedName name="dagwerk32">'Regulier werk'!$H$35</definedName>
    <definedName name="dagwerk33">'Regulier werk'!$H$36</definedName>
    <definedName name="dagwerk34">'Regulier werk'!$H$37</definedName>
    <definedName name="dagwerk35">'Regulier werk'!$H$38</definedName>
    <definedName name="dagwerk36">'Regulier werk'!$H$39</definedName>
    <definedName name="dagwerk37">'Regulier werk'!$H$40</definedName>
    <definedName name="dagwerk38">'Regulier werk'!$H$41</definedName>
    <definedName name="dagwerk39">'Regulier werk'!$H$61</definedName>
    <definedName name="dagwerk4">'Regulier werk'!$H$7</definedName>
    <definedName name="dagwerk40">'Regulier werk'!$H$50</definedName>
    <definedName name="dagwerk41">'Regulier werk'!$H$51</definedName>
    <definedName name="dagwerk42">'Regulier werk'!$H$52</definedName>
    <definedName name="dagwerk43">'Regulier werk'!$H$53</definedName>
    <definedName name="dagwerk44">'Regulier werk'!$H$54</definedName>
    <definedName name="dagwerk45">'Regulier werk'!$H$55</definedName>
    <definedName name="dagwerk46">'Regulier werk'!$H$56</definedName>
    <definedName name="dagwerk47">'Regulier werk'!$H$57</definedName>
    <definedName name="dagwerk48">'Regulier werk'!$H$58</definedName>
    <definedName name="dagwerk49">'Regulier werk'!$H$59</definedName>
    <definedName name="dagwerk5">'Regulier werk'!$H$8</definedName>
    <definedName name="dagwerk50">'Regulier werk'!$H$60</definedName>
    <definedName name="dagwerk51">'Regulier werk'!$H$79</definedName>
    <definedName name="dagwerk52">'Regulier werk'!$H$68</definedName>
    <definedName name="dagwerk53">'Regulier werk'!$H$69</definedName>
    <definedName name="dagwerk54">'Regulier werk'!$H$70</definedName>
    <definedName name="dagwerk55">'Regulier werk'!$H$71</definedName>
    <definedName name="dagwerk56">'Regulier werk'!$H$72</definedName>
    <definedName name="dagwerk57">'Regulier werk'!$H$73</definedName>
    <definedName name="dagwerk58">'Regulier werk'!$H$74</definedName>
    <definedName name="dagwerk59">'Regulier werk'!$H$75</definedName>
    <definedName name="dagwerk6">'Regulier werk'!$H$9</definedName>
    <definedName name="dagwerk60">'Regulier werk'!$H$76</definedName>
    <definedName name="dagwerk61">'Regulier werk'!$H$77</definedName>
    <definedName name="dagwerk62">'Regulier werk'!$H$78</definedName>
    <definedName name="dagwerk7">'Regulier werk'!$H$10</definedName>
    <definedName name="dagwerk8">'Regulier werk'!$H$11</definedName>
    <definedName name="dagwerk9">'Regulier werk'!$H$12</definedName>
    <definedName name="dagwerktabel1">Objectinformatie!$H$5:$H$42</definedName>
    <definedName name="dagwerktabel2">Objectinformatie!$H$45:$H$56</definedName>
    <definedName name="dagwerktabel3">Objectinformatie!$H$59:$H$70</definedName>
    <definedName name="gemuurtarief1">'Regulier werk'!$J$46</definedName>
    <definedName name="gemuurtarief2">'Regulier werk'!$J$64</definedName>
    <definedName name="gemuurtarief3">'Regulier werk'!$J$82</definedName>
    <definedName name="kengetaltabel1">Objectinformatie!$G$5:$G$42</definedName>
    <definedName name="kengetaltabel2">Objectinformatie!$G$45:$G$56</definedName>
    <definedName name="kengetaltabel3">Objectinformatie!$G$59:$G$70</definedName>
    <definedName name="object1_gemuurtarief1">'Ruimten werkdag'!$Q$88</definedName>
    <definedName name="object1_opptabel1">Objectinformatie!$J$5:$J$42</definedName>
    <definedName name="object1_opptabel2">Objectinformatie!$J$45:$J$56</definedName>
    <definedName name="object1_opptabel3">Objectinformatie!$J$59:$J$70</definedName>
    <definedName name="object1_prijsdag1">'Ruimten werkdag'!$T$88</definedName>
    <definedName name="object1_prijsjaar1">'Ruimten werkdag'!$V$88</definedName>
    <definedName name="object1_urendag1">'Ruimten werkdag'!$R$88</definedName>
    <definedName name="object1_urendaghf1">'Ruimten werkdag'!$S$88</definedName>
    <definedName name="object1_urenjaar1">'Ruimten werkdag'!$U$88</definedName>
    <definedName name="object2_gemuurtarief1">'Ruimten werkdag'!$Q$306</definedName>
    <definedName name="object2_gemuurtarief2">'Ruimten weekenddag'!$Q$40</definedName>
    <definedName name="object2_gemuurtarief3">'Ruimten feestdag'!$Q$42</definedName>
    <definedName name="object2_opptabel1">Objectinformatie!$K$5:$K$42</definedName>
    <definedName name="object2_opptabel2">Objectinformatie!$K$45:$K$56</definedName>
    <definedName name="object2_opptabel3">Objectinformatie!$K$59:$K$70</definedName>
    <definedName name="object2_prijsdag1">'Ruimten werkdag'!$T$306</definedName>
    <definedName name="object2_prijsdag2">'Ruimten weekenddag'!$T$40</definedName>
    <definedName name="object2_prijsdag3">'Ruimten feestdag'!$T$42</definedName>
    <definedName name="object2_prijsjaar1">'Ruimten werkdag'!$V$306</definedName>
    <definedName name="object2_prijsjaar2">'Ruimten weekenddag'!$V$40</definedName>
    <definedName name="object2_prijsjaar3">'Ruimten feestdag'!$V$42</definedName>
    <definedName name="object2_urendag1">'Ruimten werkdag'!$R$306</definedName>
    <definedName name="object2_urendag2">'Ruimten weekenddag'!$R$40</definedName>
    <definedName name="object2_urendag3">'Ruimten feestdag'!$R$42</definedName>
    <definedName name="object2_urendaghf1">'Ruimten werkdag'!$S$306</definedName>
    <definedName name="object2_urendaghf2">'Ruimten weekenddag'!$S$40</definedName>
    <definedName name="object2_urendaghf3">'Ruimten feestdag'!$S$42</definedName>
    <definedName name="object2_urenjaar1">'Ruimten werkdag'!$U$306</definedName>
    <definedName name="object2_urenjaar2">'Ruimten weekenddag'!$U$40</definedName>
    <definedName name="object2_urenjaar3">'Ruimten feestdag'!$U$42</definedName>
    <definedName name="object3_gemuurtarief1">'Ruimten werkdag'!$Q$532</definedName>
    <definedName name="object3_gemuurtarief2">'Ruimten weekenddag'!$Q$123</definedName>
    <definedName name="object3_gemuurtarief3">'Ruimten feestdag'!$Q$125</definedName>
    <definedName name="object3_opptabel1">Objectinformatie!$L$5:$L$42</definedName>
    <definedName name="object3_opptabel2">Objectinformatie!$L$45:$L$56</definedName>
    <definedName name="object3_opptabel3">Objectinformatie!$L$59:$L$70</definedName>
    <definedName name="object3_prijsdag1">'Ruimten werkdag'!$T$532</definedName>
    <definedName name="object3_prijsdag2">'Ruimten weekenddag'!$T$123</definedName>
    <definedName name="object3_prijsdag3">'Ruimten feestdag'!$T$125</definedName>
    <definedName name="object3_prijsjaar1">'Ruimten werkdag'!$V$532</definedName>
    <definedName name="object3_prijsjaar2">'Ruimten weekenddag'!$V$123</definedName>
    <definedName name="object3_prijsjaar3">'Ruimten feestdag'!$V$125</definedName>
    <definedName name="object3_urendag1">'Ruimten werkdag'!$R$532</definedName>
    <definedName name="object3_urendag2">'Ruimten weekenddag'!$R$123</definedName>
    <definedName name="object3_urendag3">'Ruimten feestdag'!$R$125</definedName>
    <definedName name="object3_urendaghf1">'Ruimten werkdag'!$S$532</definedName>
    <definedName name="object3_urendaghf2">'Ruimten weekenddag'!$S$123</definedName>
    <definedName name="object3_urendaghf3">'Ruimten feestdag'!$S$125</definedName>
    <definedName name="object3_urenjaar1">'Ruimten werkdag'!$U$532</definedName>
    <definedName name="object3_urenjaar2">'Ruimten weekenddag'!$U$123</definedName>
    <definedName name="object3_urenjaar3">'Ruimten feestdag'!$U$125</definedName>
    <definedName name="objectprijs1_1">Objecten!$L$6</definedName>
    <definedName name="objectprijs2_1">Objecten!$L$7</definedName>
    <definedName name="objectprijs2_2">Objecten!$L$13</definedName>
    <definedName name="objectprijs2_3">Objecten!$L$19</definedName>
    <definedName name="objectprijs3_1">Objecten!$L$8</definedName>
    <definedName name="objectprijs3_2">Objecten!$L$14</definedName>
    <definedName name="objectprijs3_3">Objecten!$L$20</definedName>
    <definedName name="objecturen1_1">Objecten!$K$6</definedName>
    <definedName name="objecturen2_1">Objecten!$K$7</definedName>
    <definedName name="objecturen2_2">Objecten!$K$13</definedName>
    <definedName name="objecturen2_3">Objecten!$K$19</definedName>
    <definedName name="objecturen3_1">Objecten!$K$8</definedName>
    <definedName name="objecturen3_2">Objecten!$K$14</definedName>
    <definedName name="objecturen3_3">Objecten!$K$20</definedName>
    <definedName name="objecturenhf1_1">Objecten!$J$6</definedName>
    <definedName name="objecturenhf2_1">Objecten!$J$7</definedName>
    <definedName name="objecturenhf2_2">Objecten!$J$13</definedName>
    <definedName name="objecturenhf2_3">Objecten!$J$19</definedName>
    <definedName name="objecturenhf3_1">Objecten!$J$8</definedName>
    <definedName name="objecturenhf3_2">Objecten!$J$14</definedName>
    <definedName name="objecturenhf3_3">Objecten!$J$20</definedName>
    <definedName name="prijsdag1">'Regulier werk'!$L$44</definedName>
    <definedName name="prijsdag2">'Regulier werk'!$L$62</definedName>
    <definedName name="prijsdag3">'Regulier werk'!$L$80</definedName>
    <definedName name="prijsjaar">'Regulier werk'!$N$85</definedName>
    <definedName name="prijsjaar1">'Regulier werk'!$N$44</definedName>
    <definedName name="prijsjaar2">'Regulier werk'!$N$62</definedName>
    <definedName name="prijsjaar3">'Regulier werk'!$N$80</definedName>
    <definedName name="prijsjaarregie">Regiewerk!$K$12</definedName>
    <definedName name="prijsjaarregie1">Regiewerk!$K$10</definedName>
    <definedName name="prijsjaartotaal">Objecten!$L$24</definedName>
    <definedName name="prijsjaartotaal1">Objecten!$L$9</definedName>
    <definedName name="prijsjaartotaal2">Objecten!$L$15</definedName>
    <definedName name="prijsjaartotaal3">Objecten!$L$21</definedName>
    <definedName name="prijsjaartotaaloverzicht">'Totaalblad Objecten'!$B$15</definedName>
    <definedName name="prijsmaandtotaal1">Objecten!$M$9</definedName>
    <definedName name="prijsmaandtotaal2">Objecten!$M$15</definedName>
    <definedName name="prijsmaandtotaal3">Objecten!$M$21</definedName>
    <definedName name="prodnorm0">Regiewerk!$H$9</definedName>
    <definedName name="prodnorm1">'Regulier werk'!$G$42</definedName>
    <definedName name="prodnorm10">'Regulier werk'!$G$13</definedName>
    <definedName name="prodnorm11">'Regulier werk'!$G$14</definedName>
    <definedName name="prodnorm12">'Regulier werk'!$G$15</definedName>
    <definedName name="prodnorm13">'Regulier werk'!$G$16</definedName>
    <definedName name="prodnorm14">'Regulier werk'!$G$17</definedName>
    <definedName name="prodnorm15">'Regulier werk'!$G$18</definedName>
    <definedName name="prodnorm16">'Regulier werk'!$G$19</definedName>
    <definedName name="prodnorm17">'Regulier werk'!$G$20</definedName>
    <definedName name="prodnorm18">'Regulier werk'!$G$21</definedName>
    <definedName name="prodnorm19">'Regulier werk'!$G$22</definedName>
    <definedName name="prodnorm2">'Regulier werk'!$G$43</definedName>
    <definedName name="prodnorm20">'Regulier werk'!$G$23</definedName>
    <definedName name="prodnorm21">'Regulier werk'!$G$24</definedName>
    <definedName name="prodnorm22">'Regulier werk'!$G$25</definedName>
    <definedName name="prodnorm23">'Regulier werk'!$G$26</definedName>
    <definedName name="prodnorm24">'Regulier werk'!$G$27</definedName>
    <definedName name="prodnorm25">'Regulier werk'!$G$28</definedName>
    <definedName name="prodnorm26">'Regulier werk'!$G$29</definedName>
    <definedName name="prodnorm27">'Regulier werk'!$G$30</definedName>
    <definedName name="prodnorm28">'Regulier werk'!$G$31</definedName>
    <definedName name="prodnorm29">'Regulier werk'!$G$32</definedName>
    <definedName name="prodnorm3">'Regulier werk'!$G$6</definedName>
    <definedName name="prodnorm30">'Regulier werk'!$G$33</definedName>
    <definedName name="prodnorm31">'Regulier werk'!$G$34</definedName>
    <definedName name="prodnorm32">'Regulier werk'!$G$35</definedName>
    <definedName name="prodnorm33">'Regulier werk'!$G$36</definedName>
    <definedName name="prodnorm34">'Regulier werk'!$G$37</definedName>
    <definedName name="prodnorm35">'Regulier werk'!$G$38</definedName>
    <definedName name="prodnorm36">'Regulier werk'!$G$39</definedName>
    <definedName name="prodnorm37">'Regulier werk'!$G$40</definedName>
    <definedName name="prodnorm38">'Regulier werk'!$G$41</definedName>
    <definedName name="prodnorm39">'Regulier werk'!$G$61</definedName>
    <definedName name="prodnorm4">'Regulier werk'!$G$7</definedName>
    <definedName name="prodnorm40">'Regulier werk'!$G$50</definedName>
    <definedName name="prodnorm41">'Regulier werk'!$G$51</definedName>
    <definedName name="prodnorm42">'Regulier werk'!$G$52</definedName>
    <definedName name="prodnorm43">'Regulier werk'!$G$53</definedName>
    <definedName name="prodnorm44">'Regulier werk'!$G$54</definedName>
    <definedName name="prodnorm45">'Regulier werk'!$G$55</definedName>
    <definedName name="prodnorm46">'Regulier werk'!$G$56</definedName>
    <definedName name="prodnorm47">'Regulier werk'!$G$57</definedName>
    <definedName name="prodnorm48">'Regulier werk'!$G$58</definedName>
    <definedName name="prodnorm49">'Regulier werk'!$G$59</definedName>
    <definedName name="prodnorm5">'Regulier werk'!$G$8</definedName>
    <definedName name="prodnorm50">'Regulier werk'!$G$60</definedName>
    <definedName name="prodnorm51">'Regulier werk'!$G$79</definedName>
    <definedName name="prodnorm52">'Regulier werk'!$G$68</definedName>
    <definedName name="prodnorm53">'Regulier werk'!$G$69</definedName>
    <definedName name="prodnorm54">'Regulier werk'!$G$70</definedName>
    <definedName name="prodnorm55">'Regulier werk'!$G$71</definedName>
    <definedName name="prodnorm56">'Regulier werk'!$G$72</definedName>
    <definedName name="prodnorm57">'Regulier werk'!$G$73</definedName>
    <definedName name="prodnorm58">'Regulier werk'!$G$74</definedName>
    <definedName name="prodnorm59">'Regulier werk'!$G$75</definedName>
    <definedName name="prodnorm6">'Regulier werk'!$G$9</definedName>
    <definedName name="prodnorm60">'Regulier werk'!$G$76</definedName>
    <definedName name="prodnorm61">'Regulier werk'!$G$77</definedName>
    <definedName name="prodnorm62">'Regulier werk'!$G$78</definedName>
    <definedName name="prodnorm7">'Regulier werk'!$G$10</definedName>
    <definedName name="prodnorm8">'Regulier werk'!$G$11</definedName>
    <definedName name="prodnorm9">'Regulier werk'!$G$12</definedName>
    <definedName name="taakfreqtabel1">Objectinformatie!$E$5:$E$42</definedName>
    <definedName name="taakfreqtabel2">Objectinformatie!$E$45:$E$56</definedName>
    <definedName name="taakfreqtabel3">Objectinformatie!$E$59:$E$70</definedName>
    <definedName name="tabeltype">Omreken!$B$5:$B$5</definedName>
    <definedName name="Tariefopbouw1">Tariefopbouw!$B$54</definedName>
    <definedName name="Tariefopbouw2">Tariefopbouw!$B$62</definedName>
    <definedName name="Tariefopbouw3">Tariefopbouw!$D$62</definedName>
    <definedName name="Tariefopbouw4">Tariefopbouw!$F$62</definedName>
    <definedName name="Tariefopbouw5">Tariefopbouw!$H$62</definedName>
    <definedName name="Tariefopbouw6">Tariefopbouw!$D$54</definedName>
    <definedName name="Tariefopbouw7">Tariefopbouw!$F$54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Basisloon9">Tariefopbouw!$R$9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DirecteKosten9">Tariefopbouw!$R$26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Ervaring9">Tariefopbouw!$R$6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IndirecteKosten9">Tariefopbouw!$R$35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Naam9">Tariefopbouw!$R$5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9">Tariefopbouw!$S$37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RisicoWinstPercentage9">Tariefopbouw!$R$37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arief9">Tariefopbouw!$R$39</definedName>
    <definedName name="TariefOpbouwTarief9DN">Tariefopbouw!$S$41</definedName>
    <definedName name="TariefOpbouwTarief9W">Tariefopbouw!$S$42</definedName>
    <definedName name="TariefOpbouwTarief9X">Tariefopbouw!$S$43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TotaalLoonkosten9">Tariefopbouw!$R$19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9">Tariefopbouw!$R$12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OpbouwUurloonkosten9">Tariefopbouw!$R$14</definedName>
    <definedName name="tarieftabel1">Objectinformatie!$I$5:$I$42</definedName>
    <definedName name="tarieftabel2">Objectinformatie!$I$45:$I$56</definedName>
    <definedName name="tarieftabel3">Objectinformatie!$I$59:$I$70</definedName>
    <definedName name="TariefUitvoering1">Tariefopbouw!$C$51</definedName>
    <definedName name="TariefUitvoering2">Tariefopbouw!$C$60</definedName>
    <definedName name="TariefUitvoering3">Tariefopbouw!$E$60</definedName>
    <definedName name="TariefUitvoering4">Tariefopbouw!$G$60</definedName>
    <definedName name="TariefUitvoering5">Tariefopbouw!$I$60</definedName>
    <definedName name="TariefUitvoering6">Tariefopbouw!$E$51</definedName>
    <definedName name="TariefUitvoering7">Tariefopbouw!$G$51</definedName>
    <definedName name="urendag1">'Regulier werk'!$K$44</definedName>
    <definedName name="urendag2">'Regulier werk'!$K$62</definedName>
    <definedName name="urendag3">'Regulier werk'!$K$80</definedName>
    <definedName name="urenjaar">'Regulier werk'!$M$85</definedName>
    <definedName name="urenjaar1">'Regulier werk'!$M$44</definedName>
    <definedName name="urenjaar2">'Regulier werk'!$M$62</definedName>
    <definedName name="urenjaar3">'Regulier werk'!$M$80</definedName>
    <definedName name="urenjaartotaal">Objecten!$K$24</definedName>
    <definedName name="urenjaartotaal1">Objecten!$K$9</definedName>
    <definedName name="urenjaartotaal2">Objecten!$K$15</definedName>
    <definedName name="urenjaartotaal3">Objecten!$K$21</definedName>
    <definedName name="urenjaartotaalhf">Objecten!$J$24</definedName>
    <definedName name="urenjaartotaalhf1">Objecten!$J$9</definedName>
    <definedName name="urenjaartotaalhf2">Objecten!$J$15</definedName>
    <definedName name="urenjaartotaalhf3">Objecten!$J$21</definedName>
    <definedName name="urenjaartotaaloverzicht">'Totaalblad Objecten'!$B$13</definedName>
    <definedName name="urenjaartotaaloverzichthf">'Totaalblad Objecten'!$B$9</definedName>
    <definedName name="uurfactortabel1">Objectinformatie!$F$5:$F$42</definedName>
    <definedName name="uurfactortabel2">Objectinformatie!$F$45:$F$56</definedName>
    <definedName name="uurfactortabel3">Objectinformatie!$F$59:$F$70</definedName>
    <definedName name="uurtarief0">Regiewerk!$I$9</definedName>
    <definedName name="uurtarief1">'Regulier werk'!$J$42</definedName>
    <definedName name="uurtarief10">'Regulier werk'!$J$13</definedName>
    <definedName name="uurtarief11">'Regulier werk'!$J$14</definedName>
    <definedName name="uurtarief12">'Regulier werk'!$J$15</definedName>
    <definedName name="uurtarief13">'Regulier werk'!$J$16</definedName>
    <definedName name="uurtarief14">'Regulier werk'!$J$17</definedName>
    <definedName name="uurtarief15">'Regulier werk'!$J$18</definedName>
    <definedName name="uurtarief16">'Regulier werk'!$J$19</definedName>
    <definedName name="uurtarief17">'Regulier werk'!$J$20</definedName>
    <definedName name="uurtarief18">'Regulier werk'!$J$21</definedName>
    <definedName name="uurtarief19">'Regulier werk'!$J$22</definedName>
    <definedName name="uurtarief2">'Regulier werk'!$J$43</definedName>
    <definedName name="uurtarief20">'Regulier werk'!$J$23</definedName>
    <definedName name="uurtarief21">'Regulier werk'!$J$24</definedName>
    <definedName name="uurtarief22">'Regulier werk'!$J$25</definedName>
    <definedName name="uurtarief23">'Regulier werk'!$J$26</definedName>
    <definedName name="uurtarief24">'Regulier werk'!$J$27</definedName>
    <definedName name="uurtarief25">'Regulier werk'!$J$28</definedName>
    <definedName name="uurtarief26">'Regulier werk'!$J$29</definedName>
    <definedName name="uurtarief27">'Regulier werk'!$J$30</definedName>
    <definedName name="uurtarief28">'Regulier werk'!$J$31</definedName>
    <definedName name="uurtarief29">'Regulier werk'!$J$32</definedName>
    <definedName name="uurtarief3">'Regulier werk'!$J$6</definedName>
    <definedName name="uurtarief30">'Regulier werk'!$J$33</definedName>
    <definedName name="uurtarief31">'Regulier werk'!$J$34</definedName>
    <definedName name="uurtarief32">'Regulier werk'!$J$35</definedName>
    <definedName name="uurtarief33">'Regulier werk'!$J$36</definedName>
    <definedName name="uurtarief34">'Regulier werk'!$J$37</definedName>
    <definedName name="uurtarief35">'Regulier werk'!$J$38</definedName>
    <definedName name="uurtarief36">'Regulier werk'!$J$39</definedName>
    <definedName name="uurtarief37">'Regulier werk'!$J$40</definedName>
    <definedName name="uurtarief38">'Regulier werk'!$J$41</definedName>
    <definedName name="uurtarief39">'Regulier werk'!$J$61</definedName>
    <definedName name="uurtarief4">'Regulier werk'!$J$7</definedName>
    <definedName name="uurtarief40">'Regulier werk'!$J$50</definedName>
    <definedName name="uurtarief41">'Regulier werk'!$J$51</definedName>
    <definedName name="uurtarief42">'Regulier werk'!$J$52</definedName>
    <definedName name="uurtarief43">'Regulier werk'!$J$53</definedName>
    <definedName name="uurtarief44">'Regulier werk'!$J$54</definedName>
    <definedName name="uurtarief45">'Regulier werk'!$J$55</definedName>
    <definedName name="uurtarief46">'Regulier werk'!$J$56</definedName>
    <definedName name="uurtarief47">'Regulier werk'!$J$57</definedName>
    <definedName name="uurtarief48">'Regulier werk'!$J$58</definedName>
    <definedName name="uurtarief49">'Regulier werk'!$J$59</definedName>
    <definedName name="uurtarief5">'Regulier werk'!$J$8</definedName>
    <definedName name="uurtarief50">'Regulier werk'!$J$60</definedName>
    <definedName name="uurtarief51">'Regulier werk'!$J$79</definedName>
    <definedName name="uurtarief52">'Regulier werk'!$J$68</definedName>
    <definedName name="uurtarief53">'Regulier werk'!$J$69</definedName>
    <definedName name="uurtarief54">'Regulier werk'!$J$70</definedName>
    <definedName name="uurtarief55">'Regulier werk'!$J$71</definedName>
    <definedName name="uurtarief56">'Regulier werk'!$J$72</definedName>
    <definedName name="uurtarief57">'Regulier werk'!$J$73</definedName>
    <definedName name="uurtarief58">'Regulier werk'!$J$74</definedName>
    <definedName name="uurtarief59">'Regulier werk'!$J$75</definedName>
    <definedName name="uurtarief6">'Regulier werk'!$J$9</definedName>
    <definedName name="uurtarief60">'Regulier werk'!$J$76</definedName>
    <definedName name="uurtarief61">'Regulier werk'!$J$77</definedName>
    <definedName name="uurtarief62">'Regulier werk'!$J$78</definedName>
    <definedName name="uurtarief7">'Regulier werk'!$J$10</definedName>
    <definedName name="uurtarief8">'Regulier werk'!$J$11</definedName>
    <definedName name="uurtarief9">'Regulier werk'!$J$12</definedName>
    <definedName name="vp_regie">Totaal!$D$5</definedName>
    <definedName name="vp_regulier">Totaal!$D$4</definedName>
    <definedName name="vp_variant">Totaal!$D$10</definedName>
    <definedName name="vu_regulier">Totaal!$B$4</definedName>
    <definedName name="vu_variant">Totaal!$B$7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3" l="1"/>
  <c r="A1" i="12"/>
  <c r="A1" i="11"/>
  <c r="B7" i="10"/>
  <c r="A1" i="10"/>
  <c r="A1" i="9"/>
  <c r="H70" i="8"/>
  <c r="H56" i="8"/>
  <c r="H42" i="8"/>
  <c r="H41" i="8"/>
  <c r="O5" i="7"/>
  <c r="A1" i="7"/>
  <c r="O5" i="6"/>
  <c r="A1" i="6"/>
  <c r="O302" i="5"/>
  <c r="O90" i="5"/>
  <c r="A1" i="5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J41" i="4"/>
  <c r="H41" i="4"/>
  <c r="G41" i="4"/>
  <c r="J40" i="4"/>
  <c r="H40" i="4"/>
  <c r="G40" i="4"/>
  <c r="H39" i="4"/>
  <c r="G39" i="4"/>
  <c r="J38" i="4"/>
  <c r="H38" i="4"/>
  <c r="G38" i="4"/>
  <c r="H37" i="4"/>
  <c r="G37" i="4"/>
  <c r="J36" i="4"/>
  <c r="H36" i="4"/>
  <c r="G36" i="4"/>
  <c r="J35" i="4"/>
  <c r="H35" i="4"/>
  <c r="G35" i="4"/>
  <c r="J34" i="4"/>
  <c r="H34" i="4"/>
  <c r="G34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J27" i="4"/>
  <c r="H27" i="4"/>
  <c r="G27" i="4"/>
  <c r="H26" i="4"/>
  <c r="G26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H19" i="4"/>
  <c r="G19" i="4"/>
  <c r="J18" i="4"/>
  <c r="H18" i="4"/>
  <c r="G18" i="4"/>
  <c r="J17" i="4"/>
  <c r="H17" i="4"/>
  <c r="G17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61" i="2"/>
  <c r="H60" i="2"/>
  <c r="F60" i="2"/>
  <c r="D60" i="2"/>
  <c r="B60" i="2"/>
  <c r="A59" i="2"/>
  <c r="A58" i="2"/>
  <c r="A53" i="2"/>
  <c r="A52" i="2"/>
  <c r="F51" i="2"/>
  <c r="D51" i="2"/>
  <c r="B51" i="2"/>
  <c r="A50" i="2"/>
  <c r="A49" i="2"/>
  <c r="A48" i="2"/>
  <c r="A47" i="2"/>
  <c r="R9" i="2"/>
  <c r="P9" i="2"/>
  <c r="N9" i="2"/>
  <c r="L9" i="2"/>
  <c r="J9" i="2"/>
  <c r="H9" i="2"/>
  <c r="F9" i="2"/>
  <c r="D9" i="2"/>
  <c r="B9" i="2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E16" i="1"/>
  <c r="E15" i="1"/>
  <c r="E14" i="1"/>
  <c r="E13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O23" i="7" l="1"/>
  <c r="H69" i="8"/>
  <c r="O31" i="7"/>
  <c r="O22" i="7"/>
  <c r="O46" i="7"/>
  <c r="O61" i="7"/>
  <c r="O29" i="7"/>
  <c r="N31" i="7"/>
  <c r="N23" i="7"/>
  <c r="G69" i="8"/>
  <c r="N22" i="7"/>
  <c r="N61" i="7"/>
  <c r="N46" i="7"/>
  <c r="K78" i="4"/>
  <c r="M78" i="4" s="1"/>
  <c r="N29" i="7"/>
  <c r="O15" i="7"/>
  <c r="H68" i="8"/>
  <c r="N15" i="7"/>
  <c r="G68" i="8"/>
  <c r="K77" i="4"/>
  <c r="M77" i="4" s="1"/>
  <c r="O21" i="7"/>
  <c r="O47" i="7"/>
  <c r="H67" i="8"/>
  <c r="N21" i="7"/>
  <c r="G67" i="8"/>
  <c r="K76" i="4"/>
  <c r="M76" i="4" s="1"/>
  <c r="N47" i="7"/>
  <c r="H66" i="8"/>
  <c r="O25" i="7"/>
  <c r="K75" i="4"/>
  <c r="M75" i="4" s="1"/>
  <c r="G66" i="8"/>
  <c r="N25" i="7"/>
  <c r="O34" i="7"/>
  <c r="O26" i="7"/>
  <c r="O83" i="7"/>
  <c r="O8" i="7"/>
  <c r="H65" i="8"/>
  <c r="O30" i="7"/>
  <c r="O103" i="7"/>
  <c r="O16" i="7"/>
  <c r="O6" i="7"/>
  <c r="O24" i="7"/>
  <c r="O7" i="7"/>
  <c r="O18" i="7"/>
  <c r="O41" i="7"/>
  <c r="O104" i="7"/>
  <c r="O63" i="7"/>
  <c r="G65" i="8"/>
  <c r="N16" i="7"/>
  <c r="N6" i="7"/>
  <c r="N7" i="7"/>
  <c r="N18" i="7"/>
  <c r="N30" i="7"/>
  <c r="N41" i="7"/>
  <c r="N26" i="7"/>
  <c r="N103" i="7"/>
  <c r="K74" i="4"/>
  <c r="M74" i="4" s="1"/>
  <c r="N104" i="7"/>
  <c r="N8" i="7"/>
  <c r="N24" i="7"/>
  <c r="N34" i="7"/>
  <c r="N63" i="7"/>
  <c r="N83" i="7"/>
  <c r="O33" i="7"/>
  <c r="O122" i="7"/>
  <c r="O14" i="7"/>
  <c r="O124" i="7"/>
  <c r="O28" i="7"/>
  <c r="O10" i="7"/>
  <c r="H64" i="8"/>
  <c r="O12" i="7"/>
  <c r="O66" i="7"/>
  <c r="O85" i="7"/>
  <c r="O68" i="7"/>
  <c r="N14" i="7"/>
  <c r="K73" i="4"/>
  <c r="M73" i="4" s="1"/>
  <c r="N124" i="7"/>
  <c r="N122" i="7"/>
  <c r="N33" i="7"/>
  <c r="G64" i="8"/>
  <c r="N85" i="7"/>
  <c r="N68" i="7"/>
  <c r="N66" i="7"/>
  <c r="N10" i="7"/>
  <c r="N28" i="7"/>
  <c r="N12" i="7"/>
  <c r="O84" i="7"/>
  <c r="O121" i="7"/>
  <c r="H63" i="8"/>
  <c r="O11" i="7"/>
  <c r="O32" i="7"/>
  <c r="O65" i="7"/>
  <c r="O123" i="7"/>
  <c r="O27" i="7"/>
  <c r="O9" i="7"/>
  <c r="O67" i="7"/>
  <c r="O13" i="7"/>
  <c r="N32" i="7"/>
  <c r="N123" i="7"/>
  <c r="K72" i="4"/>
  <c r="M72" i="4" s="1"/>
  <c r="N67" i="7"/>
  <c r="N13" i="7"/>
  <c r="G63" i="8"/>
  <c r="N65" i="7"/>
  <c r="N27" i="7"/>
  <c r="N9" i="7"/>
  <c r="N84" i="7"/>
  <c r="N11" i="7"/>
  <c r="N121" i="7"/>
  <c r="H62" i="8"/>
  <c r="O45" i="7"/>
  <c r="O44" i="7"/>
  <c r="K71" i="4"/>
  <c r="M71" i="4" s="1"/>
  <c r="N44" i="7"/>
  <c r="G62" i="8"/>
  <c r="N45" i="7"/>
  <c r="O82" i="7"/>
  <c r="O105" i="7"/>
  <c r="O81" i="7"/>
  <c r="O102" i="7"/>
  <c r="H61" i="8"/>
  <c r="O101" i="7"/>
  <c r="O100" i="7"/>
  <c r="O99" i="7"/>
  <c r="O80" i="7"/>
  <c r="O98" i="7"/>
  <c r="O97" i="7"/>
  <c r="O96" i="7"/>
  <c r="O19" i="7"/>
  <c r="O79" i="7"/>
  <c r="O95" i="7"/>
  <c r="O94" i="7"/>
  <c r="O93" i="7"/>
  <c r="O92" i="7"/>
  <c r="O91" i="7"/>
  <c r="O90" i="7"/>
  <c r="O17" i="7"/>
  <c r="O89" i="7"/>
  <c r="O20" i="7"/>
  <c r="O78" i="7"/>
  <c r="O77" i="7"/>
  <c r="O76" i="7"/>
  <c r="O75" i="7"/>
  <c r="O74" i="7"/>
  <c r="O73" i="7"/>
  <c r="O72" i="7"/>
  <c r="O71" i="7"/>
  <c r="O70" i="7"/>
  <c r="O69" i="7"/>
  <c r="O64" i="7"/>
  <c r="O62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112" i="7"/>
  <c r="O40" i="7"/>
  <c r="O39" i="7"/>
  <c r="O38" i="7"/>
  <c r="O37" i="7"/>
  <c r="O36" i="7"/>
  <c r="O35" i="7"/>
  <c r="O120" i="7"/>
  <c r="O119" i="7"/>
  <c r="O118" i="7"/>
  <c r="O117" i="7"/>
  <c r="O116" i="7"/>
  <c r="O115" i="7"/>
  <c r="O114" i="7"/>
  <c r="O113" i="7"/>
  <c r="O111" i="7"/>
  <c r="O110" i="7"/>
  <c r="O109" i="7"/>
  <c r="O108" i="7"/>
  <c r="O107" i="7"/>
  <c r="O106" i="7"/>
  <c r="N82" i="7"/>
  <c r="N81" i="7"/>
  <c r="G61" i="8"/>
  <c r="N54" i="7"/>
  <c r="N39" i="7"/>
  <c r="N91" i="7"/>
  <c r="N70" i="7"/>
  <c r="N80" i="7"/>
  <c r="N108" i="7"/>
  <c r="N107" i="7"/>
  <c r="N38" i="7"/>
  <c r="N79" i="7"/>
  <c r="N106" i="7"/>
  <c r="N71" i="7"/>
  <c r="N105" i="7"/>
  <c r="N72" i="7"/>
  <c r="N73" i="7"/>
  <c r="N74" i="7"/>
  <c r="N109" i="7"/>
  <c r="N102" i="7"/>
  <c r="N75" i="7"/>
  <c r="N37" i="7"/>
  <c r="N55" i="7"/>
  <c r="N101" i="7"/>
  <c r="K70" i="4"/>
  <c r="M70" i="4" s="1"/>
  <c r="N56" i="7"/>
  <c r="N100" i="7"/>
  <c r="N57" i="7"/>
  <c r="N76" i="7"/>
  <c r="N58" i="7"/>
  <c r="N59" i="7"/>
  <c r="N49" i="7"/>
  <c r="N99" i="7"/>
  <c r="N60" i="7"/>
  <c r="N36" i="7"/>
  <c r="N62" i="7"/>
  <c r="N98" i="7"/>
  <c r="N20" i="7"/>
  <c r="N97" i="7"/>
  <c r="N120" i="7"/>
  <c r="N96" i="7"/>
  <c r="N50" i="7"/>
  <c r="N119" i="7"/>
  <c r="N64" i="7"/>
  <c r="N35" i="7"/>
  <c r="N118" i="7"/>
  <c r="N95" i="7"/>
  <c r="N19" i="7"/>
  <c r="N117" i="7"/>
  <c r="N94" i="7"/>
  <c r="N51" i="7"/>
  <c r="N116" i="7"/>
  <c r="N52" i="7"/>
  <c r="N93" i="7"/>
  <c r="N115" i="7"/>
  <c r="N77" i="7"/>
  <c r="N92" i="7"/>
  <c r="N114" i="7"/>
  <c r="N78" i="7"/>
  <c r="N40" i="7"/>
  <c r="N113" i="7"/>
  <c r="N53" i="7"/>
  <c r="N90" i="7"/>
  <c r="N112" i="7"/>
  <c r="N69" i="7"/>
  <c r="N89" i="7"/>
  <c r="N111" i="7"/>
  <c r="N17" i="7"/>
  <c r="N48" i="7"/>
  <c r="N110" i="7"/>
  <c r="H60" i="8"/>
  <c r="O86" i="7"/>
  <c r="O87" i="7"/>
  <c r="G60" i="8"/>
  <c r="N86" i="7"/>
  <c r="N87" i="7"/>
  <c r="K69" i="4"/>
  <c r="M69" i="4" s="1"/>
  <c r="H59" i="8"/>
  <c r="O88" i="7"/>
  <c r="G59" i="8"/>
  <c r="N88" i="7"/>
  <c r="K68" i="4"/>
  <c r="H55" i="8"/>
  <c r="O22" i="6"/>
  <c r="O59" i="6"/>
  <c r="O30" i="6"/>
  <c r="O23" i="6"/>
  <c r="O44" i="6"/>
  <c r="O28" i="6"/>
  <c r="N30" i="6"/>
  <c r="N22" i="6"/>
  <c r="G55" i="8"/>
  <c r="N44" i="6"/>
  <c r="N23" i="6"/>
  <c r="N28" i="6"/>
  <c r="N59" i="6"/>
  <c r="K60" i="4"/>
  <c r="M60" i="4" s="1"/>
  <c r="H54" i="8"/>
  <c r="O15" i="6"/>
  <c r="G54" i="8"/>
  <c r="N15" i="6"/>
  <c r="K59" i="4"/>
  <c r="M59" i="4" s="1"/>
  <c r="H53" i="8"/>
  <c r="O45" i="6"/>
  <c r="O21" i="6"/>
  <c r="G53" i="8"/>
  <c r="K58" i="4"/>
  <c r="M58" i="4" s="1"/>
  <c r="N21" i="6"/>
  <c r="N45" i="6"/>
  <c r="H52" i="8"/>
  <c r="O25" i="6"/>
  <c r="G52" i="8"/>
  <c r="K57" i="4"/>
  <c r="M57" i="4" s="1"/>
  <c r="N25" i="6"/>
  <c r="O7" i="6"/>
  <c r="O81" i="6"/>
  <c r="O18" i="6"/>
  <c r="H51" i="8"/>
  <c r="O26" i="6"/>
  <c r="O8" i="6"/>
  <c r="O102" i="6"/>
  <c r="O32" i="6"/>
  <c r="O29" i="6"/>
  <c r="O6" i="6"/>
  <c r="O61" i="6"/>
  <c r="O101" i="6"/>
  <c r="O39" i="6"/>
  <c r="O16" i="6"/>
  <c r="O24" i="6"/>
  <c r="N101" i="6"/>
  <c r="N7" i="6"/>
  <c r="N16" i="6"/>
  <c r="N102" i="6"/>
  <c r="N29" i="6"/>
  <c r="N18" i="6"/>
  <c r="N26" i="6"/>
  <c r="N6" i="6"/>
  <c r="N8" i="6"/>
  <c r="N61" i="6"/>
  <c r="N81" i="6"/>
  <c r="K56" i="4"/>
  <c r="M56" i="4" s="1"/>
  <c r="N39" i="6"/>
  <c r="G51" i="8"/>
  <c r="N32" i="6"/>
  <c r="N24" i="6"/>
  <c r="H50" i="8"/>
  <c r="O14" i="6"/>
  <c r="O12" i="6"/>
  <c r="O10" i="6"/>
  <c r="O83" i="6"/>
  <c r="O122" i="6"/>
  <c r="O120" i="6"/>
  <c r="O66" i="6"/>
  <c r="O64" i="6"/>
  <c r="N12" i="6"/>
  <c r="N14" i="6"/>
  <c r="N64" i="6"/>
  <c r="N10" i="6"/>
  <c r="K55" i="4"/>
  <c r="M55" i="4" s="1"/>
  <c r="N83" i="6"/>
  <c r="G50" i="8"/>
  <c r="N66" i="6"/>
  <c r="N120" i="6"/>
  <c r="N122" i="6"/>
  <c r="O63" i="6"/>
  <c r="H49" i="8"/>
  <c r="O9" i="6"/>
  <c r="O65" i="6"/>
  <c r="O82" i="6"/>
  <c r="O13" i="6"/>
  <c r="O11" i="6"/>
  <c r="O119" i="6"/>
  <c r="O27" i="6"/>
  <c r="O121" i="6"/>
  <c r="O31" i="6"/>
  <c r="N9" i="6"/>
  <c r="N63" i="6"/>
  <c r="N119" i="6"/>
  <c r="N65" i="6"/>
  <c r="N27" i="6"/>
  <c r="N11" i="6"/>
  <c r="N82" i="6"/>
  <c r="N121" i="6"/>
  <c r="N13" i="6"/>
  <c r="N31" i="6"/>
  <c r="K54" i="4"/>
  <c r="M54" i="4" s="1"/>
  <c r="G49" i="8"/>
  <c r="O42" i="6"/>
  <c r="H48" i="8"/>
  <c r="O43" i="6"/>
  <c r="G48" i="8"/>
  <c r="K53" i="4"/>
  <c r="M53" i="4" s="1"/>
  <c r="N42" i="6"/>
  <c r="N43" i="6"/>
  <c r="O116" i="6"/>
  <c r="O115" i="6"/>
  <c r="O109" i="6"/>
  <c r="O114" i="6"/>
  <c r="O71" i="6"/>
  <c r="O99" i="6"/>
  <c r="O87" i="6"/>
  <c r="O107" i="6"/>
  <c r="O88" i="6"/>
  <c r="O68" i="6"/>
  <c r="O100" i="6"/>
  <c r="O58" i="6"/>
  <c r="O62" i="6"/>
  <c r="O90" i="6"/>
  <c r="O106" i="6"/>
  <c r="O91" i="6"/>
  <c r="O103" i="6"/>
  <c r="O92" i="6"/>
  <c r="O111" i="6"/>
  <c r="O79" i="6"/>
  <c r="O60" i="6"/>
  <c r="O93" i="6"/>
  <c r="O70" i="6"/>
  <c r="O108" i="6"/>
  <c r="O94" i="6"/>
  <c r="O104" i="6"/>
  <c r="O95" i="6"/>
  <c r="O49" i="6"/>
  <c r="O96" i="6"/>
  <c r="O105" i="6"/>
  <c r="O113" i="6"/>
  <c r="O17" i="6"/>
  <c r="O118" i="6"/>
  <c r="O57" i="6"/>
  <c r="O80" i="6"/>
  <c r="O19" i="6"/>
  <c r="O20" i="6"/>
  <c r="O50" i="6"/>
  <c r="O72" i="6"/>
  <c r="O69" i="6"/>
  <c r="O97" i="6"/>
  <c r="O56" i="6"/>
  <c r="O112" i="6"/>
  <c r="H47" i="8"/>
  <c r="O110" i="6"/>
  <c r="O89" i="6"/>
  <c r="O48" i="6"/>
  <c r="O55" i="6"/>
  <c r="O33" i="6"/>
  <c r="O34" i="6"/>
  <c r="O35" i="6"/>
  <c r="O54" i="6"/>
  <c r="O36" i="6"/>
  <c r="O53" i="6"/>
  <c r="O37" i="6"/>
  <c r="O38" i="6"/>
  <c r="O98" i="6"/>
  <c r="O117" i="6"/>
  <c r="O67" i="6"/>
  <c r="O52" i="6"/>
  <c r="O51" i="6"/>
  <c r="O46" i="6"/>
  <c r="O47" i="6"/>
  <c r="O78" i="6"/>
  <c r="O77" i="6"/>
  <c r="O76" i="6"/>
  <c r="O75" i="6"/>
  <c r="O74" i="6"/>
  <c r="O73" i="6"/>
  <c r="N117" i="6"/>
  <c r="N58" i="6"/>
  <c r="N50" i="6"/>
  <c r="N80" i="6"/>
  <c r="N118" i="6"/>
  <c r="N17" i="6"/>
  <c r="N70" i="6"/>
  <c r="N19" i="6"/>
  <c r="N69" i="6"/>
  <c r="K52" i="4"/>
  <c r="M52" i="4" s="1"/>
  <c r="G47" i="8"/>
  <c r="N68" i="6"/>
  <c r="N20" i="6"/>
  <c r="N67" i="6"/>
  <c r="N87" i="6"/>
  <c r="N88" i="6"/>
  <c r="N89" i="6"/>
  <c r="N57" i="6"/>
  <c r="N116" i="6"/>
  <c r="N90" i="6"/>
  <c r="N91" i="6"/>
  <c r="N92" i="6"/>
  <c r="N73" i="6"/>
  <c r="N93" i="6"/>
  <c r="N94" i="6"/>
  <c r="N56" i="6"/>
  <c r="N33" i="6"/>
  <c r="N95" i="6"/>
  <c r="N96" i="6"/>
  <c r="N55" i="6"/>
  <c r="N97" i="6"/>
  <c r="N34" i="6"/>
  <c r="N98" i="6"/>
  <c r="N35" i="6"/>
  <c r="N100" i="6"/>
  <c r="N103" i="6"/>
  <c r="N36" i="6"/>
  <c r="N104" i="6"/>
  <c r="N54" i="6"/>
  <c r="N49" i="6"/>
  <c r="N37" i="6"/>
  <c r="N105" i="6"/>
  <c r="N38" i="6"/>
  <c r="N106" i="6"/>
  <c r="N62" i="6"/>
  <c r="N99" i="6"/>
  <c r="N72" i="6"/>
  <c r="N107" i="6"/>
  <c r="N53" i="6"/>
  <c r="N108" i="6"/>
  <c r="N52" i="6"/>
  <c r="N109" i="6"/>
  <c r="N46" i="6"/>
  <c r="N79" i="6"/>
  <c r="N47" i="6"/>
  <c r="N110" i="6"/>
  <c r="N51" i="6"/>
  <c r="N48" i="6"/>
  <c r="N71" i="6"/>
  <c r="N60" i="6"/>
  <c r="N78" i="6"/>
  <c r="N111" i="6"/>
  <c r="N77" i="6"/>
  <c r="N112" i="6"/>
  <c r="N76" i="6"/>
  <c r="N113" i="6"/>
  <c r="N75" i="6"/>
  <c r="N114" i="6"/>
  <c r="N74" i="6"/>
  <c r="N115" i="6"/>
  <c r="O85" i="6"/>
  <c r="O84" i="6"/>
  <c r="H46" i="8"/>
  <c r="N85" i="6"/>
  <c r="N84" i="6"/>
  <c r="G46" i="8"/>
  <c r="K51" i="4"/>
  <c r="M51" i="4" s="1"/>
  <c r="H45" i="8"/>
  <c r="O86" i="6"/>
  <c r="N86" i="6"/>
  <c r="G45" i="8"/>
  <c r="K50" i="4"/>
  <c r="Q331" i="5"/>
  <c r="Q211" i="5"/>
  <c r="I40" i="8"/>
  <c r="Q11" i="5"/>
  <c r="Q383" i="5"/>
  <c r="Q176" i="5"/>
  <c r="Q47" i="5"/>
  <c r="Q64" i="5"/>
  <c r="Q206" i="5"/>
  <c r="Q180" i="5"/>
  <c r="O11" i="5"/>
  <c r="O331" i="5"/>
  <c r="O47" i="5"/>
  <c r="O64" i="5"/>
  <c r="O180" i="5"/>
  <c r="O176" i="5"/>
  <c r="O206" i="5"/>
  <c r="O211" i="5"/>
  <c r="H40" i="8"/>
  <c r="O383" i="5"/>
  <c r="N64" i="5"/>
  <c r="N11" i="5"/>
  <c r="K41" i="4"/>
  <c r="N176" i="5"/>
  <c r="N331" i="5"/>
  <c r="N383" i="5"/>
  <c r="N180" i="5"/>
  <c r="N47" i="5"/>
  <c r="N211" i="5"/>
  <c r="N206" i="5"/>
  <c r="G40" i="8"/>
  <c r="Q251" i="5"/>
  <c r="Q184" i="5"/>
  <c r="Q131" i="5"/>
  <c r="Q172" i="5"/>
  <c r="Q199" i="5"/>
  <c r="Q159" i="5"/>
  <c r="Q245" i="5"/>
  <c r="Q261" i="5"/>
  <c r="Q93" i="5"/>
  <c r="Q277" i="5"/>
  <c r="I39" i="8"/>
  <c r="Q228" i="5"/>
  <c r="Q113" i="5"/>
  <c r="Q263" i="5"/>
  <c r="Q214" i="5"/>
  <c r="O172" i="5"/>
  <c r="O214" i="5"/>
  <c r="O228" i="5"/>
  <c r="O251" i="5"/>
  <c r="O184" i="5"/>
  <c r="O199" i="5"/>
  <c r="O159" i="5"/>
  <c r="O131" i="5"/>
  <c r="O113" i="5"/>
  <c r="H39" i="8"/>
  <c r="O277" i="5"/>
  <c r="O93" i="5"/>
  <c r="O245" i="5"/>
  <c r="O263" i="5"/>
  <c r="O261" i="5"/>
  <c r="N159" i="5"/>
  <c r="N113" i="5"/>
  <c r="N131" i="5"/>
  <c r="N214" i="5"/>
  <c r="N172" i="5"/>
  <c r="N199" i="5"/>
  <c r="K40" i="4"/>
  <c r="N245" i="5"/>
  <c r="N93" i="5"/>
  <c r="N277" i="5"/>
  <c r="G39" i="8"/>
  <c r="N184" i="5"/>
  <c r="N251" i="5"/>
  <c r="N263" i="5"/>
  <c r="N261" i="5"/>
  <c r="N228" i="5"/>
  <c r="O42" i="5"/>
  <c r="H38" i="8"/>
  <c r="O5" i="5"/>
  <c r="O60" i="5"/>
  <c r="O6" i="5"/>
  <c r="O61" i="5"/>
  <c r="O43" i="5"/>
  <c r="N43" i="5"/>
  <c r="N60" i="5"/>
  <c r="N42" i="5"/>
  <c r="N6" i="5"/>
  <c r="G38" i="8"/>
  <c r="K39" i="4"/>
  <c r="M39" i="4" s="1"/>
  <c r="N61" i="5"/>
  <c r="N5" i="5"/>
  <c r="Q495" i="5"/>
  <c r="Q498" i="5"/>
  <c r="Q509" i="5"/>
  <c r="Q430" i="5"/>
  <c r="Q470" i="5"/>
  <c r="Q397" i="5"/>
  <c r="Q511" i="5"/>
  <c r="Q465" i="5"/>
  <c r="Q328" i="5"/>
  <c r="Q443" i="5"/>
  <c r="Q386" i="5"/>
  <c r="I37" i="8"/>
  <c r="Q384" i="5"/>
  <c r="Q431" i="5"/>
  <c r="Q526" i="5"/>
  <c r="Q355" i="5"/>
  <c r="Q334" i="5"/>
  <c r="Q523" i="5"/>
  <c r="Q374" i="5"/>
  <c r="O328" i="5"/>
  <c r="O495" i="5"/>
  <c r="O397" i="5"/>
  <c r="O334" i="5"/>
  <c r="O465" i="5"/>
  <c r="O511" i="5"/>
  <c r="O443" i="5"/>
  <c r="O374" i="5"/>
  <c r="O386" i="5"/>
  <c r="O431" i="5"/>
  <c r="O470" i="5"/>
  <c r="O509" i="5"/>
  <c r="O355" i="5"/>
  <c r="O498" i="5"/>
  <c r="O526" i="5"/>
  <c r="O384" i="5"/>
  <c r="H37" i="8"/>
  <c r="O523" i="5"/>
  <c r="O430" i="5"/>
  <c r="N355" i="5"/>
  <c r="N430" i="5"/>
  <c r="N374" i="5"/>
  <c r="N431" i="5"/>
  <c r="N509" i="5"/>
  <c r="N384" i="5"/>
  <c r="N470" i="5"/>
  <c r="G37" i="8"/>
  <c r="N498" i="5"/>
  <c r="N526" i="5"/>
  <c r="N328" i="5"/>
  <c r="N523" i="5"/>
  <c r="N334" i="5"/>
  <c r="N386" i="5"/>
  <c r="N465" i="5"/>
  <c r="N495" i="5"/>
  <c r="N397" i="5"/>
  <c r="N443" i="5"/>
  <c r="K38" i="4"/>
  <c r="N511" i="5"/>
  <c r="O101" i="5"/>
  <c r="O141" i="5"/>
  <c r="H36" i="8"/>
  <c r="O223" i="5"/>
  <c r="N101" i="5"/>
  <c r="N141" i="5"/>
  <c r="G36" i="8"/>
  <c r="N223" i="5"/>
  <c r="K37" i="4"/>
  <c r="M37" i="4" s="1"/>
  <c r="Q130" i="5"/>
  <c r="Q151" i="5"/>
  <c r="I35" i="8"/>
  <c r="H35" i="8"/>
  <c r="O151" i="5"/>
  <c r="O130" i="5"/>
  <c r="N130" i="5"/>
  <c r="G35" i="8"/>
  <c r="N151" i="5"/>
  <c r="K36" i="4"/>
  <c r="Q387" i="5"/>
  <c r="I34" i="8"/>
  <c r="O387" i="5"/>
  <c r="H34" i="8"/>
  <c r="N387" i="5"/>
  <c r="G34" i="8"/>
  <c r="K35" i="4"/>
  <c r="I33" i="8"/>
  <c r="Q132" i="5"/>
  <c r="H33" i="8"/>
  <c r="O132" i="5"/>
  <c r="G33" i="8"/>
  <c r="N132" i="5"/>
  <c r="K34" i="4"/>
  <c r="O140" i="5"/>
  <c r="H32" i="8"/>
  <c r="N140" i="5"/>
  <c r="G32" i="8"/>
  <c r="K33" i="4"/>
  <c r="M33" i="4" s="1"/>
  <c r="I31" i="8"/>
  <c r="Q40" i="5"/>
  <c r="Q361" i="5"/>
  <c r="Q170" i="5"/>
  <c r="O170" i="5"/>
  <c r="O361" i="5"/>
  <c r="H31" i="8"/>
  <c r="O40" i="5"/>
  <c r="K32" i="4"/>
  <c r="N170" i="5"/>
  <c r="N40" i="5"/>
  <c r="N361" i="5"/>
  <c r="G31" i="8"/>
  <c r="I30" i="8"/>
  <c r="Q182" i="5"/>
  <c r="O182" i="5"/>
  <c r="H30" i="8"/>
  <c r="K31" i="4"/>
  <c r="N182" i="5"/>
  <c r="G30" i="8"/>
  <c r="I29" i="8"/>
  <c r="Q300" i="5"/>
  <c r="H29" i="8"/>
  <c r="O300" i="5"/>
  <c r="N300" i="5"/>
  <c r="G29" i="8"/>
  <c r="K30" i="4"/>
  <c r="Q396" i="5"/>
  <c r="Q181" i="5"/>
  <c r="Q417" i="5"/>
  <c r="Q39" i="5"/>
  <c r="Q125" i="5"/>
  <c r="Q126" i="5"/>
  <c r="Q467" i="5"/>
  <c r="Q186" i="5"/>
  <c r="Q123" i="5"/>
  <c r="Q210" i="5"/>
  <c r="Q153" i="5"/>
  <c r="Q55" i="5"/>
  <c r="Q389" i="5"/>
  <c r="Q471" i="5"/>
  <c r="Q155" i="5"/>
  <c r="Q233" i="5"/>
  <c r="Q97" i="5"/>
  <c r="Q266" i="5"/>
  <c r="I28" i="8"/>
  <c r="Q287" i="5"/>
  <c r="Q382" i="5"/>
  <c r="Q271" i="5"/>
  <c r="Q220" i="5"/>
  <c r="Q83" i="5"/>
  <c r="O471" i="5"/>
  <c r="O396" i="5"/>
  <c r="O125" i="5"/>
  <c r="O186" i="5"/>
  <c r="O153" i="5"/>
  <c r="H28" i="8"/>
  <c r="O389" i="5"/>
  <c r="O181" i="5"/>
  <c r="O126" i="5"/>
  <c r="O123" i="5"/>
  <c r="O382" i="5"/>
  <c r="O55" i="5"/>
  <c r="O210" i="5"/>
  <c r="O266" i="5"/>
  <c r="O155" i="5"/>
  <c r="O287" i="5"/>
  <c r="O271" i="5"/>
  <c r="O39" i="5"/>
  <c r="O97" i="5"/>
  <c r="O83" i="5"/>
  <c r="O417" i="5"/>
  <c r="O467" i="5"/>
  <c r="O220" i="5"/>
  <c r="O233" i="5"/>
  <c r="N153" i="5"/>
  <c r="N39" i="5"/>
  <c r="N181" i="5"/>
  <c r="N125" i="5"/>
  <c r="N126" i="5"/>
  <c r="N271" i="5"/>
  <c r="N389" i="5"/>
  <c r="N382" i="5"/>
  <c r="N55" i="5"/>
  <c r="G28" i="8"/>
  <c r="K29" i="4"/>
  <c r="N233" i="5"/>
  <c r="N186" i="5"/>
  <c r="N287" i="5"/>
  <c r="N220" i="5"/>
  <c r="N123" i="5"/>
  <c r="N97" i="5"/>
  <c r="N396" i="5"/>
  <c r="N471" i="5"/>
  <c r="N155" i="5"/>
  <c r="N210" i="5"/>
  <c r="N83" i="5"/>
  <c r="N266" i="5"/>
  <c r="N467" i="5"/>
  <c r="N417" i="5"/>
  <c r="Q138" i="5"/>
  <c r="Q196" i="5"/>
  <c r="Q185" i="5"/>
  <c r="Q357" i="5"/>
  <c r="Q219" i="5"/>
  <c r="I27" i="8"/>
  <c r="Q356" i="5"/>
  <c r="Q218" i="5"/>
  <c r="O185" i="5"/>
  <c r="O356" i="5"/>
  <c r="O219" i="5"/>
  <c r="H27" i="8"/>
  <c r="O357" i="5"/>
  <c r="O138" i="5"/>
  <c r="O196" i="5"/>
  <c r="O218" i="5"/>
  <c r="N357" i="5"/>
  <c r="N356" i="5"/>
  <c r="N218" i="5"/>
  <c r="N185" i="5"/>
  <c r="N138" i="5"/>
  <c r="N219" i="5"/>
  <c r="N196" i="5"/>
  <c r="G27" i="8"/>
  <c r="K28" i="4"/>
  <c r="Q418" i="5"/>
  <c r="I26" i="8"/>
  <c r="Q528" i="5"/>
  <c r="Q135" i="5"/>
  <c r="Q505" i="5"/>
  <c r="Q203" i="5"/>
  <c r="Q120" i="5"/>
  <c r="O135" i="5"/>
  <c r="O528" i="5"/>
  <c r="O418" i="5"/>
  <c r="H26" i="8"/>
  <c r="O505" i="5"/>
  <c r="O120" i="5"/>
  <c r="O203" i="5"/>
  <c r="N120" i="5"/>
  <c r="N203" i="5"/>
  <c r="N418" i="5"/>
  <c r="N528" i="5"/>
  <c r="N135" i="5"/>
  <c r="K27" i="4"/>
  <c r="G26" i="8"/>
  <c r="N505" i="5"/>
  <c r="H25" i="8"/>
  <c r="O31" i="5"/>
  <c r="O255" i="5"/>
  <c r="O143" i="5"/>
  <c r="O30" i="5"/>
  <c r="O521" i="5"/>
  <c r="G25" i="8"/>
  <c r="N31" i="5"/>
  <c r="N255" i="5"/>
  <c r="K26" i="4"/>
  <c r="M26" i="4" s="1"/>
  <c r="N143" i="5"/>
  <c r="N521" i="5"/>
  <c r="N30" i="5"/>
  <c r="O205" i="5"/>
  <c r="O216" i="5"/>
  <c r="O146" i="5"/>
  <c r="O491" i="5"/>
  <c r="O150" i="5"/>
  <c r="O493" i="5"/>
  <c r="H24" i="8"/>
  <c r="O148" i="5"/>
  <c r="O392" i="5"/>
  <c r="O395" i="5"/>
  <c r="O428" i="5"/>
  <c r="N148" i="5"/>
  <c r="N491" i="5"/>
  <c r="N392" i="5"/>
  <c r="N146" i="5"/>
  <c r="N493" i="5"/>
  <c r="N216" i="5"/>
  <c r="N205" i="5"/>
  <c r="N395" i="5"/>
  <c r="N428" i="5"/>
  <c r="G24" i="8"/>
  <c r="N150" i="5"/>
  <c r="K25" i="4"/>
  <c r="M25" i="4" s="1"/>
  <c r="Q9" i="5"/>
  <c r="Q427" i="5"/>
  <c r="I23" i="8"/>
  <c r="Q204" i="5"/>
  <c r="Q10" i="5"/>
  <c r="Q492" i="5"/>
  <c r="Q215" i="5"/>
  <c r="Q394" i="5"/>
  <c r="Q527" i="5"/>
  <c r="Q147" i="5"/>
  <c r="Q265" i="5"/>
  <c r="Q63" i="5"/>
  <c r="Q105" i="5"/>
  <c r="Q282" i="5"/>
  <c r="Q275" i="5"/>
  <c r="Q391" i="5"/>
  <c r="Q490" i="5"/>
  <c r="Q46" i="5"/>
  <c r="Q149" i="5"/>
  <c r="Q145" i="5"/>
  <c r="Q45" i="5"/>
  <c r="Q66" i="5"/>
  <c r="Q283" i="5"/>
  <c r="Q100" i="5"/>
  <c r="Q62" i="5"/>
  <c r="Q284" i="5"/>
  <c r="Q512" i="5"/>
  <c r="H23" i="8"/>
  <c r="O492" i="5"/>
  <c r="O490" i="5"/>
  <c r="O10" i="5"/>
  <c r="O9" i="5"/>
  <c r="O215" i="5"/>
  <c r="O204" i="5"/>
  <c r="O265" i="5"/>
  <c r="O105" i="5"/>
  <c r="O100" i="5"/>
  <c r="O391" i="5"/>
  <c r="O275" i="5"/>
  <c r="O66" i="5"/>
  <c r="O282" i="5"/>
  <c r="O394" i="5"/>
  <c r="O63" i="5"/>
  <c r="O283" i="5"/>
  <c r="O149" i="5"/>
  <c r="O147" i="5"/>
  <c r="O284" i="5"/>
  <c r="O62" i="5"/>
  <c r="O145" i="5"/>
  <c r="O46" i="5"/>
  <c r="O45" i="5"/>
  <c r="O427" i="5"/>
  <c r="O527" i="5"/>
  <c r="O512" i="5"/>
  <c r="N100" i="5"/>
  <c r="N215" i="5"/>
  <c r="N145" i="5"/>
  <c r="N204" i="5"/>
  <c r="N492" i="5"/>
  <c r="N62" i="5"/>
  <c r="N147" i="5"/>
  <c r="N284" i="5"/>
  <c r="N149" i="5"/>
  <c r="N283" i="5"/>
  <c r="N394" i="5"/>
  <c r="N490" i="5"/>
  <c r="N63" i="5"/>
  <c r="N66" i="5"/>
  <c r="N282" i="5"/>
  <c r="N391" i="5"/>
  <c r="K24" i="4"/>
  <c r="N527" i="5"/>
  <c r="N275" i="5"/>
  <c r="G23" i="8"/>
  <c r="N427" i="5"/>
  <c r="N512" i="5"/>
  <c r="N105" i="5"/>
  <c r="N9" i="5"/>
  <c r="N10" i="5"/>
  <c r="N265" i="5"/>
  <c r="N46" i="5"/>
  <c r="N45" i="5"/>
  <c r="I22" i="8"/>
  <c r="Q49" i="5"/>
  <c r="Q319" i="5"/>
  <c r="Q320" i="5"/>
  <c r="Q50" i="5"/>
  <c r="H22" i="8"/>
  <c r="O320" i="5"/>
  <c r="O319" i="5"/>
  <c r="O49" i="5"/>
  <c r="O50" i="5"/>
  <c r="N319" i="5"/>
  <c r="N320" i="5"/>
  <c r="K23" i="4"/>
  <c r="N50" i="5"/>
  <c r="G22" i="8"/>
  <c r="N49" i="5"/>
  <c r="I21" i="8"/>
  <c r="Q241" i="5"/>
  <c r="H21" i="8"/>
  <c r="O241" i="5"/>
  <c r="G21" i="8"/>
  <c r="N241" i="5"/>
  <c r="K22" i="4"/>
  <c r="I20" i="8"/>
  <c r="Q359" i="5"/>
  <c r="Q360" i="5"/>
  <c r="H20" i="8"/>
  <c r="O359" i="5"/>
  <c r="O360" i="5"/>
  <c r="G20" i="8"/>
  <c r="N360" i="5"/>
  <c r="K21" i="4"/>
  <c r="N359" i="5"/>
  <c r="I19" i="8"/>
  <c r="Q322" i="5"/>
  <c r="Q103" i="5"/>
  <c r="H19" i="8"/>
  <c r="O103" i="5"/>
  <c r="O322" i="5"/>
  <c r="K20" i="4"/>
  <c r="G19" i="8"/>
  <c r="N322" i="5"/>
  <c r="N103" i="5"/>
  <c r="O259" i="5"/>
  <c r="O340" i="5"/>
  <c r="O323" i="5"/>
  <c r="O339" i="5"/>
  <c r="O338" i="5"/>
  <c r="O311" i="5"/>
  <c r="O341" i="5"/>
  <c r="O139" i="5"/>
  <c r="O168" i="5"/>
  <c r="O337" i="5"/>
  <c r="O106" i="5"/>
  <c r="O257" i="5"/>
  <c r="O157" i="5"/>
  <c r="O70" i="5"/>
  <c r="O152" i="5"/>
  <c r="O231" i="5"/>
  <c r="O144" i="5"/>
  <c r="O98" i="5"/>
  <c r="H18" i="8"/>
  <c r="O316" i="5"/>
  <c r="O137" i="5"/>
  <c r="O221" i="5"/>
  <c r="O349" i="5"/>
  <c r="N341" i="5"/>
  <c r="N70" i="5"/>
  <c r="N337" i="5"/>
  <c r="N137" i="5"/>
  <c r="N231" i="5"/>
  <c r="N98" i="5"/>
  <c r="N152" i="5"/>
  <c r="N338" i="5"/>
  <c r="N349" i="5"/>
  <c r="N106" i="5"/>
  <c r="N311" i="5"/>
  <c r="N157" i="5"/>
  <c r="N139" i="5"/>
  <c r="N259" i="5"/>
  <c r="N339" i="5"/>
  <c r="N257" i="5"/>
  <c r="N168" i="5"/>
  <c r="N340" i="5"/>
  <c r="G18" i="8"/>
  <c r="N144" i="5"/>
  <c r="N221" i="5"/>
  <c r="N323" i="5"/>
  <c r="N316" i="5"/>
  <c r="K19" i="4"/>
  <c r="M19" i="4" s="1"/>
  <c r="Q451" i="5"/>
  <c r="Q450" i="5"/>
  <c r="Q448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399" i="5"/>
  <c r="Q390" i="5"/>
  <c r="Q388" i="5"/>
  <c r="Q379" i="5"/>
  <c r="Q378" i="5"/>
  <c r="Q377" i="5"/>
  <c r="Q373" i="5"/>
  <c r="Q372" i="5"/>
  <c r="Q371" i="5"/>
  <c r="Q369" i="5"/>
  <c r="Q368" i="5"/>
  <c r="Q367" i="5"/>
  <c r="Q366" i="5"/>
  <c r="Q365" i="5"/>
  <c r="Q364" i="5"/>
  <c r="Q363" i="5"/>
  <c r="Q243" i="5"/>
  <c r="Q242" i="5"/>
  <c r="Q238" i="5"/>
  <c r="Q237" i="5"/>
  <c r="Q236" i="5"/>
  <c r="Q235" i="5"/>
  <c r="Q162" i="5"/>
  <c r="Q156" i="5"/>
  <c r="Q154" i="5"/>
  <c r="I17" i="8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62" i="5"/>
  <c r="Q461" i="5"/>
  <c r="Q460" i="5"/>
  <c r="Q459" i="5"/>
  <c r="Q458" i="5"/>
  <c r="Q457" i="5"/>
  <c r="Q456" i="5"/>
  <c r="Q455" i="5"/>
  <c r="Q454" i="5"/>
  <c r="Q453" i="5"/>
  <c r="Q452" i="5"/>
  <c r="O482" i="5"/>
  <c r="O413" i="5"/>
  <c r="O473" i="5"/>
  <c r="O457" i="5"/>
  <c r="O454" i="5"/>
  <c r="O412" i="5"/>
  <c r="O458" i="5"/>
  <c r="O235" i="5"/>
  <c r="O474" i="5"/>
  <c r="O411" i="5"/>
  <c r="O365" i="5"/>
  <c r="O379" i="5"/>
  <c r="O369" i="5"/>
  <c r="O410" i="5"/>
  <c r="O484" i="5"/>
  <c r="O475" i="5"/>
  <c r="O450" i="5"/>
  <c r="O409" i="5"/>
  <c r="O378" i="5"/>
  <c r="O162" i="5"/>
  <c r="O453" i="5"/>
  <c r="O408" i="5"/>
  <c r="O237" i="5"/>
  <c r="O390" i="5"/>
  <c r="O156" i="5"/>
  <c r="O407" i="5"/>
  <c r="O243" i="5"/>
  <c r="O476" i="5"/>
  <c r="O377" i="5"/>
  <c r="O406" i="5"/>
  <c r="O368" i="5"/>
  <c r="O364" i="5"/>
  <c r="O456" i="5"/>
  <c r="O405" i="5"/>
  <c r="O154" i="5"/>
  <c r="O388" i="5"/>
  <c r="O452" i="5"/>
  <c r="O404" i="5"/>
  <c r="O483" i="5"/>
  <c r="O242" i="5"/>
  <c r="O477" i="5"/>
  <c r="O403" i="5"/>
  <c r="O367" i="5"/>
  <c r="O487" i="5"/>
  <c r="O236" i="5"/>
  <c r="O402" i="5"/>
  <c r="O478" i="5"/>
  <c r="O462" i="5"/>
  <c r="O455" i="5"/>
  <c r="O401" i="5"/>
  <c r="O373" i="5"/>
  <c r="H17" i="8"/>
  <c r="O363" i="5"/>
  <c r="O479" i="5"/>
  <c r="O366" i="5"/>
  <c r="O461" i="5"/>
  <c r="O451" i="5"/>
  <c r="O399" i="5"/>
  <c r="O372" i="5"/>
  <c r="O485" i="5"/>
  <c r="O480" i="5"/>
  <c r="O486" i="5"/>
  <c r="O448" i="5"/>
  <c r="O460" i="5"/>
  <c r="O238" i="5"/>
  <c r="O472" i="5"/>
  <c r="O481" i="5"/>
  <c r="O459" i="5"/>
  <c r="O371" i="5"/>
  <c r="N413" i="5"/>
  <c r="N238" i="5"/>
  <c r="N412" i="5"/>
  <c r="N482" i="5"/>
  <c r="N454" i="5"/>
  <c r="N411" i="5"/>
  <c r="N485" i="5"/>
  <c r="N455" i="5"/>
  <c r="N410" i="5"/>
  <c r="N379" i="5"/>
  <c r="N486" i="5"/>
  <c r="N409" i="5"/>
  <c r="N378" i="5"/>
  <c r="N408" i="5"/>
  <c r="N450" i="5"/>
  <c r="N453" i="5"/>
  <c r="N407" i="5"/>
  <c r="N377" i="5"/>
  <c r="N237" i="5"/>
  <c r="N406" i="5"/>
  <c r="N456" i="5"/>
  <c r="N405" i="5"/>
  <c r="N364" i="5"/>
  <c r="N404" i="5"/>
  <c r="N483" i="5"/>
  <c r="N452" i="5"/>
  <c r="N403" i="5"/>
  <c r="N487" i="5"/>
  <c r="K18" i="4"/>
  <c r="N402" i="5"/>
  <c r="N401" i="5"/>
  <c r="N462" i="5"/>
  <c r="N373" i="5"/>
  <c r="N236" i="5"/>
  <c r="N154" i="5"/>
  <c r="N399" i="5"/>
  <c r="N372" i="5"/>
  <c r="N363" i="5"/>
  <c r="N371" i="5"/>
  <c r="N461" i="5"/>
  <c r="N472" i="5"/>
  <c r="N460" i="5"/>
  <c r="N473" i="5"/>
  <c r="N459" i="5"/>
  <c r="N474" i="5"/>
  <c r="N458" i="5"/>
  <c r="N448" i="5"/>
  <c r="N475" i="5"/>
  <c r="N369" i="5"/>
  <c r="N235" i="5"/>
  <c r="N476" i="5"/>
  <c r="N156" i="5"/>
  <c r="N451" i="5"/>
  <c r="N390" i="5"/>
  <c r="N243" i="5"/>
  <c r="N477" i="5"/>
  <c r="N368" i="5"/>
  <c r="N162" i="5"/>
  <c r="N388" i="5"/>
  <c r="N242" i="5"/>
  <c r="N478" i="5"/>
  <c r="N484" i="5"/>
  <c r="N367" i="5"/>
  <c r="N479" i="5"/>
  <c r="N457" i="5"/>
  <c r="N366" i="5"/>
  <c r="N480" i="5"/>
  <c r="G17" i="8"/>
  <c r="N365" i="5"/>
  <c r="N481" i="5"/>
  <c r="Q514" i="5"/>
  <c r="Q510" i="5"/>
  <c r="Q16" i="5"/>
  <c r="Q15" i="5"/>
  <c r="Q69" i="5"/>
  <c r="I16" i="8"/>
  <c r="Q82" i="5"/>
  <c r="Q520" i="5"/>
  <c r="Q68" i="5"/>
  <c r="O16" i="5"/>
  <c r="O520" i="5"/>
  <c r="O510" i="5"/>
  <c r="O514" i="5"/>
  <c r="O68" i="5"/>
  <c r="O15" i="5"/>
  <c r="H16" i="8"/>
  <c r="O69" i="5"/>
  <c r="O82" i="5"/>
  <c r="N520" i="5"/>
  <c r="N82" i="5"/>
  <c r="N69" i="5"/>
  <c r="N68" i="5"/>
  <c r="N15" i="5"/>
  <c r="G16" i="8"/>
  <c r="N510" i="5"/>
  <c r="K17" i="4"/>
  <c r="N16" i="5"/>
  <c r="N514" i="5"/>
  <c r="O531" i="5"/>
  <c r="H15" i="8"/>
  <c r="K16" i="4"/>
  <c r="M16" i="4" s="1"/>
  <c r="N531" i="5"/>
  <c r="G15" i="8"/>
  <c r="Q209" i="5"/>
  <c r="I14" i="8"/>
  <c r="H14" i="8"/>
  <c r="O209" i="5"/>
  <c r="K15" i="4"/>
  <c r="G14" i="8"/>
  <c r="N209" i="5"/>
  <c r="Q268" i="5"/>
  <c r="Q438" i="5"/>
  <c r="Q305" i="5"/>
  <c r="I13" i="8"/>
  <c r="Q267" i="5"/>
  <c r="Q439" i="5"/>
  <c r="Q303" i="5"/>
  <c r="O267" i="5"/>
  <c r="O439" i="5"/>
  <c r="O438" i="5"/>
  <c r="H13" i="8"/>
  <c r="O268" i="5"/>
  <c r="O305" i="5"/>
  <c r="O303" i="5"/>
  <c r="G13" i="8"/>
  <c r="N267" i="5"/>
  <c r="N303" i="5"/>
  <c r="N305" i="5"/>
  <c r="N268" i="5"/>
  <c r="K14" i="4"/>
  <c r="N438" i="5"/>
  <c r="N439" i="5"/>
  <c r="Q122" i="5"/>
  <c r="I12" i="8"/>
  <c r="Q442" i="5"/>
  <c r="Q286" i="5"/>
  <c r="Q362" i="5"/>
  <c r="Q56" i="5"/>
  <c r="O56" i="5"/>
  <c r="H12" i="8"/>
  <c r="O442" i="5"/>
  <c r="O362" i="5"/>
  <c r="O286" i="5"/>
  <c r="O122" i="5"/>
  <c r="K13" i="4"/>
  <c r="N122" i="5"/>
  <c r="N56" i="5"/>
  <c r="G12" i="8"/>
  <c r="N442" i="5"/>
  <c r="N286" i="5"/>
  <c r="N362" i="5"/>
  <c r="Q299" i="5"/>
  <c r="I11" i="8"/>
  <c r="Q291" i="5"/>
  <c r="Q294" i="5"/>
  <c r="Q289" i="5"/>
  <c r="Q290" i="5"/>
  <c r="Q293" i="5"/>
  <c r="Q292" i="5"/>
  <c r="O294" i="5"/>
  <c r="H11" i="8"/>
  <c r="O299" i="5"/>
  <c r="O289" i="5"/>
  <c r="O292" i="5"/>
  <c r="O293" i="5"/>
  <c r="O291" i="5"/>
  <c r="O290" i="5"/>
  <c r="K12" i="4"/>
  <c r="N292" i="5"/>
  <c r="N289" i="5"/>
  <c r="N293" i="5"/>
  <c r="G11" i="8"/>
  <c r="N291" i="5"/>
  <c r="N294" i="5"/>
  <c r="N290" i="5"/>
  <c r="N299" i="5"/>
  <c r="I10" i="8"/>
  <c r="Q110" i="5"/>
  <c r="H10" i="8"/>
  <c r="O110" i="5"/>
  <c r="K11" i="4"/>
  <c r="G10" i="8"/>
  <c r="N110" i="5"/>
  <c r="I9" i="8"/>
  <c r="Q270" i="5"/>
  <c r="Q269" i="5"/>
  <c r="Q288" i="5"/>
  <c r="Q295" i="5"/>
  <c r="Q296" i="5"/>
  <c r="H9" i="8"/>
  <c r="O270" i="5"/>
  <c r="O269" i="5"/>
  <c r="O295" i="5"/>
  <c r="O296" i="5"/>
  <c r="O288" i="5"/>
  <c r="N269" i="5"/>
  <c r="N295" i="5"/>
  <c r="G9" i="8"/>
  <c r="N296" i="5"/>
  <c r="N270" i="5"/>
  <c r="K10" i="4"/>
  <c r="N288" i="5"/>
  <c r="Q37" i="5"/>
  <c r="Q53" i="5"/>
  <c r="Q38" i="5"/>
  <c r="Q36" i="5"/>
  <c r="Q54" i="5"/>
  <c r="I8" i="8"/>
  <c r="Q67" i="5"/>
  <c r="Q72" i="5"/>
  <c r="O53" i="5"/>
  <c r="O72" i="5"/>
  <c r="O38" i="5"/>
  <c r="O54" i="5"/>
  <c r="O37" i="5"/>
  <c r="O36" i="5"/>
  <c r="H8" i="8"/>
  <c r="O67" i="5"/>
  <c r="N53" i="5"/>
  <c r="K9" i="4"/>
  <c r="G8" i="8"/>
  <c r="N72" i="5"/>
  <c r="N54" i="5"/>
  <c r="N38" i="5"/>
  <c r="N37" i="5"/>
  <c r="N36" i="5"/>
  <c r="N67" i="5"/>
  <c r="Q400" i="5"/>
  <c r="Q347" i="5"/>
  <c r="I7" i="8"/>
  <c r="Q344" i="5"/>
  <c r="H7" i="8"/>
  <c r="O400" i="5"/>
  <c r="O344" i="5"/>
  <c r="O347" i="5"/>
  <c r="G7" i="8"/>
  <c r="K8" i="4"/>
  <c r="N344" i="5"/>
  <c r="N347" i="5"/>
  <c r="N400" i="5"/>
  <c r="Q426" i="5"/>
  <c r="I6" i="8"/>
  <c r="O426" i="5"/>
  <c r="H6" i="8"/>
  <c r="G6" i="8"/>
  <c r="K7" i="4"/>
  <c r="N426" i="5"/>
  <c r="I5" i="8"/>
  <c r="Q142" i="5"/>
  <c r="Q232" i="5"/>
  <c r="H5" i="8"/>
  <c r="O232" i="5"/>
  <c r="O142" i="5"/>
  <c r="N142" i="5"/>
  <c r="G5" i="8"/>
  <c r="K6" i="4"/>
  <c r="L6" i="4" s="1"/>
  <c r="N232" i="5"/>
  <c r="S10" i="2"/>
  <c r="R12" i="2" s="1"/>
  <c r="S11" i="2"/>
  <c r="Q10" i="2"/>
  <c r="P12" i="2" s="1"/>
  <c r="Q11" i="2"/>
  <c r="O10" i="2"/>
  <c r="N12" i="2" s="1"/>
  <c r="O11" i="2"/>
  <c r="M10" i="2"/>
  <c r="M11" i="2"/>
  <c r="L12" i="2"/>
  <c r="K11" i="2"/>
  <c r="K10" i="2"/>
  <c r="J12" i="2"/>
  <c r="I11" i="2"/>
  <c r="I10" i="2"/>
  <c r="H12" i="2"/>
  <c r="G10" i="2"/>
  <c r="G11" i="2"/>
  <c r="F12" i="2"/>
  <c r="E10" i="2"/>
  <c r="E11" i="2"/>
  <c r="D12" i="2"/>
  <c r="C11" i="2"/>
  <c r="C10" i="2"/>
  <c r="B12" i="2"/>
  <c r="M115" i="7"/>
  <c r="M39" i="7"/>
  <c r="M71" i="7"/>
  <c r="M119" i="7"/>
  <c r="M70" i="7"/>
  <c r="M20" i="7"/>
  <c r="M120" i="7"/>
  <c r="M89" i="7"/>
  <c r="M69" i="7"/>
  <c r="M8" i="7"/>
  <c r="M101" i="7"/>
  <c r="M121" i="7"/>
  <c r="M105" i="7"/>
  <c r="M38" i="7"/>
  <c r="M21" i="7"/>
  <c r="M67" i="7"/>
  <c r="M102" i="7"/>
  <c r="M65" i="7"/>
  <c r="M64" i="7"/>
  <c r="M109" i="7"/>
  <c r="M63" i="7"/>
  <c r="E70" i="8"/>
  <c r="M110" i="7"/>
  <c r="M62" i="7"/>
  <c r="E69" i="8"/>
  <c r="E68" i="8"/>
  <c r="E67" i="8"/>
  <c r="M61" i="7"/>
  <c r="E66" i="8"/>
  <c r="E65" i="8"/>
  <c r="M103" i="7"/>
  <c r="M60" i="7"/>
  <c r="E62" i="8"/>
  <c r="M22" i="7"/>
  <c r="E61" i="8"/>
  <c r="M26" i="7"/>
  <c r="E60" i="8"/>
  <c r="M23" i="7"/>
  <c r="E59" i="8"/>
  <c r="M11" i="7"/>
  <c r="M111" i="7"/>
  <c r="M30" i="7"/>
  <c r="M104" i="7"/>
  <c r="M37" i="7"/>
  <c r="M36" i="7"/>
  <c r="M59" i="7"/>
  <c r="M29" i="7"/>
  <c r="M5" i="7"/>
  <c r="R5" i="7" s="1"/>
  <c r="M6" i="7"/>
  <c r="M13" i="7"/>
  <c r="M35" i="7"/>
  <c r="M112" i="7"/>
  <c r="M34" i="7"/>
  <c r="M24" i="7"/>
  <c r="M27" i="7"/>
  <c r="M58" i="7"/>
  <c r="M107" i="7"/>
  <c r="M108" i="7"/>
  <c r="M15" i="7"/>
  <c r="F68" i="4"/>
  <c r="M16" i="7"/>
  <c r="F69" i="4"/>
  <c r="M25" i="7"/>
  <c r="F70" i="4"/>
  <c r="M113" i="7"/>
  <c r="M32" i="7"/>
  <c r="F71" i="4"/>
  <c r="M31" i="7"/>
  <c r="F72" i="4"/>
  <c r="E63" i="8"/>
  <c r="M9" i="7"/>
  <c r="F74" i="4"/>
  <c r="F75" i="4"/>
  <c r="F76" i="4"/>
  <c r="M57" i="7"/>
  <c r="F77" i="4"/>
  <c r="F78" i="4"/>
  <c r="M56" i="7"/>
  <c r="F79" i="4"/>
  <c r="K79" i="4" s="1"/>
  <c r="M79" i="4" s="1"/>
  <c r="M55" i="7"/>
  <c r="M54" i="7"/>
  <c r="M17" i="7"/>
  <c r="M114" i="7"/>
  <c r="M7" i="7"/>
  <c r="M18" i="7"/>
  <c r="M53" i="7"/>
  <c r="M52" i="7"/>
  <c r="M51" i="7"/>
  <c r="M116" i="7"/>
  <c r="M50" i="7"/>
  <c r="M49" i="7"/>
  <c r="M19" i="7"/>
  <c r="M48" i="7"/>
  <c r="M47" i="7"/>
  <c r="M117" i="7"/>
  <c r="M46" i="7"/>
  <c r="M45" i="7"/>
  <c r="M44" i="7"/>
  <c r="M41" i="7"/>
  <c r="M118" i="7"/>
  <c r="M40" i="7"/>
  <c r="M72" i="7"/>
  <c r="M73" i="7"/>
  <c r="M74" i="7"/>
  <c r="M75" i="7"/>
  <c r="M76" i="7"/>
  <c r="M106" i="7"/>
  <c r="M77" i="7"/>
  <c r="M78" i="7"/>
  <c r="M79" i="7"/>
  <c r="M80" i="7"/>
  <c r="M81" i="7"/>
  <c r="M82" i="7"/>
  <c r="M83" i="7"/>
  <c r="M84" i="7"/>
  <c r="M123" i="7"/>
  <c r="M86" i="7"/>
  <c r="M87" i="7"/>
  <c r="M88" i="7"/>
  <c r="M90" i="7"/>
  <c r="M91" i="7"/>
  <c r="M92" i="7"/>
  <c r="M93" i="7"/>
  <c r="M94" i="7"/>
  <c r="M95" i="7"/>
  <c r="M96" i="7"/>
  <c r="M97" i="7"/>
  <c r="M98" i="7"/>
  <c r="M99" i="7"/>
  <c r="M100" i="7"/>
  <c r="M68" i="7"/>
  <c r="M66" i="7"/>
  <c r="E64" i="8"/>
  <c r="M12" i="7"/>
  <c r="M33" i="7"/>
  <c r="M14" i="7"/>
  <c r="F73" i="4"/>
  <c r="M85" i="7"/>
  <c r="M28" i="7"/>
  <c r="M124" i="7"/>
  <c r="M122" i="7"/>
  <c r="M10" i="7"/>
  <c r="M5" i="6"/>
  <c r="R5" i="6" s="1"/>
  <c r="M6" i="6"/>
  <c r="M7" i="6"/>
  <c r="M70" i="6"/>
  <c r="M8" i="6"/>
  <c r="M9" i="6"/>
  <c r="M11" i="6"/>
  <c r="M13" i="6"/>
  <c r="M71" i="6"/>
  <c r="M73" i="6"/>
  <c r="M15" i="6"/>
  <c r="M16" i="6"/>
  <c r="M17" i="6"/>
  <c r="M74" i="6"/>
  <c r="M75" i="6"/>
  <c r="M76" i="6"/>
  <c r="M77" i="6"/>
  <c r="M78" i="6"/>
  <c r="M79" i="6"/>
  <c r="M80" i="6"/>
  <c r="M18" i="6"/>
  <c r="M19" i="6"/>
  <c r="M81" i="6"/>
  <c r="M82" i="6"/>
  <c r="M84" i="6"/>
  <c r="M85" i="6"/>
  <c r="M72" i="6"/>
  <c r="M86" i="6"/>
  <c r="M87" i="6"/>
  <c r="M88" i="6"/>
  <c r="M89" i="6"/>
  <c r="M90" i="6"/>
  <c r="M121" i="6"/>
  <c r="M91" i="6"/>
  <c r="M92" i="6"/>
  <c r="M93" i="6"/>
  <c r="M94" i="6"/>
  <c r="M95" i="6"/>
  <c r="M96" i="6"/>
  <c r="M97" i="6"/>
  <c r="M98" i="6"/>
  <c r="M99" i="6"/>
  <c r="M119" i="6"/>
  <c r="M118" i="6"/>
  <c r="M54" i="6"/>
  <c r="M55" i="6"/>
  <c r="M56" i="6"/>
  <c r="M57" i="6"/>
  <c r="M59" i="6"/>
  <c r="M60" i="6"/>
  <c r="M61" i="6"/>
  <c r="M62" i="6"/>
  <c r="M63" i="6"/>
  <c r="F50" i="4"/>
  <c r="F51" i="4"/>
  <c r="F52" i="4"/>
  <c r="F53" i="4"/>
  <c r="E56" i="8"/>
  <c r="M37" i="6"/>
  <c r="F54" i="4"/>
  <c r="E55" i="8"/>
  <c r="E54" i="8"/>
  <c r="F56" i="4"/>
  <c r="M101" i="6"/>
  <c r="E53" i="8"/>
  <c r="M102" i="6"/>
  <c r="F57" i="4"/>
  <c r="M103" i="6"/>
  <c r="E52" i="8"/>
  <c r="F58" i="4"/>
  <c r="E51" i="8"/>
  <c r="M104" i="6"/>
  <c r="F59" i="4"/>
  <c r="F60" i="4"/>
  <c r="E49" i="8"/>
  <c r="F61" i="4"/>
  <c r="K61" i="4" s="1"/>
  <c r="M61" i="4" s="1"/>
  <c r="E48" i="8"/>
  <c r="E47" i="8"/>
  <c r="M105" i="6"/>
  <c r="M106" i="6"/>
  <c r="M117" i="6"/>
  <c r="M116" i="6"/>
  <c r="M107" i="6"/>
  <c r="E46" i="8"/>
  <c r="E45" i="8"/>
  <c r="M58" i="6"/>
  <c r="M111" i="6"/>
  <c r="M110" i="6"/>
  <c r="M65" i="6"/>
  <c r="M100" i="6"/>
  <c r="M108" i="6"/>
  <c r="M115" i="6"/>
  <c r="M113" i="6"/>
  <c r="M114" i="6"/>
  <c r="M109" i="6"/>
  <c r="M67" i="6"/>
  <c r="M112" i="6"/>
  <c r="M53" i="6"/>
  <c r="M52" i="6"/>
  <c r="M51" i="6"/>
  <c r="M50" i="6"/>
  <c r="M49" i="6"/>
  <c r="M48" i="6"/>
  <c r="M47" i="6"/>
  <c r="M46" i="6"/>
  <c r="M45" i="6"/>
  <c r="M44" i="6"/>
  <c r="M43" i="6"/>
  <c r="M42" i="6"/>
  <c r="M39" i="6"/>
  <c r="M38" i="6"/>
  <c r="M36" i="6"/>
  <c r="M35" i="6"/>
  <c r="M34" i="6"/>
  <c r="M33" i="6"/>
  <c r="M32" i="6"/>
  <c r="M31" i="6"/>
  <c r="M68" i="6"/>
  <c r="M30" i="6"/>
  <c r="M29" i="6"/>
  <c r="M28" i="6"/>
  <c r="M27" i="6"/>
  <c r="M26" i="6"/>
  <c r="M25" i="6"/>
  <c r="M69" i="6"/>
  <c r="M24" i="6"/>
  <c r="M23" i="6"/>
  <c r="M22" i="6"/>
  <c r="M21" i="6"/>
  <c r="M20" i="6"/>
  <c r="M120" i="6"/>
  <c r="M14" i="6"/>
  <c r="E50" i="8"/>
  <c r="F55" i="4"/>
  <c r="M64" i="6"/>
  <c r="M12" i="6"/>
  <c r="M10" i="6"/>
  <c r="M122" i="6"/>
  <c r="M83" i="6"/>
  <c r="M66" i="6"/>
  <c r="C6" i="12"/>
  <c r="C7" i="12"/>
  <c r="C8" i="12"/>
  <c r="C9" i="12"/>
  <c r="F39" i="4"/>
  <c r="M43" i="5"/>
  <c r="M6" i="5"/>
  <c r="M5" i="5"/>
  <c r="M42" i="5"/>
  <c r="E38" i="8"/>
  <c r="M60" i="5"/>
  <c r="M61" i="5"/>
  <c r="M311" i="5"/>
  <c r="F37" i="4"/>
  <c r="M144" i="5"/>
  <c r="F33" i="4"/>
  <c r="M157" i="5"/>
  <c r="M316" i="5"/>
  <c r="M98" i="5"/>
  <c r="M106" i="5"/>
  <c r="M255" i="5"/>
  <c r="F26" i="4"/>
  <c r="M143" i="5"/>
  <c r="M141" i="5"/>
  <c r="M259" i="5"/>
  <c r="F19" i="4"/>
  <c r="M140" i="5"/>
  <c r="M168" i="5"/>
  <c r="E25" i="8"/>
  <c r="M139" i="5"/>
  <c r="F16" i="4"/>
  <c r="E18" i="8"/>
  <c r="E32" i="8"/>
  <c r="M531" i="5"/>
  <c r="M323" i="5"/>
  <c r="M349" i="5"/>
  <c r="M137" i="5"/>
  <c r="M70" i="5"/>
  <c r="M223" i="5"/>
  <c r="E36" i="8"/>
  <c r="M521" i="5"/>
  <c r="M31" i="5"/>
  <c r="M30" i="5"/>
  <c r="E15" i="8"/>
  <c r="M337" i="5"/>
  <c r="M338" i="5"/>
  <c r="M152" i="5"/>
  <c r="M221" i="5"/>
  <c r="M339" i="5"/>
  <c r="M340" i="5"/>
  <c r="M257" i="5"/>
  <c r="M341" i="5"/>
  <c r="M101" i="5"/>
  <c r="M231" i="5"/>
  <c r="F22" i="4"/>
  <c r="M418" i="5"/>
  <c r="M465" i="5"/>
  <c r="M470" i="5"/>
  <c r="M397" i="5"/>
  <c r="M386" i="5"/>
  <c r="M384" i="5"/>
  <c r="M374" i="5"/>
  <c r="M443" i="5"/>
  <c r="M355" i="5"/>
  <c r="M495" i="5"/>
  <c r="M498" i="5"/>
  <c r="M505" i="5"/>
  <c r="M509" i="5"/>
  <c r="M511" i="5"/>
  <c r="M334" i="5"/>
  <c r="M523" i="5"/>
  <c r="M526" i="5"/>
  <c r="F6" i="4"/>
  <c r="M328" i="5"/>
  <c r="M528" i="5"/>
  <c r="M142" i="5"/>
  <c r="M135" i="5"/>
  <c r="M132" i="5"/>
  <c r="M120" i="5"/>
  <c r="M203" i="5"/>
  <c r="E5" i="8"/>
  <c r="M232" i="5"/>
  <c r="M241" i="5"/>
  <c r="E21" i="8"/>
  <c r="E26" i="8"/>
  <c r="E33" i="8"/>
  <c r="E37" i="8"/>
  <c r="F38" i="4"/>
  <c r="F34" i="4"/>
  <c r="M431" i="5"/>
  <c r="M430" i="5"/>
  <c r="F27" i="4"/>
  <c r="M228" i="5"/>
  <c r="M196" i="5"/>
  <c r="E16" i="8"/>
  <c r="E19" i="8"/>
  <c r="M251" i="5"/>
  <c r="M218" i="5"/>
  <c r="M159" i="5"/>
  <c r="M103" i="5"/>
  <c r="M93" i="5"/>
  <c r="E27" i="8"/>
  <c r="M356" i="5"/>
  <c r="M520" i="5"/>
  <c r="M219" i="5"/>
  <c r="M514" i="5"/>
  <c r="M172" i="5"/>
  <c r="M387" i="5"/>
  <c r="E39" i="8"/>
  <c r="M16" i="5"/>
  <c r="E14" i="8"/>
  <c r="M322" i="5"/>
  <c r="M245" i="5"/>
  <c r="M510" i="5"/>
  <c r="M15" i="5"/>
  <c r="E6" i="8"/>
  <c r="M184" i="5"/>
  <c r="E34" i="8"/>
  <c r="F40" i="4"/>
  <c r="M357" i="5"/>
  <c r="F35" i="4"/>
  <c r="F28" i="4"/>
  <c r="M426" i="5"/>
  <c r="M82" i="5"/>
  <c r="M113" i="5"/>
  <c r="F20" i="4"/>
  <c r="M261" i="5"/>
  <c r="F17" i="4"/>
  <c r="M199" i="5"/>
  <c r="M263" i="5"/>
  <c r="F15" i="4"/>
  <c r="M209" i="5"/>
  <c r="M69" i="5"/>
  <c r="M185" i="5"/>
  <c r="M131" i="5"/>
  <c r="M68" i="5"/>
  <c r="F7" i="4"/>
  <c r="M138" i="5"/>
  <c r="M214" i="5"/>
  <c r="M277" i="5"/>
  <c r="M289" i="5"/>
  <c r="M344" i="5"/>
  <c r="M269" i="5"/>
  <c r="M290" i="5"/>
  <c r="M291" i="5"/>
  <c r="M292" i="5"/>
  <c r="M293" i="5"/>
  <c r="M294" i="5"/>
  <c r="M295" i="5"/>
  <c r="E29" i="8"/>
  <c r="M296" i="5"/>
  <c r="F12" i="4"/>
  <c r="M299" i="5"/>
  <c r="M300" i="5"/>
  <c r="F10" i="4"/>
  <c r="M400" i="5"/>
  <c r="F8" i="4"/>
  <c r="M270" i="5"/>
  <c r="E11" i="8"/>
  <c r="F30" i="4"/>
  <c r="E7" i="8"/>
  <c r="M347" i="5"/>
  <c r="M288" i="5"/>
  <c r="E9" i="8"/>
  <c r="M233" i="5"/>
  <c r="M305" i="5"/>
  <c r="M319" i="5"/>
  <c r="M39" i="5"/>
  <c r="M320" i="5"/>
  <c r="M235" i="5"/>
  <c r="M38" i="5"/>
  <c r="M236" i="5"/>
  <c r="M237" i="5"/>
  <c r="M238" i="5"/>
  <c r="M37" i="5"/>
  <c r="M442" i="5"/>
  <c r="M100" i="5"/>
  <c r="M527" i="5"/>
  <c r="M36" i="5"/>
  <c r="E20" i="8"/>
  <c r="M331" i="5"/>
  <c r="E22" i="8"/>
  <c r="M512" i="5"/>
  <c r="M242" i="5"/>
  <c r="M243" i="5"/>
  <c r="E23" i="8"/>
  <c r="M11" i="5"/>
  <c r="M90" i="5"/>
  <c r="R90" i="5" s="1"/>
  <c r="E28" i="8"/>
  <c r="M10" i="5"/>
  <c r="E30" i="8"/>
  <c r="E31" i="8"/>
  <c r="M9" i="5"/>
  <c r="M204" i="5"/>
  <c r="E35" i="8"/>
  <c r="M492" i="5"/>
  <c r="M490" i="5"/>
  <c r="M359" i="5"/>
  <c r="M486" i="5"/>
  <c r="E40" i="8"/>
  <c r="M360" i="5"/>
  <c r="E41" i="8"/>
  <c r="M485" i="5"/>
  <c r="M361" i="5"/>
  <c r="M484" i="5"/>
  <c r="M362" i="5"/>
  <c r="M363" i="5"/>
  <c r="M364" i="5"/>
  <c r="M365" i="5"/>
  <c r="M366" i="5"/>
  <c r="M367" i="5"/>
  <c r="M457" i="5"/>
  <c r="M368" i="5"/>
  <c r="M448" i="5"/>
  <c r="M369" i="5"/>
  <c r="M371" i="5"/>
  <c r="M372" i="5"/>
  <c r="M455" i="5"/>
  <c r="M373" i="5"/>
  <c r="M450" i="5"/>
  <c r="M483" i="5"/>
  <c r="M377" i="5"/>
  <c r="M378" i="5"/>
  <c r="M379" i="5"/>
  <c r="M382" i="5"/>
  <c r="M482" i="5"/>
  <c r="M383" i="5"/>
  <c r="M481" i="5"/>
  <c r="M480" i="5"/>
  <c r="M487" i="5"/>
  <c r="M478" i="5"/>
  <c r="M388" i="5"/>
  <c r="M451" i="5"/>
  <c r="M389" i="5"/>
  <c r="M477" i="5"/>
  <c r="F43" i="4"/>
  <c r="K43" i="4" s="1"/>
  <c r="M43" i="4" s="1"/>
  <c r="F42" i="4"/>
  <c r="K42" i="4" s="1"/>
  <c r="M42" i="4" s="1"/>
  <c r="M390" i="5"/>
  <c r="M391" i="5"/>
  <c r="F41" i="4"/>
  <c r="M476" i="5"/>
  <c r="M475" i="5"/>
  <c r="M394" i="5"/>
  <c r="M474" i="5"/>
  <c r="M396" i="5"/>
  <c r="M473" i="5"/>
  <c r="M472" i="5"/>
  <c r="M471" i="5"/>
  <c r="F36" i="4"/>
  <c r="M399" i="5"/>
  <c r="M155" i="5"/>
  <c r="M156" i="5"/>
  <c r="M401" i="5"/>
  <c r="M438" i="5"/>
  <c r="M83" i="5"/>
  <c r="M458" i="5"/>
  <c r="M402" i="5"/>
  <c r="M452" i="5"/>
  <c r="M479" i="5"/>
  <c r="F32" i="4"/>
  <c r="M105" i="5"/>
  <c r="M459" i="5"/>
  <c r="F31" i="4"/>
  <c r="M403" i="5"/>
  <c r="M404" i="5"/>
  <c r="M186" i="5"/>
  <c r="M110" i="5"/>
  <c r="M460" i="5"/>
  <c r="F29" i="4"/>
  <c r="M405" i="5"/>
  <c r="M56" i="5"/>
  <c r="M406" i="5"/>
  <c r="M461" i="5"/>
  <c r="M453" i="5"/>
  <c r="M407" i="5"/>
  <c r="M427" i="5"/>
  <c r="M413" i="5"/>
  <c r="M408" i="5"/>
  <c r="F24" i="4"/>
  <c r="M409" i="5"/>
  <c r="M162" i="5"/>
  <c r="F23" i="4"/>
  <c r="M456" i="5"/>
  <c r="M462" i="5"/>
  <c r="M439" i="5"/>
  <c r="M410" i="5"/>
  <c r="M55" i="5"/>
  <c r="F21" i="4"/>
  <c r="M454" i="5"/>
  <c r="M170" i="5"/>
  <c r="M54" i="5"/>
  <c r="M467" i="5"/>
  <c r="M411" i="5"/>
  <c r="M417" i="5"/>
  <c r="M412" i="5"/>
  <c r="F18" i="4"/>
  <c r="M176" i="5"/>
  <c r="M206" i="5"/>
  <c r="M220" i="5"/>
  <c r="M72" i="5"/>
  <c r="M180" i="5"/>
  <c r="M123" i="5"/>
  <c r="M53" i="5"/>
  <c r="M181" i="5"/>
  <c r="M125" i="5"/>
  <c r="M126" i="5"/>
  <c r="F14" i="4"/>
  <c r="M182" i="5"/>
  <c r="M265" i="5"/>
  <c r="F13" i="4"/>
  <c r="M210" i="5"/>
  <c r="E12" i="8"/>
  <c r="M50" i="5"/>
  <c r="M130" i="5"/>
  <c r="M266" i="5"/>
  <c r="F11" i="4"/>
  <c r="M49" i="5"/>
  <c r="E13" i="8"/>
  <c r="M47" i="5"/>
  <c r="M154" i="5"/>
  <c r="M267" i="5"/>
  <c r="F9" i="4"/>
  <c r="M268" i="5"/>
  <c r="M122" i="5"/>
  <c r="M46" i="5"/>
  <c r="M45" i="5"/>
  <c r="M271" i="5"/>
  <c r="M302" i="5"/>
  <c r="R302" i="5" s="1"/>
  <c r="M211" i="5"/>
  <c r="M303" i="5"/>
  <c r="M145" i="5"/>
  <c r="M67" i="5"/>
  <c r="M275" i="5"/>
  <c r="M304" i="5"/>
  <c r="R304" i="5" s="1"/>
  <c r="M97" i="5"/>
  <c r="E17" i="8"/>
  <c r="M66" i="5"/>
  <c r="M147" i="5"/>
  <c r="E8" i="8"/>
  <c r="M282" i="5"/>
  <c r="M64" i="5"/>
  <c r="M149" i="5"/>
  <c r="M215" i="5"/>
  <c r="M283" i="5"/>
  <c r="M40" i="5"/>
  <c r="M63" i="5"/>
  <c r="M151" i="5"/>
  <c r="M284" i="5"/>
  <c r="M153" i="5"/>
  <c r="M62" i="5"/>
  <c r="E10" i="8"/>
  <c r="M286" i="5"/>
  <c r="M287" i="5"/>
  <c r="E42" i="8"/>
  <c r="M205" i="5"/>
  <c r="E24" i="8"/>
  <c r="M150" i="5"/>
  <c r="M491" i="5"/>
  <c r="M428" i="5"/>
  <c r="M148" i="5"/>
  <c r="F25" i="4"/>
  <c r="M392" i="5"/>
  <c r="M493" i="5"/>
  <c r="M146" i="5"/>
  <c r="M216" i="5"/>
  <c r="M395" i="5"/>
  <c r="R31" i="7" l="1"/>
  <c r="U31" i="7" s="1"/>
  <c r="S31" i="7"/>
  <c r="R23" i="7"/>
  <c r="U23" i="7" s="1"/>
  <c r="S23" i="7"/>
  <c r="R22" i="7"/>
  <c r="U22" i="7" s="1"/>
  <c r="S22" i="7"/>
  <c r="R61" i="7"/>
  <c r="U61" i="7" s="1"/>
  <c r="S61" i="7"/>
  <c r="R46" i="7"/>
  <c r="U46" i="7" s="1"/>
  <c r="S46" i="7"/>
  <c r="R29" i="7"/>
  <c r="U29" i="7" s="1"/>
  <c r="S29" i="7"/>
  <c r="R15" i="7"/>
  <c r="U15" i="7" s="1"/>
  <c r="S15" i="7"/>
  <c r="R21" i="7"/>
  <c r="U21" i="7" s="1"/>
  <c r="S21" i="7"/>
  <c r="R47" i="7"/>
  <c r="U47" i="7" s="1"/>
  <c r="S47" i="7"/>
  <c r="R25" i="7"/>
  <c r="U25" i="7" s="1"/>
  <c r="S25" i="7"/>
  <c r="R16" i="7"/>
  <c r="U16" i="7" s="1"/>
  <c r="S16" i="7"/>
  <c r="R6" i="7"/>
  <c r="U6" i="7" s="1"/>
  <c r="S6" i="7"/>
  <c r="R7" i="7"/>
  <c r="U7" i="7" s="1"/>
  <c r="S7" i="7"/>
  <c r="R18" i="7"/>
  <c r="U18" i="7" s="1"/>
  <c r="S18" i="7"/>
  <c r="R30" i="7"/>
  <c r="U30" i="7" s="1"/>
  <c r="S30" i="7"/>
  <c r="R41" i="7"/>
  <c r="U41" i="7" s="1"/>
  <c r="S41" i="7"/>
  <c r="R26" i="7"/>
  <c r="U26" i="7" s="1"/>
  <c r="S26" i="7"/>
  <c r="R103" i="7"/>
  <c r="U103" i="7" s="1"/>
  <c r="S103" i="7"/>
  <c r="R104" i="7"/>
  <c r="U104" i="7" s="1"/>
  <c r="S104" i="7"/>
  <c r="R8" i="7"/>
  <c r="U8" i="7" s="1"/>
  <c r="S8" i="7"/>
  <c r="R24" i="7"/>
  <c r="U24" i="7" s="1"/>
  <c r="S24" i="7"/>
  <c r="R34" i="7"/>
  <c r="U34" i="7" s="1"/>
  <c r="S34" i="7"/>
  <c r="R63" i="7"/>
  <c r="U63" i="7" s="1"/>
  <c r="S63" i="7"/>
  <c r="R83" i="7"/>
  <c r="U83" i="7" s="1"/>
  <c r="S83" i="7"/>
  <c r="R14" i="7"/>
  <c r="U14" i="7" s="1"/>
  <c r="S14" i="7"/>
  <c r="R124" i="7"/>
  <c r="U124" i="7" s="1"/>
  <c r="S124" i="7"/>
  <c r="R122" i="7"/>
  <c r="U122" i="7" s="1"/>
  <c r="S122" i="7"/>
  <c r="R33" i="7"/>
  <c r="U33" i="7" s="1"/>
  <c r="S33" i="7"/>
  <c r="R85" i="7"/>
  <c r="U85" i="7" s="1"/>
  <c r="S85" i="7"/>
  <c r="R68" i="7"/>
  <c r="U68" i="7" s="1"/>
  <c r="S68" i="7"/>
  <c r="R66" i="7"/>
  <c r="U66" i="7" s="1"/>
  <c r="S66" i="7"/>
  <c r="R10" i="7"/>
  <c r="U10" i="7" s="1"/>
  <c r="S10" i="7"/>
  <c r="R28" i="7"/>
  <c r="U28" i="7" s="1"/>
  <c r="S28" i="7"/>
  <c r="R12" i="7"/>
  <c r="U12" i="7" s="1"/>
  <c r="S12" i="7"/>
  <c r="R32" i="7"/>
  <c r="U32" i="7" s="1"/>
  <c r="S32" i="7"/>
  <c r="R123" i="7"/>
  <c r="U123" i="7" s="1"/>
  <c r="S123" i="7"/>
  <c r="R67" i="7"/>
  <c r="U67" i="7" s="1"/>
  <c r="S67" i="7"/>
  <c r="R13" i="7"/>
  <c r="U13" i="7" s="1"/>
  <c r="S13" i="7"/>
  <c r="R65" i="7"/>
  <c r="U65" i="7" s="1"/>
  <c r="S65" i="7"/>
  <c r="R27" i="7"/>
  <c r="U27" i="7" s="1"/>
  <c r="S27" i="7"/>
  <c r="R9" i="7"/>
  <c r="U9" i="7" s="1"/>
  <c r="S9" i="7"/>
  <c r="R84" i="7"/>
  <c r="U84" i="7" s="1"/>
  <c r="S84" i="7"/>
  <c r="R11" i="7"/>
  <c r="U11" i="7" s="1"/>
  <c r="S11" i="7"/>
  <c r="R121" i="7"/>
  <c r="U121" i="7" s="1"/>
  <c r="S121" i="7"/>
  <c r="R44" i="7"/>
  <c r="S44" i="7"/>
  <c r="S125" i="7" s="1"/>
  <c r="R45" i="7"/>
  <c r="U45" i="7" s="1"/>
  <c r="S45" i="7"/>
  <c r="R82" i="7"/>
  <c r="U82" i="7" s="1"/>
  <c r="S82" i="7"/>
  <c r="R81" i="7"/>
  <c r="U81" i="7" s="1"/>
  <c r="S81" i="7"/>
  <c r="R54" i="7"/>
  <c r="U54" i="7" s="1"/>
  <c r="S54" i="7"/>
  <c r="R39" i="7"/>
  <c r="U39" i="7" s="1"/>
  <c r="S39" i="7"/>
  <c r="R91" i="7"/>
  <c r="U91" i="7" s="1"/>
  <c r="S91" i="7"/>
  <c r="R70" i="7"/>
  <c r="U70" i="7" s="1"/>
  <c r="S70" i="7"/>
  <c r="R80" i="7"/>
  <c r="U80" i="7" s="1"/>
  <c r="S80" i="7"/>
  <c r="R108" i="7"/>
  <c r="U108" i="7" s="1"/>
  <c r="S108" i="7"/>
  <c r="R107" i="7"/>
  <c r="U107" i="7" s="1"/>
  <c r="S107" i="7"/>
  <c r="R38" i="7"/>
  <c r="U38" i="7" s="1"/>
  <c r="S38" i="7"/>
  <c r="R79" i="7"/>
  <c r="U79" i="7" s="1"/>
  <c r="S79" i="7"/>
  <c r="R106" i="7"/>
  <c r="U106" i="7" s="1"/>
  <c r="S106" i="7"/>
  <c r="R71" i="7"/>
  <c r="U71" i="7" s="1"/>
  <c r="S71" i="7"/>
  <c r="R105" i="7"/>
  <c r="U105" i="7" s="1"/>
  <c r="S105" i="7"/>
  <c r="R72" i="7"/>
  <c r="U72" i="7" s="1"/>
  <c r="S72" i="7"/>
  <c r="R73" i="7"/>
  <c r="U73" i="7" s="1"/>
  <c r="S73" i="7"/>
  <c r="R74" i="7"/>
  <c r="U74" i="7" s="1"/>
  <c r="S74" i="7"/>
  <c r="R109" i="7"/>
  <c r="U109" i="7" s="1"/>
  <c r="S109" i="7"/>
  <c r="R102" i="7"/>
  <c r="U102" i="7" s="1"/>
  <c r="S102" i="7"/>
  <c r="R75" i="7"/>
  <c r="U75" i="7" s="1"/>
  <c r="S75" i="7"/>
  <c r="R37" i="7"/>
  <c r="U37" i="7" s="1"/>
  <c r="S37" i="7"/>
  <c r="R55" i="7"/>
  <c r="U55" i="7" s="1"/>
  <c r="S55" i="7"/>
  <c r="R101" i="7"/>
  <c r="U101" i="7" s="1"/>
  <c r="S101" i="7"/>
  <c r="R56" i="7"/>
  <c r="U56" i="7" s="1"/>
  <c r="S56" i="7"/>
  <c r="R100" i="7"/>
  <c r="U100" i="7" s="1"/>
  <c r="S100" i="7"/>
  <c r="R57" i="7"/>
  <c r="U57" i="7" s="1"/>
  <c r="S57" i="7"/>
  <c r="R76" i="7"/>
  <c r="U76" i="7" s="1"/>
  <c r="S76" i="7"/>
  <c r="R58" i="7"/>
  <c r="U58" i="7" s="1"/>
  <c r="S58" i="7"/>
  <c r="R59" i="7"/>
  <c r="U59" i="7" s="1"/>
  <c r="S59" i="7"/>
  <c r="R49" i="7"/>
  <c r="U49" i="7" s="1"/>
  <c r="S49" i="7"/>
  <c r="R99" i="7"/>
  <c r="U99" i="7" s="1"/>
  <c r="S99" i="7"/>
  <c r="R60" i="7"/>
  <c r="U60" i="7" s="1"/>
  <c r="S60" i="7"/>
  <c r="R36" i="7"/>
  <c r="U36" i="7" s="1"/>
  <c r="S36" i="7"/>
  <c r="R62" i="7"/>
  <c r="U62" i="7" s="1"/>
  <c r="S62" i="7"/>
  <c r="R98" i="7"/>
  <c r="U98" i="7" s="1"/>
  <c r="S98" i="7"/>
  <c r="R20" i="7"/>
  <c r="U20" i="7" s="1"/>
  <c r="S20" i="7"/>
  <c r="R97" i="7"/>
  <c r="U97" i="7" s="1"/>
  <c r="S97" i="7"/>
  <c r="R120" i="7"/>
  <c r="U120" i="7" s="1"/>
  <c r="S120" i="7"/>
  <c r="R96" i="7"/>
  <c r="U96" i="7" s="1"/>
  <c r="S96" i="7"/>
  <c r="R50" i="7"/>
  <c r="U50" i="7" s="1"/>
  <c r="S50" i="7"/>
  <c r="R119" i="7"/>
  <c r="U119" i="7" s="1"/>
  <c r="S119" i="7"/>
  <c r="R64" i="7"/>
  <c r="U64" i="7" s="1"/>
  <c r="S64" i="7"/>
  <c r="R35" i="7"/>
  <c r="U35" i="7" s="1"/>
  <c r="S35" i="7"/>
  <c r="R118" i="7"/>
  <c r="U118" i="7" s="1"/>
  <c r="S118" i="7"/>
  <c r="R95" i="7"/>
  <c r="U95" i="7" s="1"/>
  <c r="S95" i="7"/>
  <c r="R19" i="7"/>
  <c r="U19" i="7" s="1"/>
  <c r="S19" i="7"/>
  <c r="R117" i="7"/>
  <c r="U117" i="7" s="1"/>
  <c r="S117" i="7"/>
  <c r="R94" i="7"/>
  <c r="U94" i="7" s="1"/>
  <c r="S94" i="7"/>
  <c r="R51" i="7"/>
  <c r="U51" i="7" s="1"/>
  <c r="S51" i="7"/>
  <c r="R116" i="7"/>
  <c r="U116" i="7" s="1"/>
  <c r="S116" i="7"/>
  <c r="R52" i="7"/>
  <c r="U52" i="7" s="1"/>
  <c r="S52" i="7"/>
  <c r="R93" i="7"/>
  <c r="U93" i="7" s="1"/>
  <c r="S93" i="7"/>
  <c r="R115" i="7"/>
  <c r="U115" i="7" s="1"/>
  <c r="S115" i="7"/>
  <c r="R77" i="7"/>
  <c r="U77" i="7" s="1"/>
  <c r="S77" i="7"/>
  <c r="R92" i="7"/>
  <c r="U92" i="7" s="1"/>
  <c r="S92" i="7"/>
  <c r="R114" i="7"/>
  <c r="U114" i="7" s="1"/>
  <c r="S114" i="7"/>
  <c r="R78" i="7"/>
  <c r="U78" i="7" s="1"/>
  <c r="S78" i="7"/>
  <c r="R40" i="7"/>
  <c r="U40" i="7" s="1"/>
  <c r="S40" i="7"/>
  <c r="R113" i="7"/>
  <c r="U113" i="7" s="1"/>
  <c r="S113" i="7"/>
  <c r="R53" i="7"/>
  <c r="U53" i="7" s="1"/>
  <c r="S53" i="7"/>
  <c r="R90" i="7"/>
  <c r="U90" i="7" s="1"/>
  <c r="S90" i="7"/>
  <c r="R112" i="7"/>
  <c r="U112" i="7" s="1"/>
  <c r="S112" i="7"/>
  <c r="R69" i="7"/>
  <c r="U69" i="7" s="1"/>
  <c r="S69" i="7"/>
  <c r="R89" i="7"/>
  <c r="U89" i="7" s="1"/>
  <c r="S89" i="7"/>
  <c r="R111" i="7"/>
  <c r="U111" i="7" s="1"/>
  <c r="S111" i="7"/>
  <c r="R17" i="7"/>
  <c r="U17" i="7" s="1"/>
  <c r="S17" i="7"/>
  <c r="R48" i="7"/>
  <c r="U48" i="7" s="1"/>
  <c r="S48" i="7"/>
  <c r="R110" i="7"/>
  <c r="U110" i="7" s="1"/>
  <c r="S110" i="7"/>
  <c r="R86" i="7"/>
  <c r="U86" i="7" s="1"/>
  <c r="S86" i="7"/>
  <c r="R87" i="7"/>
  <c r="U87" i="7" s="1"/>
  <c r="S87" i="7"/>
  <c r="H19" i="9"/>
  <c r="J19" i="9" s="1"/>
  <c r="H20" i="9"/>
  <c r="J20" i="9" s="1"/>
  <c r="R88" i="7"/>
  <c r="U88" i="7" s="1"/>
  <c r="S88" i="7"/>
  <c r="M68" i="4"/>
  <c r="K80" i="4"/>
  <c r="R30" i="6"/>
  <c r="U30" i="6" s="1"/>
  <c r="S30" i="6"/>
  <c r="R22" i="6"/>
  <c r="U22" i="6" s="1"/>
  <c r="S22" i="6"/>
  <c r="R44" i="6"/>
  <c r="U44" i="6" s="1"/>
  <c r="S44" i="6"/>
  <c r="R23" i="6"/>
  <c r="U23" i="6" s="1"/>
  <c r="S23" i="6"/>
  <c r="R28" i="6"/>
  <c r="U28" i="6" s="1"/>
  <c r="S28" i="6"/>
  <c r="R59" i="6"/>
  <c r="U59" i="6" s="1"/>
  <c r="S59" i="6"/>
  <c r="R15" i="6"/>
  <c r="U15" i="6" s="1"/>
  <c r="S15" i="6"/>
  <c r="R21" i="6"/>
  <c r="U21" i="6" s="1"/>
  <c r="S21" i="6"/>
  <c r="R45" i="6"/>
  <c r="U45" i="6" s="1"/>
  <c r="S45" i="6"/>
  <c r="R25" i="6"/>
  <c r="U25" i="6" s="1"/>
  <c r="S25" i="6"/>
  <c r="R101" i="6"/>
  <c r="U101" i="6" s="1"/>
  <c r="S101" i="6"/>
  <c r="R7" i="6"/>
  <c r="U7" i="6" s="1"/>
  <c r="S7" i="6"/>
  <c r="R16" i="6"/>
  <c r="U16" i="6" s="1"/>
  <c r="S16" i="6"/>
  <c r="R102" i="6"/>
  <c r="U102" i="6" s="1"/>
  <c r="S102" i="6"/>
  <c r="R29" i="6"/>
  <c r="U29" i="6" s="1"/>
  <c r="S29" i="6"/>
  <c r="R18" i="6"/>
  <c r="U18" i="6" s="1"/>
  <c r="S18" i="6"/>
  <c r="R26" i="6"/>
  <c r="U26" i="6" s="1"/>
  <c r="S26" i="6"/>
  <c r="R6" i="6"/>
  <c r="U6" i="6" s="1"/>
  <c r="S6" i="6"/>
  <c r="R8" i="6"/>
  <c r="U8" i="6" s="1"/>
  <c r="S8" i="6"/>
  <c r="R61" i="6"/>
  <c r="U61" i="6" s="1"/>
  <c r="S61" i="6"/>
  <c r="R81" i="6"/>
  <c r="U81" i="6" s="1"/>
  <c r="S81" i="6"/>
  <c r="R39" i="6"/>
  <c r="U39" i="6" s="1"/>
  <c r="S39" i="6"/>
  <c r="R32" i="6"/>
  <c r="U32" i="6" s="1"/>
  <c r="S32" i="6"/>
  <c r="R24" i="6"/>
  <c r="U24" i="6" s="1"/>
  <c r="S24" i="6"/>
  <c r="R12" i="6"/>
  <c r="U12" i="6" s="1"/>
  <c r="S12" i="6"/>
  <c r="R14" i="6"/>
  <c r="U14" i="6" s="1"/>
  <c r="S14" i="6"/>
  <c r="R64" i="6"/>
  <c r="U64" i="6" s="1"/>
  <c r="S64" i="6"/>
  <c r="R10" i="6"/>
  <c r="U10" i="6" s="1"/>
  <c r="S10" i="6"/>
  <c r="R83" i="6"/>
  <c r="U83" i="6" s="1"/>
  <c r="S83" i="6"/>
  <c r="R66" i="6"/>
  <c r="U66" i="6" s="1"/>
  <c r="S66" i="6"/>
  <c r="R120" i="6"/>
  <c r="U120" i="6" s="1"/>
  <c r="S120" i="6"/>
  <c r="R122" i="6"/>
  <c r="U122" i="6" s="1"/>
  <c r="S122" i="6"/>
  <c r="R9" i="6"/>
  <c r="U9" i="6" s="1"/>
  <c r="S9" i="6"/>
  <c r="R63" i="6"/>
  <c r="U63" i="6" s="1"/>
  <c r="S63" i="6"/>
  <c r="R119" i="6"/>
  <c r="U119" i="6" s="1"/>
  <c r="S119" i="6"/>
  <c r="R65" i="6"/>
  <c r="U65" i="6" s="1"/>
  <c r="S65" i="6"/>
  <c r="R27" i="6"/>
  <c r="U27" i="6" s="1"/>
  <c r="S27" i="6"/>
  <c r="R11" i="6"/>
  <c r="U11" i="6" s="1"/>
  <c r="S11" i="6"/>
  <c r="R82" i="6"/>
  <c r="U82" i="6" s="1"/>
  <c r="S82" i="6"/>
  <c r="R121" i="6"/>
  <c r="U121" i="6" s="1"/>
  <c r="S121" i="6"/>
  <c r="R13" i="6"/>
  <c r="U13" i="6" s="1"/>
  <c r="S13" i="6"/>
  <c r="R31" i="6"/>
  <c r="U31" i="6" s="1"/>
  <c r="S31" i="6"/>
  <c r="R42" i="6"/>
  <c r="S42" i="6"/>
  <c r="S123" i="6" s="1"/>
  <c r="R43" i="6"/>
  <c r="U43" i="6" s="1"/>
  <c r="S43" i="6"/>
  <c r="R117" i="6"/>
  <c r="U117" i="6" s="1"/>
  <c r="S117" i="6"/>
  <c r="R58" i="6"/>
  <c r="U58" i="6" s="1"/>
  <c r="S58" i="6"/>
  <c r="R50" i="6"/>
  <c r="U50" i="6" s="1"/>
  <c r="S50" i="6"/>
  <c r="R80" i="6"/>
  <c r="U80" i="6" s="1"/>
  <c r="S80" i="6"/>
  <c r="R118" i="6"/>
  <c r="U118" i="6" s="1"/>
  <c r="S118" i="6"/>
  <c r="R17" i="6"/>
  <c r="U17" i="6" s="1"/>
  <c r="S17" i="6"/>
  <c r="R70" i="6"/>
  <c r="U70" i="6" s="1"/>
  <c r="S70" i="6"/>
  <c r="R19" i="6"/>
  <c r="U19" i="6" s="1"/>
  <c r="S19" i="6"/>
  <c r="R69" i="6"/>
  <c r="U69" i="6" s="1"/>
  <c r="S69" i="6"/>
  <c r="R68" i="6"/>
  <c r="U68" i="6" s="1"/>
  <c r="S68" i="6"/>
  <c r="R20" i="6"/>
  <c r="U20" i="6" s="1"/>
  <c r="S20" i="6"/>
  <c r="R67" i="6"/>
  <c r="U67" i="6" s="1"/>
  <c r="S67" i="6"/>
  <c r="R87" i="6"/>
  <c r="U87" i="6" s="1"/>
  <c r="S87" i="6"/>
  <c r="R88" i="6"/>
  <c r="U88" i="6" s="1"/>
  <c r="S88" i="6"/>
  <c r="R89" i="6"/>
  <c r="U89" i="6" s="1"/>
  <c r="S89" i="6"/>
  <c r="R57" i="6"/>
  <c r="U57" i="6" s="1"/>
  <c r="S57" i="6"/>
  <c r="R116" i="6"/>
  <c r="U116" i="6" s="1"/>
  <c r="S116" i="6"/>
  <c r="R90" i="6"/>
  <c r="U90" i="6" s="1"/>
  <c r="S90" i="6"/>
  <c r="R91" i="6"/>
  <c r="U91" i="6" s="1"/>
  <c r="S91" i="6"/>
  <c r="R92" i="6"/>
  <c r="U92" i="6" s="1"/>
  <c r="S92" i="6"/>
  <c r="R73" i="6"/>
  <c r="U73" i="6" s="1"/>
  <c r="S73" i="6"/>
  <c r="R93" i="6"/>
  <c r="U93" i="6" s="1"/>
  <c r="S93" i="6"/>
  <c r="R94" i="6"/>
  <c r="U94" i="6" s="1"/>
  <c r="S94" i="6"/>
  <c r="R56" i="6"/>
  <c r="U56" i="6" s="1"/>
  <c r="S56" i="6"/>
  <c r="R33" i="6"/>
  <c r="U33" i="6" s="1"/>
  <c r="S33" i="6"/>
  <c r="R95" i="6"/>
  <c r="U95" i="6" s="1"/>
  <c r="S95" i="6"/>
  <c r="R96" i="6"/>
  <c r="U96" i="6" s="1"/>
  <c r="S96" i="6"/>
  <c r="R55" i="6"/>
  <c r="U55" i="6" s="1"/>
  <c r="S55" i="6"/>
  <c r="R97" i="6"/>
  <c r="U97" i="6" s="1"/>
  <c r="S97" i="6"/>
  <c r="R34" i="6"/>
  <c r="U34" i="6" s="1"/>
  <c r="S34" i="6"/>
  <c r="R98" i="6"/>
  <c r="U98" i="6" s="1"/>
  <c r="S98" i="6"/>
  <c r="R35" i="6"/>
  <c r="U35" i="6" s="1"/>
  <c r="S35" i="6"/>
  <c r="R100" i="6"/>
  <c r="U100" i="6" s="1"/>
  <c r="S100" i="6"/>
  <c r="R103" i="6"/>
  <c r="U103" i="6" s="1"/>
  <c r="S103" i="6"/>
  <c r="R36" i="6"/>
  <c r="U36" i="6" s="1"/>
  <c r="S36" i="6"/>
  <c r="R104" i="6"/>
  <c r="U104" i="6" s="1"/>
  <c r="S104" i="6"/>
  <c r="R54" i="6"/>
  <c r="U54" i="6" s="1"/>
  <c r="S54" i="6"/>
  <c r="R49" i="6"/>
  <c r="U49" i="6" s="1"/>
  <c r="S49" i="6"/>
  <c r="R37" i="6"/>
  <c r="U37" i="6" s="1"/>
  <c r="S37" i="6"/>
  <c r="R105" i="6"/>
  <c r="U105" i="6" s="1"/>
  <c r="S105" i="6"/>
  <c r="R38" i="6"/>
  <c r="U38" i="6" s="1"/>
  <c r="S38" i="6"/>
  <c r="R106" i="6"/>
  <c r="U106" i="6" s="1"/>
  <c r="S106" i="6"/>
  <c r="R62" i="6"/>
  <c r="U62" i="6" s="1"/>
  <c r="S62" i="6"/>
  <c r="R99" i="6"/>
  <c r="U99" i="6" s="1"/>
  <c r="S99" i="6"/>
  <c r="R72" i="6"/>
  <c r="U72" i="6" s="1"/>
  <c r="S72" i="6"/>
  <c r="R107" i="6"/>
  <c r="U107" i="6" s="1"/>
  <c r="S107" i="6"/>
  <c r="R53" i="6"/>
  <c r="U53" i="6" s="1"/>
  <c r="S53" i="6"/>
  <c r="R108" i="6"/>
  <c r="U108" i="6" s="1"/>
  <c r="S108" i="6"/>
  <c r="R52" i="6"/>
  <c r="U52" i="6" s="1"/>
  <c r="S52" i="6"/>
  <c r="R109" i="6"/>
  <c r="U109" i="6" s="1"/>
  <c r="S109" i="6"/>
  <c r="R46" i="6"/>
  <c r="U46" i="6" s="1"/>
  <c r="S46" i="6"/>
  <c r="R79" i="6"/>
  <c r="U79" i="6" s="1"/>
  <c r="S79" i="6"/>
  <c r="R47" i="6"/>
  <c r="U47" i="6" s="1"/>
  <c r="S47" i="6"/>
  <c r="R110" i="6"/>
  <c r="U110" i="6" s="1"/>
  <c r="S110" i="6"/>
  <c r="R51" i="6"/>
  <c r="U51" i="6" s="1"/>
  <c r="S51" i="6"/>
  <c r="R48" i="6"/>
  <c r="U48" i="6" s="1"/>
  <c r="S48" i="6"/>
  <c r="R71" i="6"/>
  <c r="U71" i="6" s="1"/>
  <c r="S71" i="6"/>
  <c r="R60" i="6"/>
  <c r="U60" i="6" s="1"/>
  <c r="S60" i="6"/>
  <c r="R78" i="6"/>
  <c r="U78" i="6" s="1"/>
  <c r="S78" i="6"/>
  <c r="R111" i="6"/>
  <c r="U111" i="6" s="1"/>
  <c r="S111" i="6"/>
  <c r="R77" i="6"/>
  <c r="U77" i="6" s="1"/>
  <c r="S77" i="6"/>
  <c r="R112" i="6"/>
  <c r="U112" i="6" s="1"/>
  <c r="S112" i="6"/>
  <c r="R76" i="6"/>
  <c r="U76" i="6" s="1"/>
  <c r="S76" i="6"/>
  <c r="R113" i="6"/>
  <c r="U113" i="6" s="1"/>
  <c r="S113" i="6"/>
  <c r="R75" i="6"/>
  <c r="U75" i="6" s="1"/>
  <c r="S75" i="6"/>
  <c r="R114" i="6"/>
  <c r="U114" i="6" s="1"/>
  <c r="S114" i="6"/>
  <c r="R74" i="6"/>
  <c r="U74" i="6" s="1"/>
  <c r="S74" i="6"/>
  <c r="R115" i="6"/>
  <c r="U115" i="6" s="1"/>
  <c r="S115" i="6"/>
  <c r="R85" i="6"/>
  <c r="U85" i="6" s="1"/>
  <c r="S85" i="6"/>
  <c r="R84" i="6"/>
  <c r="U84" i="6" s="1"/>
  <c r="S84" i="6"/>
  <c r="H13" i="9"/>
  <c r="J13" i="9" s="1"/>
  <c r="H14" i="9"/>
  <c r="J14" i="9" s="1"/>
  <c r="R86" i="6"/>
  <c r="U86" i="6" s="1"/>
  <c r="S86" i="6"/>
  <c r="M50" i="4"/>
  <c r="K62" i="4"/>
  <c r="R64" i="5"/>
  <c r="S64" i="5"/>
  <c r="R11" i="5"/>
  <c r="S11" i="5"/>
  <c r="R176" i="5"/>
  <c r="S176" i="5"/>
  <c r="R331" i="5"/>
  <c r="S331" i="5"/>
  <c r="R383" i="5"/>
  <c r="S383" i="5"/>
  <c r="R180" i="5"/>
  <c r="S180" i="5"/>
  <c r="R47" i="5"/>
  <c r="S47" i="5"/>
  <c r="R211" i="5"/>
  <c r="S211" i="5"/>
  <c r="R206" i="5"/>
  <c r="S206" i="5"/>
  <c r="R159" i="5"/>
  <c r="S159" i="5"/>
  <c r="R113" i="5"/>
  <c r="S113" i="5"/>
  <c r="R131" i="5"/>
  <c r="S131" i="5"/>
  <c r="R214" i="5"/>
  <c r="S214" i="5"/>
  <c r="R172" i="5"/>
  <c r="S172" i="5"/>
  <c r="R199" i="5"/>
  <c r="S199" i="5"/>
  <c r="R245" i="5"/>
  <c r="S245" i="5"/>
  <c r="R93" i="5"/>
  <c r="S93" i="5"/>
  <c r="R277" i="5"/>
  <c r="S277" i="5"/>
  <c r="R184" i="5"/>
  <c r="S184" i="5"/>
  <c r="R251" i="5"/>
  <c r="S251" i="5"/>
  <c r="R263" i="5"/>
  <c r="S263" i="5"/>
  <c r="R261" i="5"/>
  <c r="S261" i="5"/>
  <c r="R228" i="5"/>
  <c r="S228" i="5"/>
  <c r="R43" i="5"/>
  <c r="U43" i="5" s="1"/>
  <c r="S43" i="5"/>
  <c r="R60" i="5"/>
  <c r="U60" i="5" s="1"/>
  <c r="S60" i="5"/>
  <c r="R42" i="5"/>
  <c r="U42" i="5" s="1"/>
  <c r="S42" i="5"/>
  <c r="R6" i="5"/>
  <c r="U6" i="5" s="1"/>
  <c r="S6" i="5"/>
  <c r="R61" i="5"/>
  <c r="U61" i="5" s="1"/>
  <c r="S61" i="5"/>
  <c r="R5" i="5"/>
  <c r="S5" i="5"/>
  <c r="S88" i="5" s="1"/>
  <c r="R355" i="5"/>
  <c r="S355" i="5"/>
  <c r="R430" i="5"/>
  <c r="S430" i="5"/>
  <c r="R374" i="5"/>
  <c r="S374" i="5"/>
  <c r="R431" i="5"/>
  <c r="S431" i="5"/>
  <c r="R509" i="5"/>
  <c r="S509" i="5"/>
  <c r="R384" i="5"/>
  <c r="S384" i="5"/>
  <c r="R470" i="5"/>
  <c r="S470" i="5"/>
  <c r="R498" i="5"/>
  <c r="S498" i="5"/>
  <c r="R526" i="5"/>
  <c r="S526" i="5"/>
  <c r="R328" i="5"/>
  <c r="S328" i="5"/>
  <c r="R523" i="5"/>
  <c r="S523" i="5"/>
  <c r="R334" i="5"/>
  <c r="S334" i="5"/>
  <c r="R386" i="5"/>
  <c r="S386" i="5"/>
  <c r="R465" i="5"/>
  <c r="S465" i="5"/>
  <c r="R495" i="5"/>
  <c r="S495" i="5"/>
  <c r="R397" i="5"/>
  <c r="S397" i="5"/>
  <c r="R443" i="5"/>
  <c r="S443" i="5"/>
  <c r="R511" i="5"/>
  <c r="S511" i="5"/>
  <c r="R101" i="5"/>
  <c r="U101" i="5" s="1"/>
  <c r="S101" i="5"/>
  <c r="R141" i="5"/>
  <c r="U141" i="5" s="1"/>
  <c r="S141" i="5"/>
  <c r="R223" i="5"/>
  <c r="U223" i="5" s="1"/>
  <c r="S223" i="5"/>
  <c r="R130" i="5"/>
  <c r="S130" i="5"/>
  <c r="R151" i="5"/>
  <c r="S151" i="5"/>
  <c r="R387" i="5"/>
  <c r="S387" i="5"/>
  <c r="R132" i="5"/>
  <c r="S132" i="5"/>
  <c r="R140" i="5"/>
  <c r="U140" i="5" s="1"/>
  <c r="S140" i="5"/>
  <c r="R170" i="5"/>
  <c r="S170" i="5"/>
  <c r="R40" i="5"/>
  <c r="S40" i="5"/>
  <c r="R361" i="5"/>
  <c r="S361" i="5"/>
  <c r="R182" i="5"/>
  <c r="S182" i="5"/>
  <c r="R300" i="5"/>
  <c r="S300" i="5"/>
  <c r="R153" i="5"/>
  <c r="S153" i="5"/>
  <c r="R39" i="5"/>
  <c r="S39" i="5"/>
  <c r="R181" i="5"/>
  <c r="S181" i="5"/>
  <c r="R125" i="5"/>
  <c r="S125" i="5"/>
  <c r="R126" i="5"/>
  <c r="S126" i="5"/>
  <c r="R271" i="5"/>
  <c r="S271" i="5"/>
  <c r="R389" i="5"/>
  <c r="S389" i="5"/>
  <c r="R382" i="5"/>
  <c r="S382" i="5"/>
  <c r="R55" i="5"/>
  <c r="S55" i="5"/>
  <c r="R233" i="5"/>
  <c r="S233" i="5"/>
  <c r="R186" i="5"/>
  <c r="S186" i="5"/>
  <c r="R287" i="5"/>
  <c r="S287" i="5"/>
  <c r="R220" i="5"/>
  <c r="S220" i="5"/>
  <c r="R123" i="5"/>
  <c r="S123" i="5"/>
  <c r="R97" i="5"/>
  <c r="S97" i="5"/>
  <c r="R396" i="5"/>
  <c r="S396" i="5"/>
  <c r="R471" i="5"/>
  <c r="S471" i="5"/>
  <c r="R155" i="5"/>
  <c r="S155" i="5"/>
  <c r="R210" i="5"/>
  <c r="S210" i="5"/>
  <c r="R83" i="5"/>
  <c r="S83" i="5"/>
  <c r="R266" i="5"/>
  <c r="S266" i="5"/>
  <c r="R467" i="5"/>
  <c r="S467" i="5"/>
  <c r="R417" i="5"/>
  <c r="S417" i="5"/>
  <c r="R357" i="5"/>
  <c r="S357" i="5"/>
  <c r="R356" i="5"/>
  <c r="S356" i="5"/>
  <c r="R218" i="5"/>
  <c r="S218" i="5"/>
  <c r="R185" i="5"/>
  <c r="S185" i="5"/>
  <c r="R138" i="5"/>
  <c r="S138" i="5"/>
  <c r="R219" i="5"/>
  <c r="S219" i="5"/>
  <c r="R196" i="5"/>
  <c r="S196" i="5"/>
  <c r="R120" i="5"/>
  <c r="S120" i="5"/>
  <c r="R203" i="5"/>
  <c r="S203" i="5"/>
  <c r="R418" i="5"/>
  <c r="S418" i="5"/>
  <c r="R528" i="5"/>
  <c r="S528" i="5"/>
  <c r="R135" i="5"/>
  <c r="S135" i="5"/>
  <c r="R505" i="5"/>
  <c r="S505" i="5"/>
  <c r="R31" i="5"/>
  <c r="U31" i="5" s="1"/>
  <c r="S31" i="5"/>
  <c r="R255" i="5"/>
  <c r="U255" i="5" s="1"/>
  <c r="S255" i="5"/>
  <c r="R143" i="5"/>
  <c r="U143" i="5" s="1"/>
  <c r="S143" i="5"/>
  <c r="R521" i="5"/>
  <c r="U521" i="5" s="1"/>
  <c r="S521" i="5"/>
  <c r="R30" i="5"/>
  <c r="U30" i="5" s="1"/>
  <c r="S30" i="5"/>
  <c r="R148" i="5"/>
  <c r="U148" i="5" s="1"/>
  <c r="S148" i="5"/>
  <c r="R491" i="5"/>
  <c r="U491" i="5" s="1"/>
  <c r="S491" i="5"/>
  <c r="R392" i="5"/>
  <c r="U392" i="5" s="1"/>
  <c r="S392" i="5"/>
  <c r="R146" i="5"/>
  <c r="U146" i="5" s="1"/>
  <c r="S146" i="5"/>
  <c r="R493" i="5"/>
  <c r="U493" i="5" s="1"/>
  <c r="S493" i="5"/>
  <c r="R216" i="5"/>
  <c r="U216" i="5" s="1"/>
  <c r="S216" i="5"/>
  <c r="R205" i="5"/>
  <c r="U205" i="5" s="1"/>
  <c r="S205" i="5"/>
  <c r="R395" i="5"/>
  <c r="U395" i="5" s="1"/>
  <c r="S395" i="5"/>
  <c r="R428" i="5"/>
  <c r="U428" i="5" s="1"/>
  <c r="S428" i="5"/>
  <c r="R150" i="5"/>
  <c r="U150" i="5" s="1"/>
  <c r="S150" i="5"/>
  <c r="R100" i="5"/>
  <c r="S100" i="5"/>
  <c r="R215" i="5"/>
  <c r="S215" i="5"/>
  <c r="R145" i="5"/>
  <c r="S145" i="5"/>
  <c r="R204" i="5"/>
  <c r="S204" i="5"/>
  <c r="R492" i="5"/>
  <c r="S492" i="5"/>
  <c r="R62" i="5"/>
  <c r="S62" i="5"/>
  <c r="R147" i="5"/>
  <c r="S147" i="5"/>
  <c r="R284" i="5"/>
  <c r="S284" i="5"/>
  <c r="R149" i="5"/>
  <c r="S149" i="5"/>
  <c r="R283" i="5"/>
  <c r="S283" i="5"/>
  <c r="R394" i="5"/>
  <c r="S394" i="5"/>
  <c r="R490" i="5"/>
  <c r="S490" i="5"/>
  <c r="R63" i="5"/>
  <c r="S63" i="5"/>
  <c r="R66" i="5"/>
  <c r="S66" i="5"/>
  <c r="R282" i="5"/>
  <c r="S282" i="5"/>
  <c r="R391" i="5"/>
  <c r="S391" i="5"/>
  <c r="R527" i="5"/>
  <c r="S527" i="5"/>
  <c r="R275" i="5"/>
  <c r="S275" i="5"/>
  <c r="R427" i="5"/>
  <c r="S427" i="5"/>
  <c r="R512" i="5"/>
  <c r="S512" i="5"/>
  <c r="R105" i="5"/>
  <c r="S105" i="5"/>
  <c r="R9" i="5"/>
  <c r="S9" i="5"/>
  <c r="R10" i="5"/>
  <c r="S10" i="5"/>
  <c r="R265" i="5"/>
  <c r="S265" i="5"/>
  <c r="R46" i="5"/>
  <c r="S46" i="5"/>
  <c r="R45" i="5"/>
  <c r="S45" i="5"/>
  <c r="R319" i="5"/>
  <c r="S319" i="5"/>
  <c r="R320" i="5"/>
  <c r="S320" i="5"/>
  <c r="R50" i="5"/>
  <c r="S50" i="5"/>
  <c r="R49" i="5"/>
  <c r="S49" i="5"/>
  <c r="R241" i="5"/>
  <c r="S241" i="5"/>
  <c r="R360" i="5"/>
  <c r="S360" i="5"/>
  <c r="R359" i="5"/>
  <c r="S359" i="5"/>
  <c r="R322" i="5"/>
  <c r="S322" i="5"/>
  <c r="R103" i="5"/>
  <c r="S103" i="5"/>
  <c r="R341" i="5"/>
  <c r="U341" i="5" s="1"/>
  <c r="S341" i="5"/>
  <c r="R70" i="5"/>
  <c r="U70" i="5" s="1"/>
  <c r="S70" i="5"/>
  <c r="R337" i="5"/>
  <c r="U337" i="5" s="1"/>
  <c r="S337" i="5"/>
  <c r="R137" i="5"/>
  <c r="U137" i="5" s="1"/>
  <c r="S137" i="5"/>
  <c r="R231" i="5"/>
  <c r="U231" i="5" s="1"/>
  <c r="S231" i="5"/>
  <c r="R98" i="5"/>
  <c r="U98" i="5" s="1"/>
  <c r="S98" i="5"/>
  <c r="R152" i="5"/>
  <c r="U152" i="5" s="1"/>
  <c r="S152" i="5"/>
  <c r="R338" i="5"/>
  <c r="U338" i="5" s="1"/>
  <c r="S338" i="5"/>
  <c r="R349" i="5"/>
  <c r="U349" i="5" s="1"/>
  <c r="S349" i="5"/>
  <c r="R106" i="5"/>
  <c r="U106" i="5" s="1"/>
  <c r="S106" i="5"/>
  <c r="R311" i="5"/>
  <c r="S311" i="5"/>
  <c r="S532" i="5" s="1"/>
  <c r="R157" i="5"/>
  <c r="U157" i="5" s="1"/>
  <c r="S157" i="5"/>
  <c r="R139" i="5"/>
  <c r="U139" i="5" s="1"/>
  <c r="S139" i="5"/>
  <c r="R259" i="5"/>
  <c r="U259" i="5" s="1"/>
  <c r="S259" i="5"/>
  <c r="R339" i="5"/>
  <c r="U339" i="5" s="1"/>
  <c r="S339" i="5"/>
  <c r="R257" i="5"/>
  <c r="U257" i="5" s="1"/>
  <c r="S257" i="5"/>
  <c r="R168" i="5"/>
  <c r="U168" i="5" s="1"/>
  <c r="S168" i="5"/>
  <c r="R340" i="5"/>
  <c r="U340" i="5" s="1"/>
  <c r="S340" i="5"/>
  <c r="R144" i="5"/>
  <c r="U144" i="5" s="1"/>
  <c r="S144" i="5"/>
  <c r="R221" i="5"/>
  <c r="U221" i="5" s="1"/>
  <c r="S221" i="5"/>
  <c r="R323" i="5"/>
  <c r="U323" i="5" s="1"/>
  <c r="S323" i="5"/>
  <c r="R316" i="5"/>
  <c r="U316" i="5" s="1"/>
  <c r="S316" i="5"/>
  <c r="R413" i="5"/>
  <c r="S413" i="5"/>
  <c r="R238" i="5"/>
  <c r="S238" i="5"/>
  <c r="R412" i="5"/>
  <c r="S412" i="5"/>
  <c r="R482" i="5"/>
  <c r="S482" i="5"/>
  <c r="R454" i="5"/>
  <c r="S454" i="5"/>
  <c r="R411" i="5"/>
  <c r="S411" i="5"/>
  <c r="R485" i="5"/>
  <c r="S485" i="5"/>
  <c r="R455" i="5"/>
  <c r="S455" i="5"/>
  <c r="R410" i="5"/>
  <c r="S410" i="5"/>
  <c r="R379" i="5"/>
  <c r="S379" i="5"/>
  <c r="R486" i="5"/>
  <c r="S486" i="5"/>
  <c r="R409" i="5"/>
  <c r="S409" i="5"/>
  <c r="R378" i="5"/>
  <c r="S378" i="5"/>
  <c r="R408" i="5"/>
  <c r="S408" i="5"/>
  <c r="R450" i="5"/>
  <c r="S450" i="5"/>
  <c r="R453" i="5"/>
  <c r="S453" i="5"/>
  <c r="R407" i="5"/>
  <c r="S407" i="5"/>
  <c r="R377" i="5"/>
  <c r="S377" i="5"/>
  <c r="R237" i="5"/>
  <c r="S237" i="5"/>
  <c r="R406" i="5"/>
  <c r="S406" i="5"/>
  <c r="R456" i="5"/>
  <c r="S456" i="5"/>
  <c r="R405" i="5"/>
  <c r="S405" i="5"/>
  <c r="R364" i="5"/>
  <c r="S364" i="5"/>
  <c r="R404" i="5"/>
  <c r="S404" i="5"/>
  <c r="R483" i="5"/>
  <c r="S483" i="5"/>
  <c r="R452" i="5"/>
  <c r="S452" i="5"/>
  <c r="R403" i="5"/>
  <c r="S403" i="5"/>
  <c r="R487" i="5"/>
  <c r="S487" i="5"/>
  <c r="R402" i="5"/>
  <c r="S402" i="5"/>
  <c r="R401" i="5"/>
  <c r="S401" i="5"/>
  <c r="R462" i="5"/>
  <c r="S462" i="5"/>
  <c r="R373" i="5"/>
  <c r="S373" i="5"/>
  <c r="R236" i="5"/>
  <c r="S236" i="5"/>
  <c r="R154" i="5"/>
  <c r="S154" i="5"/>
  <c r="R399" i="5"/>
  <c r="S399" i="5"/>
  <c r="R372" i="5"/>
  <c r="S372" i="5"/>
  <c r="R363" i="5"/>
  <c r="S363" i="5"/>
  <c r="R371" i="5"/>
  <c r="S371" i="5"/>
  <c r="R461" i="5"/>
  <c r="S461" i="5"/>
  <c r="R472" i="5"/>
  <c r="S472" i="5"/>
  <c r="R460" i="5"/>
  <c r="S460" i="5"/>
  <c r="R473" i="5"/>
  <c r="S473" i="5"/>
  <c r="R459" i="5"/>
  <c r="S459" i="5"/>
  <c r="R474" i="5"/>
  <c r="S474" i="5"/>
  <c r="R458" i="5"/>
  <c r="S458" i="5"/>
  <c r="R448" i="5"/>
  <c r="S448" i="5"/>
  <c r="R475" i="5"/>
  <c r="S475" i="5"/>
  <c r="R369" i="5"/>
  <c r="S369" i="5"/>
  <c r="R235" i="5"/>
  <c r="S235" i="5"/>
  <c r="R476" i="5"/>
  <c r="S476" i="5"/>
  <c r="R156" i="5"/>
  <c r="S156" i="5"/>
  <c r="R451" i="5"/>
  <c r="S451" i="5"/>
  <c r="R390" i="5"/>
  <c r="S390" i="5"/>
  <c r="R243" i="5"/>
  <c r="S243" i="5"/>
  <c r="R477" i="5"/>
  <c r="S477" i="5"/>
  <c r="R368" i="5"/>
  <c r="S368" i="5"/>
  <c r="R162" i="5"/>
  <c r="S162" i="5"/>
  <c r="R388" i="5"/>
  <c r="S388" i="5"/>
  <c r="R242" i="5"/>
  <c r="S242" i="5"/>
  <c r="R478" i="5"/>
  <c r="S478" i="5"/>
  <c r="R484" i="5"/>
  <c r="S484" i="5"/>
  <c r="R367" i="5"/>
  <c r="S367" i="5"/>
  <c r="R479" i="5"/>
  <c r="S479" i="5"/>
  <c r="R457" i="5"/>
  <c r="S457" i="5"/>
  <c r="R366" i="5"/>
  <c r="S366" i="5"/>
  <c r="R480" i="5"/>
  <c r="S480" i="5"/>
  <c r="R365" i="5"/>
  <c r="S365" i="5"/>
  <c r="R481" i="5"/>
  <c r="S481" i="5"/>
  <c r="R520" i="5"/>
  <c r="S520" i="5"/>
  <c r="R82" i="5"/>
  <c r="S82" i="5"/>
  <c r="R69" i="5"/>
  <c r="S69" i="5"/>
  <c r="R68" i="5"/>
  <c r="S68" i="5"/>
  <c r="R15" i="5"/>
  <c r="S15" i="5"/>
  <c r="R510" i="5"/>
  <c r="S510" i="5"/>
  <c r="R16" i="5"/>
  <c r="S16" i="5"/>
  <c r="R514" i="5"/>
  <c r="S514" i="5"/>
  <c r="R531" i="5"/>
  <c r="U531" i="5" s="1"/>
  <c r="S531" i="5"/>
  <c r="R209" i="5"/>
  <c r="S209" i="5"/>
  <c r="R267" i="5"/>
  <c r="S267" i="5"/>
  <c r="R303" i="5"/>
  <c r="S303" i="5"/>
  <c r="R305" i="5"/>
  <c r="S305" i="5"/>
  <c r="R268" i="5"/>
  <c r="S268" i="5"/>
  <c r="R438" i="5"/>
  <c r="S438" i="5"/>
  <c r="R439" i="5"/>
  <c r="S439" i="5"/>
  <c r="R122" i="5"/>
  <c r="S122" i="5"/>
  <c r="R56" i="5"/>
  <c r="S56" i="5"/>
  <c r="R442" i="5"/>
  <c r="S442" i="5"/>
  <c r="R286" i="5"/>
  <c r="S286" i="5"/>
  <c r="R362" i="5"/>
  <c r="S362" i="5"/>
  <c r="R292" i="5"/>
  <c r="S292" i="5"/>
  <c r="R289" i="5"/>
  <c r="S289" i="5"/>
  <c r="R293" i="5"/>
  <c r="S293" i="5"/>
  <c r="R291" i="5"/>
  <c r="S291" i="5"/>
  <c r="R294" i="5"/>
  <c r="S294" i="5"/>
  <c r="R290" i="5"/>
  <c r="S290" i="5"/>
  <c r="R299" i="5"/>
  <c r="S299" i="5"/>
  <c r="R110" i="5"/>
  <c r="S110" i="5"/>
  <c r="R269" i="5"/>
  <c r="S269" i="5"/>
  <c r="R295" i="5"/>
  <c r="S295" i="5"/>
  <c r="R296" i="5"/>
  <c r="S296" i="5"/>
  <c r="R270" i="5"/>
  <c r="S270" i="5"/>
  <c r="R288" i="5"/>
  <c r="S288" i="5"/>
  <c r="R53" i="5"/>
  <c r="S53" i="5"/>
  <c r="R72" i="5"/>
  <c r="S72" i="5"/>
  <c r="R54" i="5"/>
  <c r="S54" i="5"/>
  <c r="R38" i="5"/>
  <c r="S38" i="5"/>
  <c r="R37" i="5"/>
  <c r="S37" i="5"/>
  <c r="R36" i="5"/>
  <c r="S36" i="5"/>
  <c r="R67" i="5"/>
  <c r="S67" i="5"/>
  <c r="R344" i="5"/>
  <c r="S344" i="5"/>
  <c r="R347" i="5"/>
  <c r="S347" i="5"/>
  <c r="R400" i="5"/>
  <c r="S400" i="5"/>
  <c r="R426" i="5"/>
  <c r="S426" i="5"/>
  <c r="H6" i="9"/>
  <c r="J6" i="9" s="1"/>
  <c r="H7" i="9"/>
  <c r="J7" i="9" s="1"/>
  <c r="D9" i="10" s="1"/>
  <c r="H8" i="9"/>
  <c r="J8" i="9" s="1"/>
  <c r="E9" i="10" s="1"/>
  <c r="R142" i="5"/>
  <c r="S142" i="5"/>
  <c r="M6" i="4"/>
  <c r="K44" i="4"/>
  <c r="R232" i="5"/>
  <c r="S232" i="5"/>
  <c r="S13" i="2"/>
  <c r="R14" i="2"/>
  <c r="Q13" i="2"/>
  <c r="P14" i="2"/>
  <c r="O13" i="2"/>
  <c r="N14" i="2"/>
  <c r="M13" i="2"/>
  <c r="L14" i="2"/>
  <c r="K13" i="2"/>
  <c r="J14" i="2"/>
  <c r="I13" i="2"/>
  <c r="H14" i="2"/>
  <c r="G13" i="2"/>
  <c r="F14" i="2"/>
  <c r="E13" i="2"/>
  <c r="D14" i="2"/>
  <c r="C13" i="2"/>
  <c r="B14" i="2"/>
  <c r="G19" i="9"/>
  <c r="K19" i="9" s="1"/>
  <c r="G20" i="9"/>
  <c r="K20" i="9" s="1"/>
  <c r="E12" i="10" s="1"/>
  <c r="S5" i="7"/>
  <c r="S42" i="7" s="1"/>
  <c r="U5" i="7"/>
  <c r="R42" i="7"/>
  <c r="S5" i="6"/>
  <c r="S40" i="6" s="1"/>
  <c r="U5" i="6"/>
  <c r="R40" i="6"/>
  <c r="G13" i="9"/>
  <c r="K13" i="9" s="1"/>
  <c r="G14" i="9"/>
  <c r="K14" i="9" s="1"/>
  <c r="E11" i="10" s="1"/>
  <c r="G6" i="9"/>
  <c r="K6" i="9" s="1"/>
  <c r="G7" i="9"/>
  <c r="K7" i="9" s="1"/>
  <c r="G8" i="9"/>
  <c r="K8" i="9" s="1"/>
  <c r="S90" i="5"/>
  <c r="S306" i="5" s="1"/>
  <c r="U90" i="5"/>
  <c r="R306" i="5"/>
  <c r="S302" i="5"/>
  <c r="U302" i="5"/>
  <c r="S304" i="5"/>
  <c r="T304" i="5"/>
  <c r="U304" i="5"/>
  <c r="V304" i="5" s="1"/>
  <c r="M41" i="4"/>
  <c r="N41" i="4" s="1"/>
  <c r="L41" i="4"/>
  <c r="M40" i="4"/>
  <c r="N40" i="4" s="1"/>
  <c r="L40" i="4"/>
  <c r="M38" i="4"/>
  <c r="N38" i="4" s="1"/>
  <c r="L38" i="4"/>
  <c r="M36" i="4"/>
  <c r="N36" i="4" s="1"/>
  <c r="L36" i="4"/>
  <c r="M35" i="4"/>
  <c r="N35" i="4" s="1"/>
  <c r="L35" i="4"/>
  <c r="M34" i="4"/>
  <c r="N34" i="4" s="1"/>
  <c r="L34" i="4"/>
  <c r="M32" i="4"/>
  <c r="N32" i="4" s="1"/>
  <c r="L32" i="4"/>
  <c r="M31" i="4"/>
  <c r="N31" i="4" s="1"/>
  <c r="L31" i="4"/>
  <c r="M30" i="4"/>
  <c r="N30" i="4" s="1"/>
  <c r="L30" i="4"/>
  <c r="M29" i="4"/>
  <c r="N29" i="4" s="1"/>
  <c r="L29" i="4"/>
  <c r="M28" i="4"/>
  <c r="N28" i="4" s="1"/>
  <c r="L28" i="4"/>
  <c r="M27" i="4"/>
  <c r="N27" i="4" s="1"/>
  <c r="L27" i="4"/>
  <c r="M24" i="4"/>
  <c r="N24" i="4" s="1"/>
  <c r="L24" i="4"/>
  <c r="M23" i="4"/>
  <c r="N23" i="4" s="1"/>
  <c r="L23" i="4"/>
  <c r="M22" i="4"/>
  <c r="N22" i="4" s="1"/>
  <c r="L22" i="4"/>
  <c r="M21" i="4"/>
  <c r="N21" i="4" s="1"/>
  <c r="L21" i="4"/>
  <c r="M20" i="4"/>
  <c r="N20" i="4" s="1"/>
  <c r="L20" i="4"/>
  <c r="M18" i="4"/>
  <c r="N18" i="4" s="1"/>
  <c r="L18" i="4"/>
  <c r="M17" i="4"/>
  <c r="N17" i="4" s="1"/>
  <c r="L17" i="4"/>
  <c r="M15" i="4"/>
  <c r="N15" i="4" s="1"/>
  <c r="L15" i="4"/>
  <c r="M14" i="4"/>
  <c r="N14" i="4" s="1"/>
  <c r="L14" i="4"/>
  <c r="M13" i="4"/>
  <c r="N13" i="4" s="1"/>
  <c r="L13" i="4"/>
  <c r="M12" i="4"/>
  <c r="N12" i="4" s="1"/>
  <c r="L12" i="4"/>
  <c r="M11" i="4"/>
  <c r="N11" i="4" s="1"/>
  <c r="L11" i="4"/>
  <c r="M10" i="4"/>
  <c r="N10" i="4" s="1"/>
  <c r="L10" i="4"/>
  <c r="M9" i="4"/>
  <c r="N9" i="4" s="1"/>
  <c r="L9" i="4"/>
  <c r="M8" i="4"/>
  <c r="N8" i="4" s="1"/>
  <c r="L8" i="4"/>
  <c r="M7" i="4"/>
  <c r="N7" i="4" s="1"/>
  <c r="L7" i="4"/>
  <c r="U44" i="7" l="1"/>
  <c r="R125" i="7"/>
  <c r="M80" i="4"/>
  <c r="U42" i="6"/>
  <c r="R123" i="6"/>
  <c r="M62" i="4"/>
  <c r="T64" i="5"/>
  <c r="U64" i="5"/>
  <c r="V64" i="5" s="1"/>
  <c r="T11" i="5"/>
  <c r="U11" i="5"/>
  <c r="V11" i="5" s="1"/>
  <c r="T176" i="5"/>
  <c r="U176" i="5"/>
  <c r="V176" i="5" s="1"/>
  <c r="T331" i="5"/>
  <c r="U331" i="5"/>
  <c r="V331" i="5" s="1"/>
  <c r="T383" i="5"/>
  <c r="U383" i="5"/>
  <c r="V383" i="5" s="1"/>
  <c r="T180" i="5"/>
  <c r="U180" i="5"/>
  <c r="V180" i="5" s="1"/>
  <c r="T47" i="5"/>
  <c r="U47" i="5"/>
  <c r="V47" i="5" s="1"/>
  <c r="T211" i="5"/>
  <c r="U211" i="5"/>
  <c r="V211" i="5" s="1"/>
  <c r="T206" i="5"/>
  <c r="U206" i="5"/>
  <c r="V206" i="5" s="1"/>
  <c r="T159" i="5"/>
  <c r="U159" i="5"/>
  <c r="V159" i="5" s="1"/>
  <c r="T113" i="5"/>
  <c r="U113" i="5"/>
  <c r="V113" i="5" s="1"/>
  <c r="T131" i="5"/>
  <c r="U131" i="5"/>
  <c r="V131" i="5" s="1"/>
  <c r="T214" i="5"/>
  <c r="U214" i="5"/>
  <c r="V214" i="5" s="1"/>
  <c r="T172" i="5"/>
  <c r="U172" i="5"/>
  <c r="V172" i="5" s="1"/>
  <c r="T199" i="5"/>
  <c r="U199" i="5"/>
  <c r="V199" i="5" s="1"/>
  <c r="T245" i="5"/>
  <c r="U245" i="5"/>
  <c r="V245" i="5" s="1"/>
  <c r="T93" i="5"/>
  <c r="U93" i="5"/>
  <c r="V93" i="5" s="1"/>
  <c r="T277" i="5"/>
  <c r="U277" i="5"/>
  <c r="V277" i="5" s="1"/>
  <c r="T184" i="5"/>
  <c r="U184" i="5"/>
  <c r="V184" i="5" s="1"/>
  <c r="T251" i="5"/>
  <c r="U251" i="5"/>
  <c r="V251" i="5" s="1"/>
  <c r="T263" i="5"/>
  <c r="U263" i="5"/>
  <c r="V263" i="5" s="1"/>
  <c r="T261" i="5"/>
  <c r="U261" i="5"/>
  <c r="V261" i="5" s="1"/>
  <c r="T228" i="5"/>
  <c r="U228" i="5"/>
  <c r="V228" i="5" s="1"/>
  <c r="U5" i="5"/>
  <c r="R88" i="5"/>
  <c r="T355" i="5"/>
  <c r="U355" i="5"/>
  <c r="V355" i="5" s="1"/>
  <c r="T430" i="5"/>
  <c r="U430" i="5"/>
  <c r="V430" i="5" s="1"/>
  <c r="T374" i="5"/>
  <c r="U374" i="5"/>
  <c r="V374" i="5" s="1"/>
  <c r="T431" i="5"/>
  <c r="U431" i="5"/>
  <c r="V431" i="5" s="1"/>
  <c r="T509" i="5"/>
  <c r="U509" i="5"/>
  <c r="V509" i="5" s="1"/>
  <c r="T384" i="5"/>
  <c r="U384" i="5"/>
  <c r="V384" i="5" s="1"/>
  <c r="T470" i="5"/>
  <c r="U470" i="5"/>
  <c r="V470" i="5" s="1"/>
  <c r="T498" i="5"/>
  <c r="U498" i="5"/>
  <c r="V498" i="5" s="1"/>
  <c r="T526" i="5"/>
  <c r="U526" i="5"/>
  <c r="V526" i="5" s="1"/>
  <c r="T328" i="5"/>
  <c r="U328" i="5"/>
  <c r="V328" i="5" s="1"/>
  <c r="T523" i="5"/>
  <c r="U523" i="5"/>
  <c r="V523" i="5" s="1"/>
  <c r="T334" i="5"/>
  <c r="U334" i="5"/>
  <c r="V334" i="5" s="1"/>
  <c r="T386" i="5"/>
  <c r="U386" i="5"/>
  <c r="V386" i="5" s="1"/>
  <c r="T465" i="5"/>
  <c r="U465" i="5"/>
  <c r="V465" i="5" s="1"/>
  <c r="T495" i="5"/>
  <c r="U495" i="5"/>
  <c r="V495" i="5" s="1"/>
  <c r="T397" i="5"/>
  <c r="U397" i="5"/>
  <c r="V397" i="5" s="1"/>
  <c r="T443" i="5"/>
  <c r="U443" i="5"/>
  <c r="V443" i="5" s="1"/>
  <c r="T511" i="5"/>
  <c r="U511" i="5"/>
  <c r="V511" i="5" s="1"/>
  <c r="T130" i="5"/>
  <c r="U130" i="5"/>
  <c r="V130" i="5" s="1"/>
  <c r="T151" i="5"/>
  <c r="U151" i="5"/>
  <c r="V151" i="5" s="1"/>
  <c r="T387" i="5"/>
  <c r="U387" i="5"/>
  <c r="V387" i="5" s="1"/>
  <c r="T132" i="5"/>
  <c r="U132" i="5"/>
  <c r="V132" i="5" s="1"/>
  <c r="T170" i="5"/>
  <c r="U170" i="5"/>
  <c r="V170" i="5" s="1"/>
  <c r="T40" i="5"/>
  <c r="U40" i="5"/>
  <c r="V40" i="5" s="1"/>
  <c r="T361" i="5"/>
  <c r="U361" i="5"/>
  <c r="V361" i="5" s="1"/>
  <c r="T182" i="5"/>
  <c r="U182" i="5"/>
  <c r="V182" i="5" s="1"/>
  <c r="T300" i="5"/>
  <c r="U300" i="5"/>
  <c r="V300" i="5" s="1"/>
  <c r="T153" i="5"/>
  <c r="U153" i="5"/>
  <c r="V153" i="5" s="1"/>
  <c r="T39" i="5"/>
  <c r="U39" i="5"/>
  <c r="V39" i="5" s="1"/>
  <c r="T181" i="5"/>
  <c r="U181" i="5"/>
  <c r="V181" i="5" s="1"/>
  <c r="T125" i="5"/>
  <c r="U125" i="5"/>
  <c r="V125" i="5" s="1"/>
  <c r="T126" i="5"/>
  <c r="U126" i="5"/>
  <c r="V126" i="5" s="1"/>
  <c r="T271" i="5"/>
  <c r="U271" i="5"/>
  <c r="V271" i="5" s="1"/>
  <c r="T389" i="5"/>
  <c r="U389" i="5"/>
  <c r="V389" i="5" s="1"/>
  <c r="T382" i="5"/>
  <c r="U382" i="5"/>
  <c r="V382" i="5" s="1"/>
  <c r="T55" i="5"/>
  <c r="U55" i="5"/>
  <c r="V55" i="5" s="1"/>
  <c r="T233" i="5"/>
  <c r="U233" i="5"/>
  <c r="V233" i="5" s="1"/>
  <c r="T186" i="5"/>
  <c r="U186" i="5"/>
  <c r="V186" i="5" s="1"/>
  <c r="T287" i="5"/>
  <c r="U287" i="5"/>
  <c r="V287" i="5" s="1"/>
  <c r="T220" i="5"/>
  <c r="U220" i="5"/>
  <c r="V220" i="5" s="1"/>
  <c r="T123" i="5"/>
  <c r="U123" i="5"/>
  <c r="V123" i="5" s="1"/>
  <c r="T97" i="5"/>
  <c r="U97" i="5"/>
  <c r="V97" i="5" s="1"/>
  <c r="T396" i="5"/>
  <c r="U396" i="5"/>
  <c r="V396" i="5" s="1"/>
  <c r="T471" i="5"/>
  <c r="U471" i="5"/>
  <c r="V471" i="5" s="1"/>
  <c r="T155" i="5"/>
  <c r="U155" i="5"/>
  <c r="V155" i="5" s="1"/>
  <c r="T210" i="5"/>
  <c r="U210" i="5"/>
  <c r="V210" i="5" s="1"/>
  <c r="T83" i="5"/>
  <c r="U83" i="5"/>
  <c r="V83" i="5" s="1"/>
  <c r="T266" i="5"/>
  <c r="U266" i="5"/>
  <c r="V266" i="5" s="1"/>
  <c r="T467" i="5"/>
  <c r="U467" i="5"/>
  <c r="V467" i="5" s="1"/>
  <c r="T417" i="5"/>
  <c r="U417" i="5"/>
  <c r="V417" i="5" s="1"/>
  <c r="T357" i="5"/>
  <c r="U357" i="5"/>
  <c r="V357" i="5" s="1"/>
  <c r="T356" i="5"/>
  <c r="U356" i="5"/>
  <c r="V356" i="5" s="1"/>
  <c r="T218" i="5"/>
  <c r="U218" i="5"/>
  <c r="V218" i="5" s="1"/>
  <c r="T185" i="5"/>
  <c r="U185" i="5"/>
  <c r="V185" i="5" s="1"/>
  <c r="T138" i="5"/>
  <c r="U138" i="5"/>
  <c r="V138" i="5" s="1"/>
  <c r="T219" i="5"/>
  <c r="U219" i="5"/>
  <c r="V219" i="5" s="1"/>
  <c r="T196" i="5"/>
  <c r="U196" i="5"/>
  <c r="V196" i="5" s="1"/>
  <c r="T120" i="5"/>
  <c r="U120" i="5"/>
  <c r="V120" i="5" s="1"/>
  <c r="T203" i="5"/>
  <c r="U203" i="5"/>
  <c r="V203" i="5" s="1"/>
  <c r="T418" i="5"/>
  <c r="U418" i="5"/>
  <c r="V418" i="5" s="1"/>
  <c r="T528" i="5"/>
  <c r="U528" i="5"/>
  <c r="V528" i="5" s="1"/>
  <c r="T135" i="5"/>
  <c r="U135" i="5"/>
  <c r="V135" i="5" s="1"/>
  <c r="T505" i="5"/>
  <c r="U505" i="5"/>
  <c r="V505" i="5" s="1"/>
  <c r="T100" i="5"/>
  <c r="U100" i="5"/>
  <c r="V100" i="5" s="1"/>
  <c r="T215" i="5"/>
  <c r="U215" i="5"/>
  <c r="V215" i="5" s="1"/>
  <c r="T145" i="5"/>
  <c r="U145" i="5"/>
  <c r="V145" i="5" s="1"/>
  <c r="T204" i="5"/>
  <c r="U204" i="5"/>
  <c r="V204" i="5" s="1"/>
  <c r="T492" i="5"/>
  <c r="U492" i="5"/>
  <c r="V492" i="5" s="1"/>
  <c r="T62" i="5"/>
  <c r="U62" i="5"/>
  <c r="V62" i="5" s="1"/>
  <c r="T147" i="5"/>
  <c r="U147" i="5"/>
  <c r="V147" i="5" s="1"/>
  <c r="T284" i="5"/>
  <c r="U284" i="5"/>
  <c r="V284" i="5" s="1"/>
  <c r="T149" i="5"/>
  <c r="U149" i="5"/>
  <c r="V149" i="5" s="1"/>
  <c r="T283" i="5"/>
  <c r="U283" i="5"/>
  <c r="V283" i="5" s="1"/>
  <c r="T394" i="5"/>
  <c r="U394" i="5"/>
  <c r="V394" i="5" s="1"/>
  <c r="T490" i="5"/>
  <c r="U490" i="5"/>
  <c r="V490" i="5" s="1"/>
  <c r="T63" i="5"/>
  <c r="U63" i="5"/>
  <c r="V63" i="5" s="1"/>
  <c r="T66" i="5"/>
  <c r="U66" i="5"/>
  <c r="V66" i="5" s="1"/>
  <c r="T282" i="5"/>
  <c r="U282" i="5"/>
  <c r="V282" i="5" s="1"/>
  <c r="T391" i="5"/>
  <c r="U391" i="5"/>
  <c r="V391" i="5" s="1"/>
  <c r="T527" i="5"/>
  <c r="U527" i="5"/>
  <c r="V527" i="5" s="1"/>
  <c r="T275" i="5"/>
  <c r="U275" i="5"/>
  <c r="V275" i="5" s="1"/>
  <c r="T427" i="5"/>
  <c r="U427" i="5"/>
  <c r="V427" i="5" s="1"/>
  <c r="T512" i="5"/>
  <c r="U512" i="5"/>
  <c r="V512" i="5" s="1"/>
  <c r="T105" i="5"/>
  <c r="U105" i="5"/>
  <c r="V105" i="5" s="1"/>
  <c r="T9" i="5"/>
  <c r="U9" i="5"/>
  <c r="V9" i="5" s="1"/>
  <c r="T10" i="5"/>
  <c r="U10" i="5"/>
  <c r="V10" i="5" s="1"/>
  <c r="T265" i="5"/>
  <c r="U265" i="5"/>
  <c r="V265" i="5" s="1"/>
  <c r="T46" i="5"/>
  <c r="U46" i="5"/>
  <c r="V46" i="5" s="1"/>
  <c r="T45" i="5"/>
  <c r="U45" i="5"/>
  <c r="V45" i="5" s="1"/>
  <c r="T319" i="5"/>
  <c r="U319" i="5"/>
  <c r="V319" i="5" s="1"/>
  <c r="T320" i="5"/>
  <c r="U320" i="5"/>
  <c r="V320" i="5" s="1"/>
  <c r="T50" i="5"/>
  <c r="U50" i="5"/>
  <c r="V50" i="5" s="1"/>
  <c r="T49" i="5"/>
  <c r="U49" i="5"/>
  <c r="V49" i="5" s="1"/>
  <c r="T241" i="5"/>
  <c r="U241" i="5"/>
  <c r="V241" i="5" s="1"/>
  <c r="T360" i="5"/>
  <c r="U360" i="5"/>
  <c r="V360" i="5" s="1"/>
  <c r="T359" i="5"/>
  <c r="U359" i="5"/>
  <c r="V359" i="5" s="1"/>
  <c r="T322" i="5"/>
  <c r="U322" i="5"/>
  <c r="V322" i="5" s="1"/>
  <c r="T103" i="5"/>
  <c r="U103" i="5"/>
  <c r="V103" i="5" s="1"/>
  <c r="U311" i="5"/>
  <c r="R532" i="5"/>
  <c r="T413" i="5"/>
  <c r="U413" i="5"/>
  <c r="V413" i="5" s="1"/>
  <c r="T238" i="5"/>
  <c r="U238" i="5"/>
  <c r="V238" i="5" s="1"/>
  <c r="T412" i="5"/>
  <c r="U412" i="5"/>
  <c r="V412" i="5" s="1"/>
  <c r="T482" i="5"/>
  <c r="U482" i="5"/>
  <c r="V482" i="5" s="1"/>
  <c r="T454" i="5"/>
  <c r="U454" i="5"/>
  <c r="V454" i="5" s="1"/>
  <c r="T411" i="5"/>
  <c r="U411" i="5"/>
  <c r="V411" i="5" s="1"/>
  <c r="T485" i="5"/>
  <c r="U485" i="5"/>
  <c r="V485" i="5" s="1"/>
  <c r="T455" i="5"/>
  <c r="U455" i="5"/>
  <c r="V455" i="5" s="1"/>
  <c r="T410" i="5"/>
  <c r="U410" i="5"/>
  <c r="V410" i="5" s="1"/>
  <c r="T379" i="5"/>
  <c r="U379" i="5"/>
  <c r="V379" i="5" s="1"/>
  <c r="T486" i="5"/>
  <c r="U486" i="5"/>
  <c r="V486" i="5" s="1"/>
  <c r="T409" i="5"/>
  <c r="U409" i="5"/>
  <c r="V409" i="5" s="1"/>
  <c r="T378" i="5"/>
  <c r="U378" i="5"/>
  <c r="V378" i="5" s="1"/>
  <c r="T408" i="5"/>
  <c r="U408" i="5"/>
  <c r="V408" i="5" s="1"/>
  <c r="T450" i="5"/>
  <c r="U450" i="5"/>
  <c r="V450" i="5" s="1"/>
  <c r="T453" i="5"/>
  <c r="U453" i="5"/>
  <c r="V453" i="5" s="1"/>
  <c r="T407" i="5"/>
  <c r="U407" i="5"/>
  <c r="V407" i="5" s="1"/>
  <c r="T377" i="5"/>
  <c r="U377" i="5"/>
  <c r="V377" i="5" s="1"/>
  <c r="T237" i="5"/>
  <c r="U237" i="5"/>
  <c r="V237" i="5" s="1"/>
  <c r="T406" i="5"/>
  <c r="U406" i="5"/>
  <c r="V406" i="5" s="1"/>
  <c r="T456" i="5"/>
  <c r="U456" i="5"/>
  <c r="V456" i="5" s="1"/>
  <c r="T405" i="5"/>
  <c r="U405" i="5"/>
  <c r="V405" i="5" s="1"/>
  <c r="T364" i="5"/>
  <c r="U364" i="5"/>
  <c r="V364" i="5" s="1"/>
  <c r="T404" i="5"/>
  <c r="U404" i="5"/>
  <c r="V404" i="5" s="1"/>
  <c r="T483" i="5"/>
  <c r="U483" i="5"/>
  <c r="V483" i="5" s="1"/>
  <c r="T452" i="5"/>
  <c r="U452" i="5"/>
  <c r="V452" i="5" s="1"/>
  <c r="T403" i="5"/>
  <c r="U403" i="5"/>
  <c r="V403" i="5" s="1"/>
  <c r="T487" i="5"/>
  <c r="U487" i="5"/>
  <c r="V487" i="5" s="1"/>
  <c r="T402" i="5"/>
  <c r="U402" i="5"/>
  <c r="V402" i="5" s="1"/>
  <c r="T401" i="5"/>
  <c r="U401" i="5"/>
  <c r="V401" i="5" s="1"/>
  <c r="T462" i="5"/>
  <c r="U462" i="5"/>
  <c r="V462" i="5" s="1"/>
  <c r="T373" i="5"/>
  <c r="U373" i="5"/>
  <c r="V373" i="5" s="1"/>
  <c r="T236" i="5"/>
  <c r="U236" i="5"/>
  <c r="V236" i="5" s="1"/>
  <c r="T154" i="5"/>
  <c r="U154" i="5"/>
  <c r="V154" i="5" s="1"/>
  <c r="T399" i="5"/>
  <c r="U399" i="5"/>
  <c r="V399" i="5" s="1"/>
  <c r="T372" i="5"/>
  <c r="U372" i="5"/>
  <c r="V372" i="5" s="1"/>
  <c r="T363" i="5"/>
  <c r="U363" i="5"/>
  <c r="V363" i="5" s="1"/>
  <c r="T371" i="5"/>
  <c r="U371" i="5"/>
  <c r="V371" i="5" s="1"/>
  <c r="T461" i="5"/>
  <c r="U461" i="5"/>
  <c r="V461" i="5" s="1"/>
  <c r="T472" i="5"/>
  <c r="U472" i="5"/>
  <c r="V472" i="5" s="1"/>
  <c r="T460" i="5"/>
  <c r="U460" i="5"/>
  <c r="V460" i="5" s="1"/>
  <c r="T473" i="5"/>
  <c r="U473" i="5"/>
  <c r="V473" i="5" s="1"/>
  <c r="T459" i="5"/>
  <c r="U459" i="5"/>
  <c r="V459" i="5" s="1"/>
  <c r="T474" i="5"/>
  <c r="U474" i="5"/>
  <c r="V474" i="5" s="1"/>
  <c r="T458" i="5"/>
  <c r="U458" i="5"/>
  <c r="V458" i="5" s="1"/>
  <c r="T448" i="5"/>
  <c r="U448" i="5"/>
  <c r="V448" i="5" s="1"/>
  <c r="T475" i="5"/>
  <c r="U475" i="5"/>
  <c r="V475" i="5" s="1"/>
  <c r="T369" i="5"/>
  <c r="U369" i="5"/>
  <c r="V369" i="5" s="1"/>
  <c r="T235" i="5"/>
  <c r="U235" i="5"/>
  <c r="V235" i="5" s="1"/>
  <c r="T476" i="5"/>
  <c r="U476" i="5"/>
  <c r="V476" i="5" s="1"/>
  <c r="T156" i="5"/>
  <c r="U156" i="5"/>
  <c r="V156" i="5" s="1"/>
  <c r="T451" i="5"/>
  <c r="U451" i="5"/>
  <c r="V451" i="5" s="1"/>
  <c r="T390" i="5"/>
  <c r="U390" i="5"/>
  <c r="V390" i="5" s="1"/>
  <c r="T243" i="5"/>
  <c r="U243" i="5"/>
  <c r="V243" i="5" s="1"/>
  <c r="T477" i="5"/>
  <c r="U477" i="5"/>
  <c r="V477" i="5" s="1"/>
  <c r="T368" i="5"/>
  <c r="U368" i="5"/>
  <c r="V368" i="5" s="1"/>
  <c r="T162" i="5"/>
  <c r="U162" i="5"/>
  <c r="V162" i="5" s="1"/>
  <c r="T388" i="5"/>
  <c r="U388" i="5"/>
  <c r="V388" i="5" s="1"/>
  <c r="T242" i="5"/>
  <c r="U242" i="5"/>
  <c r="V242" i="5" s="1"/>
  <c r="T478" i="5"/>
  <c r="U478" i="5"/>
  <c r="V478" i="5" s="1"/>
  <c r="T484" i="5"/>
  <c r="U484" i="5"/>
  <c r="V484" i="5" s="1"/>
  <c r="T367" i="5"/>
  <c r="U367" i="5"/>
  <c r="V367" i="5" s="1"/>
  <c r="T479" i="5"/>
  <c r="U479" i="5"/>
  <c r="V479" i="5" s="1"/>
  <c r="T457" i="5"/>
  <c r="U457" i="5"/>
  <c r="V457" i="5" s="1"/>
  <c r="T366" i="5"/>
  <c r="U366" i="5"/>
  <c r="V366" i="5" s="1"/>
  <c r="T480" i="5"/>
  <c r="U480" i="5"/>
  <c r="V480" i="5" s="1"/>
  <c r="T365" i="5"/>
  <c r="U365" i="5"/>
  <c r="V365" i="5" s="1"/>
  <c r="T481" i="5"/>
  <c r="U481" i="5"/>
  <c r="V481" i="5" s="1"/>
  <c r="T520" i="5"/>
  <c r="U520" i="5"/>
  <c r="V520" i="5" s="1"/>
  <c r="T82" i="5"/>
  <c r="U82" i="5"/>
  <c r="V82" i="5" s="1"/>
  <c r="T69" i="5"/>
  <c r="U69" i="5"/>
  <c r="V69" i="5" s="1"/>
  <c r="T68" i="5"/>
  <c r="U68" i="5"/>
  <c r="V68" i="5" s="1"/>
  <c r="T15" i="5"/>
  <c r="U15" i="5"/>
  <c r="V15" i="5" s="1"/>
  <c r="T510" i="5"/>
  <c r="U510" i="5"/>
  <c r="V510" i="5" s="1"/>
  <c r="T16" i="5"/>
  <c r="U16" i="5"/>
  <c r="V16" i="5" s="1"/>
  <c r="T514" i="5"/>
  <c r="U514" i="5"/>
  <c r="V514" i="5" s="1"/>
  <c r="T209" i="5"/>
  <c r="U209" i="5"/>
  <c r="V209" i="5" s="1"/>
  <c r="T267" i="5"/>
  <c r="U267" i="5"/>
  <c r="V267" i="5" s="1"/>
  <c r="T303" i="5"/>
  <c r="U303" i="5"/>
  <c r="V303" i="5" s="1"/>
  <c r="T305" i="5"/>
  <c r="U305" i="5"/>
  <c r="V305" i="5" s="1"/>
  <c r="T268" i="5"/>
  <c r="U268" i="5"/>
  <c r="V268" i="5" s="1"/>
  <c r="T438" i="5"/>
  <c r="U438" i="5"/>
  <c r="V438" i="5" s="1"/>
  <c r="T439" i="5"/>
  <c r="U439" i="5"/>
  <c r="V439" i="5" s="1"/>
  <c r="T122" i="5"/>
  <c r="U122" i="5"/>
  <c r="V122" i="5" s="1"/>
  <c r="T56" i="5"/>
  <c r="U56" i="5"/>
  <c r="V56" i="5" s="1"/>
  <c r="T442" i="5"/>
  <c r="U442" i="5"/>
  <c r="V442" i="5" s="1"/>
  <c r="T286" i="5"/>
  <c r="U286" i="5"/>
  <c r="V286" i="5" s="1"/>
  <c r="T362" i="5"/>
  <c r="U362" i="5"/>
  <c r="V362" i="5" s="1"/>
  <c r="T292" i="5"/>
  <c r="U292" i="5"/>
  <c r="V292" i="5" s="1"/>
  <c r="T289" i="5"/>
  <c r="U289" i="5"/>
  <c r="V289" i="5" s="1"/>
  <c r="T293" i="5"/>
  <c r="U293" i="5"/>
  <c r="V293" i="5" s="1"/>
  <c r="T291" i="5"/>
  <c r="U291" i="5"/>
  <c r="V291" i="5" s="1"/>
  <c r="T294" i="5"/>
  <c r="U294" i="5"/>
  <c r="V294" i="5" s="1"/>
  <c r="T290" i="5"/>
  <c r="U290" i="5"/>
  <c r="V290" i="5" s="1"/>
  <c r="T299" i="5"/>
  <c r="U299" i="5"/>
  <c r="V299" i="5" s="1"/>
  <c r="T110" i="5"/>
  <c r="U110" i="5"/>
  <c r="V110" i="5" s="1"/>
  <c r="T269" i="5"/>
  <c r="U269" i="5"/>
  <c r="V269" i="5" s="1"/>
  <c r="T295" i="5"/>
  <c r="U295" i="5"/>
  <c r="V295" i="5" s="1"/>
  <c r="T296" i="5"/>
  <c r="U296" i="5"/>
  <c r="V296" i="5" s="1"/>
  <c r="T270" i="5"/>
  <c r="U270" i="5"/>
  <c r="V270" i="5" s="1"/>
  <c r="T288" i="5"/>
  <c r="U288" i="5"/>
  <c r="V288" i="5" s="1"/>
  <c r="T53" i="5"/>
  <c r="U53" i="5"/>
  <c r="V53" i="5" s="1"/>
  <c r="T72" i="5"/>
  <c r="U72" i="5"/>
  <c r="V72" i="5" s="1"/>
  <c r="T54" i="5"/>
  <c r="U54" i="5"/>
  <c r="V54" i="5" s="1"/>
  <c r="T38" i="5"/>
  <c r="U38" i="5"/>
  <c r="V38" i="5" s="1"/>
  <c r="T37" i="5"/>
  <c r="U37" i="5"/>
  <c r="V37" i="5" s="1"/>
  <c r="T36" i="5"/>
  <c r="U36" i="5"/>
  <c r="V36" i="5" s="1"/>
  <c r="T67" i="5"/>
  <c r="U67" i="5"/>
  <c r="V67" i="5" s="1"/>
  <c r="T344" i="5"/>
  <c r="U344" i="5"/>
  <c r="V344" i="5" s="1"/>
  <c r="T347" i="5"/>
  <c r="U347" i="5"/>
  <c r="V347" i="5" s="1"/>
  <c r="T400" i="5"/>
  <c r="U400" i="5"/>
  <c r="V400" i="5" s="1"/>
  <c r="T426" i="5"/>
  <c r="U426" i="5"/>
  <c r="V426" i="5" s="1"/>
  <c r="J9" i="9"/>
  <c r="C9" i="10"/>
  <c r="B9" i="10" s="1"/>
  <c r="C4" i="13" s="1"/>
  <c r="C7" i="13" s="1"/>
  <c r="T142" i="5"/>
  <c r="U142" i="5"/>
  <c r="V142" i="5" s="1"/>
  <c r="N6" i="4"/>
  <c r="M44" i="4"/>
  <c r="T232" i="5"/>
  <c r="U232" i="5"/>
  <c r="V232" i="5" s="1"/>
  <c r="S15" i="2"/>
  <c r="S16" i="2"/>
  <c r="S17" i="2"/>
  <c r="S18" i="2"/>
  <c r="R19" i="2"/>
  <c r="Q15" i="2"/>
  <c r="Q16" i="2"/>
  <c r="Q17" i="2"/>
  <c r="Q18" i="2"/>
  <c r="P19" i="2"/>
  <c r="O15" i="2"/>
  <c r="O16" i="2"/>
  <c r="O17" i="2"/>
  <c r="O18" i="2"/>
  <c r="N19" i="2"/>
  <c r="M15" i="2"/>
  <c r="M16" i="2"/>
  <c r="M17" i="2"/>
  <c r="M18" i="2"/>
  <c r="L19" i="2"/>
  <c r="K15" i="2"/>
  <c r="K16" i="2"/>
  <c r="K17" i="2"/>
  <c r="K18" i="2"/>
  <c r="J19" i="2"/>
  <c r="I15" i="2"/>
  <c r="I16" i="2"/>
  <c r="I17" i="2"/>
  <c r="I18" i="2"/>
  <c r="H19" i="2"/>
  <c r="G15" i="2"/>
  <c r="G16" i="2"/>
  <c r="G17" i="2"/>
  <c r="G18" i="2"/>
  <c r="F19" i="2"/>
  <c r="E15" i="2"/>
  <c r="E16" i="2"/>
  <c r="E17" i="2"/>
  <c r="E18" i="2"/>
  <c r="D19" i="2"/>
  <c r="C15" i="2"/>
  <c r="C16" i="2"/>
  <c r="C17" i="2"/>
  <c r="C18" i="2"/>
  <c r="B19" i="2"/>
  <c r="K21" i="9"/>
  <c r="D12" i="10"/>
  <c r="B12" i="10" s="1"/>
  <c r="U42" i="7"/>
  <c r="Q42" i="7" s="1"/>
  <c r="U40" i="6"/>
  <c r="Q40" i="6" s="1"/>
  <c r="K15" i="9"/>
  <c r="D11" i="10"/>
  <c r="B11" i="10" s="1"/>
  <c r="K9" i="9"/>
  <c r="C10" i="10"/>
  <c r="C14" i="10"/>
  <c r="D10" i="10"/>
  <c r="D13" i="10" s="1"/>
  <c r="D14" i="10"/>
  <c r="E10" i="10"/>
  <c r="E13" i="10" s="1"/>
  <c r="E14" i="10"/>
  <c r="U306" i="5"/>
  <c r="Q306" i="5" s="1"/>
  <c r="J21" i="9"/>
  <c r="J15" i="9"/>
  <c r="U125" i="7" l="1"/>
  <c r="Q125" i="7" s="1"/>
  <c r="U123" i="6"/>
  <c r="Q123" i="6" s="1"/>
  <c r="U88" i="5"/>
  <c r="Q88" i="5" s="1"/>
  <c r="U532" i="5"/>
  <c r="Q532" i="5" s="1"/>
  <c r="M85" i="4"/>
  <c r="S20" i="2"/>
  <c r="S21" i="2"/>
  <c r="S22" i="2"/>
  <c r="S23" i="2"/>
  <c r="S24" i="2"/>
  <c r="S25" i="2"/>
  <c r="R26" i="2"/>
  <c r="Q20" i="2"/>
  <c r="Q21" i="2"/>
  <c r="Q22" i="2"/>
  <c r="Q23" i="2"/>
  <c r="Q24" i="2"/>
  <c r="Q25" i="2"/>
  <c r="P26" i="2"/>
  <c r="O20" i="2"/>
  <c r="O21" i="2"/>
  <c r="O22" i="2"/>
  <c r="O23" i="2"/>
  <c r="O24" i="2"/>
  <c r="O25" i="2"/>
  <c r="N26" i="2"/>
  <c r="M20" i="2"/>
  <c r="M21" i="2"/>
  <c r="M22" i="2"/>
  <c r="M23" i="2"/>
  <c r="M24" i="2"/>
  <c r="M25" i="2"/>
  <c r="L26" i="2"/>
  <c r="K20" i="2"/>
  <c r="K21" i="2"/>
  <c r="K22" i="2"/>
  <c r="K23" i="2"/>
  <c r="K24" i="2"/>
  <c r="K25" i="2"/>
  <c r="J26" i="2"/>
  <c r="I20" i="2"/>
  <c r="I21" i="2"/>
  <c r="I22" i="2"/>
  <c r="I23" i="2"/>
  <c r="I24" i="2"/>
  <c r="I25" i="2"/>
  <c r="H26" i="2"/>
  <c r="G20" i="2"/>
  <c r="G21" i="2"/>
  <c r="G22" i="2"/>
  <c r="G23" i="2"/>
  <c r="G24" i="2"/>
  <c r="G25" i="2"/>
  <c r="F26" i="2"/>
  <c r="E20" i="2"/>
  <c r="E21" i="2"/>
  <c r="E22" i="2"/>
  <c r="E23" i="2"/>
  <c r="E24" i="2"/>
  <c r="E25" i="2"/>
  <c r="D26" i="2"/>
  <c r="C20" i="2"/>
  <c r="C21" i="2"/>
  <c r="C22" i="2"/>
  <c r="C23" i="2"/>
  <c r="C24" i="2"/>
  <c r="C25" i="2"/>
  <c r="B26" i="2"/>
  <c r="K24" i="9"/>
  <c r="B14" i="10"/>
  <c r="C13" i="10"/>
  <c r="B13" i="10" s="1"/>
  <c r="B4" i="13" s="1"/>
  <c r="B7" i="13" s="1"/>
  <c r="B10" i="10"/>
  <c r="J24" i="9"/>
  <c r="S28" i="2" l="1"/>
  <c r="S29" i="2"/>
  <c r="S30" i="2"/>
  <c r="S31" i="2"/>
  <c r="S32" i="2"/>
  <c r="S33" i="2"/>
  <c r="S34" i="2"/>
  <c r="Q28" i="2"/>
  <c r="Q29" i="2"/>
  <c r="Q30" i="2"/>
  <c r="Q31" i="2"/>
  <c r="Q32" i="2"/>
  <c r="Q33" i="2"/>
  <c r="Q34" i="2"/>
  <c r="O28" i="2"/>
  <c r="O29" i="2"/>
  <c r="O30" i="2"/>
  <c r="O31" i="2"/>
  <c r="O32" i="2"/>
  <c r="O33" i="2"/>
  <c r="O34" i="2"/>
  <c r="M28" i="2"/>
  <c r="M29" i="2"/>
  <c r="M30" i="2"/>
  <c r="M31" i="2"/>
  <c r="M32" i="2"/>
  <c r="M33" i="2"/>
  <c r="M34" i="2"/>
  <c r="K28" i="2"/>
  <c r="K29" i="2"/>
  <c r="K30" i="2"/>
  <c r="K31" i="2"/>
  <c r="K32" i="2"/>
  <c r="K33" i="2"/>
  <c r="K34" i="2"/>
  <c r="I28" i="2"/>
  <c r="I29" i="2"/>
  <c r="I30" i="2"/>
  <c r="I31" i="2"/>
  <c r="I32" i="2"/>
  <c r="I33" i="2"/>
  <c r="I34" i="2"/>
  <c r="G28" i="2"/>
  <c r="G29" i="2"/>
  <c r="G30" i="2"/>
  <c r="G31" i="2"/>
  <c r="G32" i="2"/>
  <c r="G33" i="2"/>
  <c r="G34" i="2"/>
  <c r="E28" i="2"/>
  <c r="E29" i="2"/>
  <c r="E30" i="2"/>
  <c r="E31" i="2"/>
  <c r="E32" i="2"/>
  <c r="E33" i="2"/>
  <c r="E34" i="2"/>
  <c r="C28" i="2"/>
  <c r="C29" i="2"/>
  <c r="C30" i="2"/>
  <c r="C31" i="2"/>
  <c r="C32" i="2"/>
  <c r="C33" i="2"/>
  <c r="C34" i="2"/>
  <c r="R35" i="2" l="1"/>
  <c r="P35" i="2"/>
  <c r="N35" i="2"/>
  <c r="L35" i="2"/>
  <c r="J35" i="2"/>
  <c r="H35" i="2"/>
  <c r="F35" i="2"/>
  <c r="D35" i="2"/>
  <c r="B35" i="2"/>
  <c r="S41" i="2" l="1"/>
  <c r="S42" i="2"/>
  <c r="G61" i="2" s="1"/>
  <c r="S43" i="2"/>
  <c r="I61" i="2" s="1"/>
  <c r="S37" i="2"/>
  <c r="R39" i="2" s="1"/>
  <c r="Q41" i="2"/>
  <c r="Q42" i="2"/>
  <c r="G59" i="2" s="1"/>
  <c r="Q43" i="2"/>
  <c r="I59" i="2" s="1"/>
  <c r="Q37" i="2"/>
  <c r="P39" i="2" s="1"/>
  <c r="O41" i="2"/>
  <c r="O42" i="2"/>
  <c r="G58" i="2" s="1"/>
  <c r="G60" i="2" s="1"/>
  <c r="F62" i="2" s="1"/>
  <c r="G7" i="12" s="1"/>
  <c r="I7" i="12" s="1"/>
  <c r="J7" i="12" s="1"/>
  <c r="K7" i="12" s="1"/>
  <c r="L7" i="12" s="1"/>
  <c r="O43" i="2"/>
  <c r="I58" i="2" s="1"/>
  <c r="I60" i="2" s="1"/>
  <c r="H62" i="2" s="1"/>
  <c r="G8" i="12" s="1"/>
  <c r="I8" i="12" s="1"/>
  <c r="J8" i="12" s="1"/>
  <c r="K8" i="12" s="1"/>
  <c r="L8" i="12" s="1"/>
  <c r="O37" i="2"/>
  <c r="N39" i="2" s="1"/>
  <c r="M41" i="2"/>
  <c r="M42" i="2"/>
  <c r="E53" i="2" s="1"/>
  <c r="M43" i="2"/>
  <c r="G53" i="2" s="1"/>
  <c r="M37" i="2"/>
  <c r="L39" i="2" s="1"/>
  <c r="C53" i="2" s="1"/>
  <c r="K41" i="2"/>
  <c r="K42" i="2"/>
  <c r="E52" i="2" s="1"/>
  <c r="K43" i="2"/>
  <c r="G52" i="2" s="1"/>
  <c r="K37" i="2"/>
  <c r="J39" i="2" s="1"/>
  <c r="C52" i="2" s="1"/>
  <c r="I41" i="2"/>
  <c r="I42" i="2"/>
  <c r="E50" i="2" s="1"/>
  <c r="I43" i="2"/>
  <c r="G50" i="2" s="1"/>
  <c r="I37" i="2"/>
  <c r="H39" i="2" s="1"/>
  <c r="C50" i="2" s="1"/>
  <c r="G41" i="2"/>
  <c r="G42" i="2"/>
  <c r="E49" i="2" s="1"/>
  <c r="G43" i="2"/>
  <c r="G49" i="2" s="1"/>
  <c r="G37" i="2"/>
  <c r="F39" i="2" s="1"/>
  <c r="C49" i="2" s="1"/>
  <c r="E41" i="2"/>
  <c r="E42" i="2"/>
  <c r="E48" i="2" s="1"/>
  <c r="E43" i="2"/>
  <c r="G48" i="2" s="1"/>
  <c r="E37" i="2"/>
  <c r="D39" i="2" s="1"/>
  <c r="C48" i="2" s="1"/>
  <c r="C41" i="2"/>
  <c r="C42" i="2"/>
  <c r="E47" i="2" s="1"/>
  <c r="E51" i="2" s="1"/>
  <c r="D54" i="2" s="1"/>
  <c r="C43" i="2"/>
  <c r="G47" i="2" s="1"/>
  <c r="G51" i="2" s="1"/>
  <c r="F54" i="2" s="1"/>
  <c r="C37" i="2"/>
  <c r="B39" i="2" s="1"/>
  <c r="C47" i="2" s="1"/>
  <c r="C51" i="2" s="1"/>
  <c r="B54" i="2" s="1"/>
  <c r="E61" i="2" l="1"/>
  <c r="C61" i="2"/>
  <c r="E59" i="2"/>
  <c r="C59" i="2"/>
  <c r="E58" i="2"/>
  <c r="E60" i="2" s="1"/>
  <c r="D62" i="2" s="1"/>
  <c r="G9" i="12" s="1"/>
  <c r="I9" i="12" s="1"/>
  <c r="J9" i="12" s="1"/>
  <c r="K9" i="12" s="1"/>
  <c r="L9" i="12" s="1"/>
  <c r="C58" i="2"/>
  <c r="C60" i="2" s="1"/>
  <c r="B62" i="2" s="1"/>
  <c r="G6" i="12" s="1"/>
  <c r="I6" i="12" s="1"/>
  <c r="J6" i="12" s="1"/>
  <c r="K6" i="12" s="1"/>
  <c r="J61" i="4"/>
  <c r="H61" i="3"/>
  <c r="J60" i="4" s="1"/>
  <c r="H60" i="3"/>
  <c r="J59" i="4" s="1"/>
  <c r="H59" i="3"/>
  <c r="J58" i="4" s="1"/>
  <c r="H58" i="3"/>
  <c r="J57" i="4" s="1"/>
  <c r="H57" i="3"/>
  <c r="J56" i="4" s="1"/>
  <c r="H56" i="3"/>
  <c r="J51" i="4" s="1"/>
  <c r="H55" i="3"/>
  <c r="J50" i="4" s="1"/>
  <c r="H54" i="3"/>
  <c r="J52" i="4" s="1"/>
  <c r="H53" i="3"/>
  <c r="H52" i="3"/>
  <c r="J53" i="4" s="1"/>
  <c r="J79" i="4"/>
  <c r="H73" i="3"/>
  <c r="J78" i="4" s="1"/>
  <c r="H72" i="3"/>
  <c r="J77" i="4" s="1"/>
  <c r="H71" i="3"/>
  <c r="J76" i="4" s="1"/>
  <c r="H70" i="3"/>
  <c r="J75" i="4" s="1"/>
  <c r="H69" i="3"/>
  <c r="J74" i="4" s="1"/>
  <c r="H68" i="3"/>
  <c r="J69" i="4" s="1"/>
  <c r="H67" i="3"/>
  <c r="J68" i="4" s="1"/>
  <c r="H66" i="3"/>
  <c r="J70" i="4" s="1"/>
  <c r="H65" i="3"/>
  <c r="H64" i="3"/>
  <c r="J71" i="4" s="1"/>
  <c r="J43" i="4"/>
  <c r="J42" i="4"/>
  <c r="H49" i="3"/>
  <c r="H48" i="3"/>
  <c r="J16" i="4" s="1"/>
  <c r="H47" i="3"/>
  <c r="H46" i="3"/>
  <c r="H45" i="3"/>
  <c r="H44" i="3"/>
  <c r="H43" i="3"/>
  <c r="H42" i="3"/>
  <c r="H41" i="3"/>
  <c r="H40" i="3"/>
  <c r="H39" i="3"/>
  <c r="H38" i="3"/>
  <c r="H37" i="3"/>
  <c r="J37" i="4" s="1"/>
  <c r="H36" i="3"/>
  <c r="J39" i="4" s="1"/>
  <c r="H35" i="3"/>
  <c r="H34" i="3"/>
  <c r="H33" i="3"/>
  <c r="J33" i="4" s="1"/>
  <c r="H32" i="3"/>
  <c r="H31" i="3"/>
  <c r="H30" i="3"/>
  <c r="H29" i="3"/>
  <c r="H28" i="3"/>
  <c r="H27" i="3"/>
  <c r="H26" i="3"/>
  <c r="H25" i="3"/>
  <c r="H24" i="3"/>
  <c r="J26" i="4" s="1"/>
  <c r="H23" i="3"/>
  <c r="H22" i="3"/>
  <c r="H21" i="3"/>
  <c r="J19" i="4" s="1"/>
  <c r="H20" i="3"/>
  <c r="H19" i="3"/>
  <c r="H18" i="3"/>
  <c r="H17" i="3"/>
  <c r="H16" i="3"/>
  <c r="H15" i="3"/>
  <c r="H14" i="3"/>
  <c r="H13" i="3"/>
  <c r="H12" i="3"/>
  <c r="H11" i="3"/>
  <c r="H10" i="3"/>
  <c r="J25" i="4" s="1"/>
  <c r="H9" i="3"/>
  <c r="H8" i="3"/>
  <c r="H7" i="3"/>
  <c r="H6" i="3"/>
  <c r="K10" i="12" l="1"/>
  <c r="L6" i="12"/>
  <c r="N61" i="4"/>
  <c r="J64" i="4" s="1"/>
  <c r="L61" i="4"/>
  <c r="Q5" i="6"/>
  <c r="I56" i="8"/>
  <c r="N60" i="4"/>
  <c r="L60" i="4"/>
  <c r="Q22" i="6"/>
  <c r="Q23" i="6"/>
  <c r="Q28" i="6"/>
  <c r="Q30" i="6"/>
  <c r="Q44" i="6"/>
  <c r="Q59" i="6"/>
  <c r="I55" i="8"/>
  <c r="N59" i="4"/>
  <c r="L59" i="4"/>
  <c r="Q15" i="6"/>
  <c r="I54" i="8"/>
  <c r="N58" i="4"/>
  <c r="L58" i="4"/>
  <c r="Q21" i="6"/>
  <c r="Q45" i="6"/>
  <c r="I53" i="8"/>
  <c r="N57" i="4"/>
  <c r="L57" i="4"/>
  <c r="Q25" i="6"/>
  <c r="I52" i="8"/>
  <c r="N56" i="4"/>
  <c r="L56" i="4"/>
  <c r="Q6" i="6"/>
  <c r="Q7" i="6"/>
  <c r="Q8" i="6"/>
  <c r="Q16" i="6"/>
  <c r="Q18" i="6"/>
  <c r="Q24" i="6"/>
  <c r="Q26" i="6"/>
  <c r="Q29" i="6"/>
  <c r="Q32" i="6"/>
  <c r="Q39" i="6"/>
  <c r="Q61" i="6"/>
  <c r="Q81" i="6"/>
  <c r="Q101" i="6"/>
  <c r="Q102" i="6"/>
  <c r="I51" i="8"/>
  <c r="N51" i="4"/>
  <c r="L51" i="4"/>
  <c r="Q84" i="6"/>
  <c r="Q85" i="6"/>
  <c r="I46" i="8"/>
  <c r="N50" i="4"/>
  <c r="L50" i="4"/>
  <c r="Q86" i="6"/>
  <c r="I45" i="8"/>
  <c r="N52" i="4"/>
  <c r="L52" i="4"/>
  <c r="Q17" i="6"/>
  <c r="Q19" i="6"/>
  <c r="Q20" i="6"/>
  <c r="Q33" i="6"/>
  <c r="Q34" i="6"/>
  <c r="Q35" i="6"/>
  <c r="Q36" i="6"/>
  <c r="Q37" i="6"/>
  <c r="Q38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60" i="6"/>
  <c r="Q62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I47" i="8"/>
  <c r="J54" i="4"/>
  <c r="J55" i="4"/>
  <c r="N53" i="4"/>
  <c r="L53" i="4"/>
  <c r="Q42" i="6"/>
  <c r="Q43" i="6"/>
  <c r="I48" i="8"/>
  <c r="N79" i="4"/>
  <c r="J82" i="4" s="1"/>
  <c r="L79" i="4"/>
  <c r="Q5" i="7"/>
  <c r="I70" i="8"/>
  <c r="N78" i="4"/>
  <c r="L78" i="4"/>
  <c r="Q22" i="7"/>
  <c r="Q23" i="7"/>
  <c r="Q29" i="7"/>
  <c r="Q31" i="7"/>
  <c r="Q46" i="7"/>
  <c r="Q61" i="7"/>
  <c r="I69" i="8"/>
  <c r="N77" i="4"/>
  <c r="L77" i="4"/>
  <c r="Q15" i="7"/>
  <c r="I68" i="8"/>
  <c r="N76" i="4"/>
  <c r="L76" i="4"/>
  <c r="Q21" i="7"/>
  <c r="Q47" i="7"/>
  <c r="I67" i="8"/>
  <c r="N75" i="4"/>
  <c r="L75" i="4"/>
  <c r="Q25" i="7"/>
  <c r="I66" i="8"/>
  <c r="N74" i="4"/>
  <c r="L74" i="4"/>
  <c r="Q6" i="7"/>
  <c r="Q7" i="7"/>
  <c r="Q8" i="7"/>
  <c r="Q16" i="7"/>
  <c r="Q18" i="7"/>
  <c r="Q24" i="7"/>
  <c r="Q26" i="7"/>
  <c r="Q30" i="7"/>
  <c r="Q34" i="7"/>
  <c r="Q41" i="7"/>
  <c r="Q63" i="7"/>
  <c r="Q83" i="7"/>
  <c r="Q103" i="7"/>
  <c r="Q104" i="7"/>
  <c r="I65" i="8"/>
  <c r="N69" i="4"/>
  <c r="L69" i="4"/>
  <c r="Q86" i="7"/>
  <c r="Q87" i="7"/>
  <c r="I60" i="8"/>
  <c r="N68" i="4"/>
  <c r="L68" i="4"/>
  <c r="Q88" i="7"/>
  <c r="I59" i="8"/>
  <c r="N70" i="4"/>
  <c r="L70" i="4"/>
  <c r="Q17" i="7"/>
  <c r="Q19" i="7"/>
  <c r="Q20" i="7"/>
  <c r="Q35" i="7"/>
  <c r="Q36" i="7"/>
  <c r="Q37" i="7"/>
  <c r="Q38" i="7"/>
  <c r="Q39" i="7"/>
  <c r="Q40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2" i="7"/>
  <c r="Q64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I61" i="8"/>
  <c r="J72" i="4"/>
  <c r="J73" i="4"/>
  <c r="N71" i="4"/>
  <c r="L71" i="4"/>
  <c r="Q44" i="7"/>
  <c r="Q45" i="7"/>
  <c r="I62" i="8"/>
  <c r="N43" i="4"/>
  <c r="L43" i="4"/>
  <c r="Q90" i="5"/>
  <c r="I42" i="8"/>
  <c r="N42" i="4"/>
  <c r="J46" i="4" s="1"/>
  <c r="L42" i="4"/>
  <c r="Q302" i="5"/>
  <c r="I41" i="8"/>
  <c r="N16" i="4"/>
  <c r="L16" i="4"/>
  <c r="Q531" i="5"/>
  <c r="I15" i="8"/>
  <c r="N37" i="4"/>
  <c r="L37" i="4"/>
  <c r="Q101" i="5"/>
  <c r="Q141" i="5"/>
  <c r="Q223" i="5"/>
  <c r="I36" i="8"/>
  <c r="N39" i="4"/>
  <c r="L39" i="4"/>
  <c r="Q5" i="5"/>
  <c r="Q6" i="5"/>
  <c r="Q42" i="5"/>
  <c r="Q43" i="5"/>
  <c r="Q60" i="5"/>
  <c r="Q61" i="5"/>
  <c r="I38" i="8"/>
  <c r="N33" i="4"/>
  <c r="L33" i="4"/>
  <c r="Q140" i="5"/>
  <c r="I32" i="8"/>
  <c r="N26" i="4"/>
  <c r="L26" i="4"/>
  <c r="Q30" i="5"/>
  <c r="Q31" i="5"/>
  <c r="Q143" i="5"/>
  <c r="Q255" i="5"/>
  <c r="Q521" i="5"/>
  <c r="I25" i="8"/>
  <c r="N19" i="4"/>
  <c r="L19" i="4"/>
  <c r="Q70" i="5"/>
  <c r="Q98" i="5"/>
  <c r="Q106" i="5"/>
  <c r="Q137" i="5"/>
  <c r="Q139" i="5"/>
  <c r="Q144" i="5"/>
  <c r="Q152" i="5"/>
  <c r="Q157" i="5"/>
  <c r="Q168" i="5"/>
  <c r="Q221" i="5"/>
  <c r="Q231" i="5"/>
  <c r="Q257" i="5"/>
  <c r="Q259" i="5"/>
  <c r="Q311" i="5"/>
  <c r="Q316" i="5"/>
  <c r="Q323" i="5"/>
  <c r="Q337" i="5"/>
  <c r="Q338" i="5"/>
  <c r="Q339" i="5"/>
  <c r="Q340" i="5"/>
  <c r="Q341" i="5"/>
  <c r="Q349" i="5"/>
  <c r="I18" i="8"/>
  <c r="N25" i="4"/>
  <c r="L25" i="4"/>
  <c r="Q146" i="5"/>
  <c r="Q148" i="5"/>
  <c r="Q150" i="5"/>
  <c r="Q205" i="5"/>
  <c r="Q216" i="5"/>
  <c r="Q392" i="5"/>
  <c r="Q395" i="5"/>
  <c r="Q428" i="5"/>
  <c r="Q491" i="5"/>
  <c r="Q493" i="5"/>
  <c r="I24" i="8"/>
  <c r="L10" i="12" l="1"/>
  <c r="K12" i="12"/>
  <c r="F14" i="9"/>
  <c r="F13" i="9"/>
  <c r="V5" i="6"/>
  <c r="T5" i="6"/>
  <c r="V22" i="6"/>
  <c r="T22" i="6"/>
  <c r="V23" i="6"/>
  <c r="T23" i="6"/>
  <c r="V28" i="6"/>
  <c r="T28" i="6"/>
  <c r="V30" i="6"/>
  <c r="T30" i="6"/>
  <c r="V44" i="6"/>
  <c r="T44" i="6"/>
  <c r="V59" i="6"/>
  <c r="T59" i="6"/>
  <c r="V15" i="6"/>
  <c r="T15" i="6"/>
  <c r="V21" i="6"/>
  <c r="T21" i="6"/>
  <c r="V45" i="6"/>
  <c r="T45" i="6"/>
  <c r="V25" i="6"/>
  <c r="T25" i="6"/>
  <c r="V6" i="6"/>
  <c r="T6" i="6"/>
  <c r="V7" i="6"/>
  <c r="T7" i="6"/>
  <c r="V8" i="6"/>
  <c r="T8" i="6"/>
  <c r="V16" i="6"/>
  <c r="T16" i="6"/>
  <c r="V18" i="6"/>
  <c r="T18" i="6"/>
  <c r="V24" i="6"/>
  <c r="T24" i="6"/>
  <c r="V26" i="6"/>
  <c r="T26" i="6"/>
  <c r="V29" i="6"/>
  <c r="T29" i="6"/>
  <c r="V32" i="6"/>
  <c r="T32" i="6"/>
  <c r="V39" i="6"/>
  <c r="T39" i="6"/>
  <c r="V61" i="6"/>
  <c r="T61" i="6"/>
  <c r="V81" i="6"/>
  <c r="T81" i="6"/>
  <c r="V101" i="6"/>
  <c r="T101" i="6"/>
  <c r="V102" i="6"/>
  <c r="T102" i="6"/>
  <c r="V84" i="6"/>
  <c r="T84" i="6"/>
  <c r="V85" i="6"/>
  <c r="T85" i="6"/>
  <c r="V86" i="6"/>
  <c r="T86" i="6"/>
  <c r="V17" i="6"/>
  <c r="T17" i="6"/>
  <c r="V19" i="6"/>
  <c r="T19" i="6"/>
  <c r="V20" i="6"/>
  <c r="T20" i="6"/>
  <c r="V33" i="6"/>
  <c r="T33" i="6"/>
  <c r="V34" i="6"/>
  <c r="T34" i="6"/>
  <c r="V35" i="6"/>
  <c r="T35" i="6"/>
  <c r="V36" i="6"/>
  <c r="T36" i="6"/>
  <c r="V37" i="6"/>
  <c r="T37" i="6"/>
  <c r="V38" i="6"/>
  <c r="T38" i="6"/>
  <c r="V46" i="6"/>
  <c r="T46" i="6"/>
  <c r="V47" i="6"/>
  <c r="T47" i="6"/>
  <c r="V48" i="6"/>
  <c r="T48" i="6"/>
  <c r="V49" i="6"/>
  <c r="T49" i="6"/>
  <c r="V50" i="6"/>
  <c r="T50" i="6"/>
  <c r="V51" i="6"/>
  <c r="T51" i="6"/>
  <c r="V52" i="6"/>
  <c r="T52" i="6"/>
  <c r="V53" i="6"/>
  <c r="T53" i="6"/>
  <c r="V54" i="6"/>
  <c r="T54" i="6"/>
  <c r="V55" i="6"/>
  <c r="T55" i="6"/>
  <c r="V56" i="6"/>
  <c r="T56" i="6"/>
  <c r="V57" i="6"/>
  <c r="T57" i="6"/>
  <c r="V58" i="6"/>
  <c r="T58" i="6"/>
  <c r="V60" i="6"/>
  <c r="T60" i="6"/>
  <c r="V62" i="6"/>
  <c r="T62" i="6"/>
  <c r="V67" i="6"/>
  <c r="T67" i="6"/>
  <c r="V68" i="6"/>
  <c r="T68" i="6"/>
  <c r="V69" i="6"/>
  <c r="T69" i="6"/>
  <c r="V70" i="6"/>
  <c r="T70" i="6"/>
  <c r="V71" i="6"/>
  <c r="T71" i="6"/>
  <c r="V72" i="6"/>
  <c r="T72" i="6"/>
  <c r="V73" i="6"/>
  <c r="T73" i="6"/>
  <c r="V74" i="6"/>
  <c r="T74" i="6"/>
  <c r="V75" i="6"/>
  <c r="T75" i="6"/>
  <c r="V76" i="6"/>
  <c r="T76" i="6"/>
  <c r="V77" i="6"/>
  <c r="T77" i="6"/>
  <c r="V78" i="6"/>
  <c r="T78" i="6"/>
  <c r="V79" i="6"/>
  <c r="T79" i="6"/>
  <c r="V80" i="6"/>
  <c r="T80" i="6"/>
  <c r="V87" i="6"/>
  <c r="T87" i="6"/>
  <c r="V88" i="6"/>
  <c r="T88" i="6"/>
  <c r="V89" i="6"/>
  <c r="T89" i="6"/>
  <c r="V90" i="6"/>
  <c r="T90" i="6"/>
  <c r="V91" i="6"/>
  <c r="T91" i="6"/>
  <c r="V92" i="6"/>
  <c r="T92" i="6"/>
  <c r="V93" i="6"/>
  <c r="T93" i="6"/>
  <c r="V94" i="6"/>
  <c r="T94" i="6"/>
  <c r="V95" i="6"/>
  <c r="T95" i="6"/>
  <c r="V96" i="6"/>
  <c r="T96" i="6"/>
  <c r="V97" i="6"/>
  <c r="T97" i="6"/>
  <c r="V98" i="6"/>
  <c r="T98" i="6"/>
  <c r="V99" i="6"/>
  <c r="T99" i="6"/>
  <c r="V100" i="6"/>
  <c r="T100" i="6"/>
  <c r="V103" i="6"/>
  <c r="T103" i="6"/>
  <c r="V104" i="6"/>
  <c r="T104" i="6"/>
  <c r="V105" i="6"/>
  <c r="T105" i="6"/>
  <c r="V106" i="6"/>
  <c r="T106" i="6"/>
  <c r="V107" i="6"/>
  <c r="T107" i="6"/>
  <c r="V108" i="6"/>
  <c r="T108" i="6"/>
  <c r="V109" i="6"/>
  <c r="T109" i="6"/>
  <c r="V110" i="6"/>
  <c r="T110" i="6"/>
  <c r="V111" i="6"/>
  <c r="T111" i="6"/>
  <c r="V112" i="6"/>
  <c r="T112" i="6"/>
  <c r="V113" i="6"/>
  <c r="T113" i="6"/>
  <c r="V114" i="6"/>
  <c r="T114" i="6"/>
  <c r="V115" i="6"/>
  <c r="T115" i="6"/>
  <c r="V116" i="6"/>
  <c r="T116" i="6"/>
  <c r="V117" i="6"/>
  <c r="T117" i="6"/>
  <c r="V118" i="6"/>
  <c r="T118" i="6"/>
  <c r="N54" i="4"/>
  <c r="L54" i="4"/>
  <c r="Q9" i="6"/>
  <c r="Q11" i="6"/>
  <c r="Q13" i="6"/>
  <c r="Q27" i="6"/>
  <c r="Q31" i="6"/>
  <c r="Q63" i="6"/>
  <c r="Q65" i="6"/>
  <c r="Q82" i="6"/>
  <c r="Q119" i="6"/>
  <c r="Q121" i="6"/>
  <c r="I49" i="8"/>
  <c r="N55" i="4"/>
  <c r="L55" i="4"/>
  <c r="Q10" i="6"/>
  <c r="Q12" i="6"/>
  <c r="Q14" i="6"/>
  <c r="Q64" i="6"/>
  <c r="Q66" i="6"/>
  <c r="Q83" i="6"/>
  <c r="Q120" i="6"/>
  <c r="Q122" i="6"/>
  <c r="I50" i="8"/>
  <c r="V42" i="6"/>
  <c r="V123" i="6" s="1"/>
  <c r="T42" i="6"/>
  <c r="T123" i="6" s="1"/>
  <c r="V43" i="6"/>
  <c r="T43" i="6"/>
  <c r="F20" i="9"/>
  <c r="F19" i="9"/>
  <c r="V5" i="7"/>
  <c r="T5" i="7"/>
  <c r="V22" i="7"/>
  <c r="T22" i="7"/>
  <c r="V23" i="7"/>
  <c r="T23" i="7"/>
  <c r="V29" i="7"/>
  <c r="T29" i="7"/>
  <c r="V31" i="7"/>
  <c r="T31" i="7"/>
  <c r="V46" i="7"/>
  <c r="T46" i="7"/>
  <c r="V61" i="7"/>
  <c r="T61" i="7"/>
  <c r="V15" i="7"/>
  <c r="T15" i="7"/>
  <c r="V21" i="7"/>
  <c r="T21" i="7"/>
  <c r="V47" i="7"/>
  <c r="T47" i="7"/>
  <c r="V25" i="7"/>
  <c r="T25" i="7"/>
  <c r="V6" i="7"/>
  <c r="T6" i="7"/>
  <c r="V7" i="7"/>
  <c r="T7" i="7"/>
  <c r="V8" i="7"/>
  <c r="T8" i="7"/>
  <c r="V16" i="7"/>
  <c r="T16" i="7"/>
  <c r="V18" i="7"/>
  <c r="T18" i="7"/>
  <c r="V24" i="7"/>
  <c r="T24" i="7"/>
  <c r="V26" i="7"/>
  <c r="T26" i="7"/>
  <c r="V30" i="7"/>
  <c r="T30" i="7"/>
  <c r="V34" i="7"/>
  <c r="T34" i="7"/>
  <c r="V41" i="7"/>
  <c r="T41" i="7"/>
  <c r="V63" i="7"/>
  <c r="T63" i="7"/>
  <c r="V83" i="7"/>
  <c r="T83" i="7"/>
  <c r="V103" i="7"/>
  <c r="T103" i="7"/>
  <c r="V104" i="7"/>
  <c r="T104" i="7"/>
  <c r="V86" i="7"/>
  <c r="T86" i="7"/>
  <c r="V87" i="7"/>
  <c r="T87" i="7"/>
  <c r="V88" i="7"/>
  <c r="T88" i="7"/>
  <c r="V17" i="7"/>
  <c r="T17" i="7"/>
  <c r="V19" i="7"/>
  <c r="T19" i="7"/>
  <c r="V20" i="7"/>
  <c r="T20" i="7"/>
  <c r="V35" i="7"/>
  <c r="T35" i="7"/>
  <c r="V36" i="7"/>
  <c r="T36" i="7"/>
  <c r="V37" i="7"/>
  <c r="T37" i="7"/>
  <c r="V38" i="7"/>
  <c r="T38" i="7"/>
  <c r="V39" i="7"/>
  <c r="T39" i="7"/>
  <c r="V40" i="7"/>
  <c r="T40" i="7"/>
  <c r="V48" i="7"/>
  <c r="T48" i="7"/>
  <c r="V49" i="7"/>
  <c r="T49" i="7"/>
  <c r="V50" i="7"/>
  <c r="T50" i="7"/>
  <c r="V51" i="7"/>
  <c r="T51" i="7"/>
  <c r="V52" i="7"/>
  <c r="T52" i="7"/>
  <c r="V53" i="7"/>
  <c r="T53" i="7"/>
  <c r="V54" i="7"/>
  <c r="T54" i="7"/>
  <c r="V55" i="7"/>
  <c r="T55" i="7"/>
  <c r="V56" i="7"/>
  <c r="T56" i="7"/>
  <c r="V57" i="7"/>
  <c r="T57" i="7"/>
  <c r="V58" i="7"/>
  <c r="T58" i="7"/>
  <c r="V59" i="7"/>
  <c r="T59" i="7"/>
  <c r="V60" i="7"/>
  <c r="T60" i="7"/>
  <c r="V62" i="7"/>
  <c r="T62" i="7"/>
  <c r="V64" i="7"/>
  <c r="T64" i="7"/>
  <c r="V69" i="7"/>
  <c r="T69" i="7"/>
  <c r="V70" i="7"/>
  <c r="T70" i="7"/>
  <c r="V71" i="7"/>
  <c r="T71" i="7"/>
  <c r="V72" i="7"/>
  <c r="T72" i="7"/>
  <c r="V73" i="7"/>
  <c r="T73" i="7"/>
  <c r="V74" i="7"/>
  <c r="T74" i="7"/>
  <c r="V75" i="7"/>
  <c r="T75" i="7"/>
  <c r="V76" i="7"/>
  <c r="T76" i="7"/>
  <c r="V77" i="7"/>
  <c r="T77" i="7"/>
  <c r="V78" i="7"/>
  <c r="T78" i="7"/>
  <c r="V79" i="7"/>
  <c r="T79" i="7"/>
  <c r="V80" i="7"/>
  <c r="T80" i="7"/>
  <c r="V81" i="7"/>
  <c r="T81" i="7"/>
  <c r="V82" i="7"/>
  <c r="T82" i="7"/>
  <c r="V89" i="7"/>
  <c r="T89" i="7"/>
  <c r="V90" i="7"/>
  <c r="T90" i="7"/>
  <c r="V91" i="7"/>
  <c r="T91" i="7"/>
  <c r="V92" i="7"/>
  <c r="T92" i="7"/>
  <c r="V93" i="7"/>
  <c r="T93" i="7"/>
  <c r="V94" i="7"/>
  <c r="T94" i="7"/>
  <c r="V95" i="7"/>
  <c r="T95" i="7"/>
  <c r="V96" i="7"/>
  <c r="T96" i="7"/>
  <c r="V97" i="7"/>
  <c r="T97" i="7"/>
  <c r="V98" i="7"/>
  <c r="T98" i="7"/>
  <c r="V99" i="7"/>
  <c r="T99" i="7"/>
  <c r="V100" i="7"/>
  <c r="T100" i="7"/>
  <c r="V101" i="7"/>
  <c r="T101" i="7"/>
  <c r="V102" i="7"/>
  <c r="T102" i="7"/>
  <c r="V105" i="7"/>
  <c r="T105" i="7"/>
  <c r="V106" i="7"/>
  <c r="T106" i="7"/>
  <c r="V107" i="7"/>
  <c r="T107" i="7"/>
  <c r="V108" i="7"/>
  <c r="T108" i="7"/>
  <c r="V109" i="7"/>
  <c r="T109" i="7"/>
  <c r="V110" i="7"/>
  <c r="T110" i="7"/>
  <c r="V111" i="7"/>
  <c r="T111" i="7"/>
  <c r="V112" i="7"/>
  <c r="T112" i="7"/>
  <c r="V113" i="7"/>
  <c r="T113" i="7"/>
  <c r="V114" i="7"/>
  <c r="T114" i="7"/>
  <c r="V115" i="7"/>
  <c r="T115" i="7"/>
  <c r="V116" i="7"/>
  <c r="T116" i="7"/>
  <c r="V117" i="7"/>
  <c r="T117" i="7"/>
  <c r="V118" i="7"/>
  <c r="T118" i="7"/>
  <c r="V119" i="7"/>
  <c r="T119" i="7"/>
  <c r="V120" i="7"/>
  <c r="T120" i="7"/>
  <c r="N72" i="4"/>
  <c r="L72" i="4"/>
  <c r="Q9" i="7"/>
  <c r="Q11" i="7"/>
  <c r="Q13" i="7"/>
  <c r="Q27" i="7"/>
  <c r="Q32" i="7"/>
  <c r="Q65" i="7"/>
  <c r="Q67" i="7"/>
  <c r="Q84" i="7"/>
  <c r="Q121" i="7"/>
  <c r="Q123" i="7"/>
  <c r="I63" i="8"/>
  <c r="N73" i="4"/>
  <c r="L73" i="4"/>
  <c r="Q10" i="7"/>
  <c r="Q12" i="7"/>
  <c r="Q14" i="7"/>
  <c r="Q28" i="7"/>
  <c r="Q33" i="7"/>
  <c r="Q66" i="7"/>
  <c r="Q68" i="7"/>
  <c r="Q85" i="7"/>
  <c r="Q122" i="7"/>
  <c r="Q124" i="7"/>
  <c r="I64" i="8"/>
  <c r="V44" i="7"/>
  <c r="V125" i="7" s="1"/>
  <c r="T44" i="7"/>
  <c r="T125" i="7" s="1"/>
  <c r="V45" i="7"/>
  <c r="T45" i="7"/>
  <c r="V90" i="5"/>
  <c r="V306" i="5" s="1"/>
  <c r="T90" i="5"/>
  <c r="T306" i="5" s="1"/>
  <c r="F8" i="9"/>
  <c r="F7" i="9"/>
  <c r="F6" i="9"/>
  <c r="V302" i="5"/>
  <c r="T302" i="5"/>
  <c r="V531" i="5"/>
  <c r="T531" i="5"/>
  <c r="I8" i="9"/>
  <c r="L8" i="9" s="1"/>
  <c r="I7" i="9"/>
  <c r="L7" i="9" s="1"/>
  <c r="I6" i="9"/>
  <c r="L6" i="9" s="1"/>
  <c r="V101" i="5"/>
  <c r="T101" i="5"/>
  <c r="V141" i="5"/>
  <c r="T141" i="5"/>
  <c r="V223" i="5"/>
  <c r="T223" i="5"/>
  <c r="V5" i="5"/>
  <c r="V88" i="5" s="1"/>
  <c r="T5" i="5"/>
  <c r="T88" i="5" s="1"/>
  <c r="V6" i="5"/>
  <c r="T6" i="5"/>
  <c r="V42" i="5"/>
  <c r="T42" i="5"/>
  <c r="V43" i="5"/>
  <c r="T43" i="5"/>
  <c r="V60" i="5"/>
  <c r="T60" i="5"/>
  <c r="V61" i="5"/>
  <c r="T61" i="5"/>
  <c r="V140" i="5"/>
  <c r="T140" i="5"/>
  <c r="V30" i="5"/>
  <c r="T30" i="5"/>
  <c r="V31" i="5"/>
  <c r="T31" i="5"/>
  <c r="V143" i="5"/>
  <c r="T143" i="5"/>
  <c r="V255" i="5"/>
  <c r="T255" i="5"/>
  <c r="V521" i="5"/>
  <c r="T521" i="5"/>
  <c r="V70" i="5"/>
  <c r="T70" i="5"/>
  <c r="V98" i="5"/>
  <c r="T98" i="5"/>
  <c r="V106" i="5"/>
  <c r="T106" i="5"/>
  <c r="V137" i="5"/>
  <c r="T137" i="5"/>
  <c r="V139" i="5"/>
  <c r="T139" i="5"/>
  <c r="V144" i="5"/>
  <c r="T144" i="5"/>
  <c r="V152" i="5"/>
  <c r="T152" i="5"/>
  <c r="V157" i="5"/>
  <c r="T157" i="5"/>
  <c r="V168" i="5"/>
  <c r="T168" i="5"/>
  <c r="V221" i="5"/>
  <c r="T221" i="5"/>
  <c r="V231" i="5"/>
  <c r="T231" i="5"/>
  <c r="V257" i="5"/>
  <c r="T257" i="5"/>
  <c r="V259" i="5"/>
  <c r="T259" i="5"/>
  <c r="V311" i="5"/>
  <c r="V532" i="5" s="1"/>
  <c r="T311" i="5"/>
  <c r="T532" i="5" s="1"/>
  <c r="V316" i="5"/>
  <c r="T316" i="5"/>
  <c r="V323" i="5"/>
  <c r="T323" i="5"/>
  <c r="V337" i="5"/>
  <c r="T337" i="5"/>
  <c r="V338" i="5"/>
  <c r="T338" i="5"/>
  <c r="V339" i="5"/>
  <c r="T339" i="5"/>
  <c r="V340" i="5"/>
  <c r="T340" i="5"/>
  <c r="V341" i="5"/>
  <c r="T341" i="5"/>
  <c r="V349" i="5"/>
  <c r="T349" i="5"/>
  <c r="V146" i="5"/>
  <c r="T146" i="5"/>
  <c r="V148" i="5"/>
  <c r="T148" i="5"/>
  <c r="V150" i="5"/>
  <c r="T150" i="5"/>
  <c r="V205" i="5"/>
  <c r="T205" i="5"/>
  <c r="V216" i="5"/>
  <c r="T216" i="5"/>
  <c r="V392" i="5"/>
  <c r="T392" i="5"/>
  <c r="V395" i="5"/>
  <c r="T395" i="5"/>
  <c r="V428" i="5"/>
  <c r="T428" i="5"/>
  <c r="V491" i="5"/>
  <c r="T491" i="5"/>
  <c r="V493" i="5"/>
  <c r="T493" i="5"/>
  <c r="N62" i="4"/>
  <c r="L62" i="4"/>
  <c r="N80" i="4"/>
  <c r="L80" i="4"/>
  <c r="N44" i="4"/>
  <c r="N85" i="4" s="1"/>
  <c r="L44" i="4"/>
  <c r="L12" i="12" l="1"/>
  <c r="D5" i="13"/>
  <c r="E5" i="13" s="1"/>
  <c r="V9" i="6"/>
  <c r="T9" i="6"/>
  <c r="V11" i="6"/>
  <c r="T11" i="6"/>
  <c r="V13" i="6"/>
  <c r="T13" i="6"/>
  <c r="V27" i="6"/>
  <c r="T27" i="6"/>
  <c r="V31" i="6"/>
  <c r="T31" i="6"/>
  <c r="V63" i="6"/>
  <c r="T63" i="6"/>
  <c r="V65" i="6"/>
  <c r="T65" i="6"/>
  <c r="V82" i="6"/>
  <c r="T82" i="6"/>
  <c r="V119" i="6"/>
  <c r="T119" i="6"/>
  <c r="V121" i="6"/>
  <c r="T121" i="6"/>
  <c r="V10" i="6"/>
  <c r="T10" i="6"/>
  <c r="V12" i="6"/>
  <c r="T12" i="6"/>
  <c r="V14" i="6"/>
  <c r="T14" i="6"/>
  <c r="V64" i="6"/>
  <c r="T64" i="6"/>
  <c r="V66" i="6"/>
  <c r="T66" i="6"/>
  <c r="V83" i="6"/>
  <c r="T83" i="6"/>
  <c r="V120" i="6"/>
  <c r="T120" i="6"/>
  <c r="V122" i="6"/>
  <c r="T122" i="6"/>
  <c r="V9" i="7"/>
  <c r="T9" i="7"/>
  <c r="V11" i="7"/>
  <c r="T11" i="7"/>
  <c r="V13" i="7"/>
  <c r="T13" i="7"/>
  <c r="V27" i="7"/>
  <c r="T27" i="7"/>
  <c r="V32" i="7"/>
  <c r="T32" i="7"/>
  <c r="V65" i="7"/>
  <c r="T65" i="7"/>
  <c r="V67" i="7"/>
  <c r="T67" i="7"/>
  <c r="V84" i="7"/>
  <c r="T84" i="7"/>
  <c r="V121" i="7"/>
  <c r="T121" i="7"/>
  <c r="V123" i="7"/>
  <c r="T123" i="7"/>
  <c r="V10" i="7"/>
  <c r="T10" i="7"/>
  <c r="V12" i="7"/>
  <c r="T12" i="7"/>
  <c r="V14" i="7"/>
  <c r="T14" i="7"/>
  <c r="V28" i="7"/>
  <c r="T28" i="7"/>
  <c r="V33" i="7"/>
  <c r="T33" i="7"/>
  <c r="V66" i="7"/>
  <c r="T66" i="7"/>
  <c r="V68" i="7"/>
  <c r="T68" i="7"/>
  <c r="V85" i="7"/>
  <c r="T85" i="7"/>
  <c r="V122" i="7"/>
  <c r="T122" i="7"/>
  <c r="V124" i="7"/>
  <c r="T124" i="7"/>
  <c r="M8" i="9"/>
  <c r="M7" i="9"/>
  <c r="C15" i="10"/>
  <c r="L9" i="9"/>
  <c r="M6" i="9"/>
  <c r="M9" i="9" s="1"/>
  <c r="V40" i="6"/>
  <c r="T40" i="6"/>
  <c r="V42" i="7"/>
  <c r="T42" i="7"/>
  <c r="I14" i="9"/>
  <c r="L14" i="9" s="1"/>
  <c r="I13" i="9"/>
  <c r="L13" i="9" s="1"/>
  <c r="D15" i="10" s="1"/>
  <c r="I20" i="9"/>
  <c r="L20" i="9" s="1"/>
  <c r="M20" i="9" s="1"/>
  <c r="I19" i="9"/>
  <c r="L19" i="9" s="1"/>
  <c r="D16" i="10" l="1"/>
  <c r="D17" i="10" s="1"/>
  <c r="D20" i="10"/>
  <c r="C16" i="10"/>
  <c r="C20" i="10"/>
  <c r="M13" i="9"/>
  <c r="M15" i="9" s="1"/>
  <c r="L15" i="9"/>
  <c r="M19" i="9"/>
  <c r="M21" i="9" s="1"/>
  <c r="L21" i="9"/>
  <c r="M14" i="9"/>
  <c r="E15" i="10"/>
  <c r="B15" i="10" s="1"/>
  <c r="C17" i="10" l="1"/>
  <c r="B20" i="10"/>
  <c r="D4" i="13"/>
  <c r="E20" i="10"/>
  <c r="E16" i="10"/>
  <c r="M24" i="9"/>
  <c r="M26" i="9" s="1"/>
  <c r="L24" i="9"/>
  <c r="L26" i="9" s="1"/>
  <c r="E4" i="13" l="1"/>
  <c r="D7" i="13"/>
  <c r="E7" i="13" s="1"/>
  <c r="D10" i="13"/>
  <c r="E17" i="10"/>
  <c r="B17" i="10" s="1"/>
  <c r="B16" i="10"/>
</calcChain>
</file>

<file path=xl/sharedStrings.xml><?xml version="1.0" encoding="utf-8"?>
<sst xmlns="http://schemas.openxmlformats.org/spreadsheetml/2006/main" count="9689" uniqueCount="1268">
  <si>
    <t>Blad 'Omreken'</t>
  </si>
  <si>
    <t>Dit blad mag niet worden gewijzigd!</t>
  </si>
  <si>
    <t>Type:</t>
  </si>
  <si>
    <t>Invultabel</t>
  </si>
  <si>
    <t>werkdag</t>
  </si>
  <si>
    <t xml:space="preserve">per jaar: </t>
  </si>
  <si>
    <t xml:space="preserve">per week: </t>
  </si>
  <si>
    <t>FREQ</t>
  </si>
  <si>
    <t>FACTOR</t>
  </si>
  <si>
    <t>15W</t>
  </si>
  <si>
    <t>5W</t>
  </si>
  <si>
    <t>4W</t>
  </si>
  <si>
    <t>3W</t>
  </si>
  <si>
    <t>2W</t>
  </si>
  <si>
    <t>1W</t>
  </si>
  <si>
    <t>26J</t>
  </si>
  <si>
    <t>12J</t>
  </si>
  <si>
    <t>6J</t>
  </si>
  <si>
    <t>4J</t>
  </si>
  <si>
    <t>3J</t>
  </si>
  <si>
    <t>2J</t>
  </si>
  <si>
    <t>1J</t>
  </si>
  <si>
    <t>weekenddag</t>
  </si>
  <si>
    <t>6W</t>
  </si>
  <si>
    <t>feestdag</t>
  </si>
  <si>
    <t>27J</t>
  </si>
  <si>
    <t>9J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</si>
  <si>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</si>
  <si>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</si>
  <si>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</si>
  <si>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</si>
  <si>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</si>
  <si>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</si>
  <si>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</si>
  <si>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</si>
  <si>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</si>
  <si>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</si>
  <si>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</si>
  <si>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</si>
  <si>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</si>
  <si>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</si>
  <si>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</si>
  <si>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dagkracht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</si>
  <si>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</si>
  <si>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</si>
  <si>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</si>
  <si>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</si>
  <si>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</si>
  <si>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</si>
  <si>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</si>
  <si>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</si>
  <si>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</si>
  <si>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</si>
  <si>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</si>
  <si>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</si>
  <si>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</si>
  <si>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</si>
  <si>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</si>
  <si>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</si>
  <si>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</si>
  <si>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</si>
  <si>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</si>
  <si>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</si>
  <si>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</si>
  <si>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</si>
  <si>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</si>
  <si>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</si>
  <si>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</si>
  <si>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</si>
  <si>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</si>
  <si>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</si>
  <si>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</si>
  <si>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</si>
  <si>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</si>
  <si>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</si>
  <si>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</si>
  <si>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</si>
  <si>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</si>
  <si>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</si>
  <si>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</si>
  <si>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</si>
  <si>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</si>
  <si>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</si>
  <si>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</si>
  <si>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</si>
  <si>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</si>
  <si>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</si>
  <si>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Gewogen tarief uitvoering</t>
  </si>
  <si>
    <t>Tarieven regulier werk</t>
  </si>
  <si>
    <t>TARIEVEN REGIE WERK</t>
  </si>
  <si>
    <t>Regie</t>
  </si>
  <si>
    <t>Regie specialist</t>
  </si>
  <si>
    <t>Regie weekend</t>
  </si>
  <si>
    <t>Regie feestdag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</si>
  <si>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</si>
  <si>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</si>
  <si>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</si>
  <si>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</si>
  <si>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</si>
  <si>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</si>
  <si>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</si>
  <si>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</si>
  <si>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</si>
  <si>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</si>
  <si>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SDHB</t>
  </si>
  <si>
    <t xml:space="preserve">S    </t>
  </si>
  <si>
    <t>Douche/badkamer - harde vloeren (basis)</t>
  </si>
  <si>
    <t>m²/uur</t>
  </si>
  <si>
    <t>SDHV</t>
  </si>
  <si>
    <t>Douche/badkamer - harde vloeren (volledig)</t>
  </si>
  <si>
    <t>SKHB</t>
  </si>
  <si>
    <t>Kleedruimten - harde vloeren (basis)</t>
  </si>
  <si>
    <t>SKHV</t>
  </si>
  <si>
    <t>Kleedruimten - harde vloeren (volledig)</t>
  </si>
  <si>
    <t>STHB</t>
  </si>
  <si>
    <t>Toiletten - harde vloeren (basis)</t>
  </si>
  <si>
    <t>STHV</t>
  </si>
  <si>
    <t>Toiletten - harde vloeren (volledig)</t>
  </si>
  <si>
    <t>LAHB</t>
  </si>
  <si>
    <t xml:space="preserve">T    </t>
  </si>
  <si>
    <t>Auditorium - harde vloeren (basis)</t>
  </si>
  <si>
    <t>LAHV</t>
  </si>
  <si>
    <t>Auditorium - harde vloeren (volledig)</t>
  </si>
  <si>
    <t>MEHB</t>
  </si>
  <si>
    <t>Expositieruimte - harde vloeren (basis)</t>
  </si>
  <si>
    <t>MEHV</t>
  </si>
  <si>
    <t>Expositieruimte - harde vloeren (volledig)</t>
  </si>
  <si>
    <t>KPHB</t>
  </si>
  <si>
    <t xml:space="preserve">V    </t>
  </si>
  <si>
    <t>Pantry - harde vloeren (basis)</t>
  </si>
  <si>
    <t>KPHV</t>
  </si>
  <si>
    <t>Pantry - harde vloeren (volledig)</t>
  </si>
  <si>
    <t>KRHB</t>
  </si>
  <si>
    <t>Restaurant/kantine - harde vloeren (basis)</t>
  </si>
  <si>
    <t>KRHV</t>
  </si>
  <si>
    <t>Restaurant/kantine - harde vloeren (volledig)</t>
  </si>
  <si>
    <t>OAHB</t>
  </si>
  <si>
    <t>Opslag/archief/magazijn - harde vloeren (basis)</t>
  </si>
  <si>
    <t>OAHV</t>
  </si>
  <si>
    <t>Opslag/archief/magazijn - harde vloeren (volledig)</t>
  </si>
  <si>
    <t>VAHB</t>
  </si>
  <si>
    <t>Verkeer algemeen - harde vloeren (basis)</t>
  </si>
  <si>
    <t>VAHV</t>
  </si>
  <si>
    <t>Verkeer algemeen - harde vloeren (volledig)</t>
  </si>
  <si>
    <t>VAZB</t>
  </si>
  <si>
    <t>Verkeer algemeen - zachte vloeren (basis)</t>
  </si>
  <si>
    <t>VAZV</t>
  </si>
  <si>
    <t>Verkeer algemeen - zachte vloeren (volledig)</t>
  </si>
  <si>
    <t>VEHB</t>
  </si>
  <si>
    <t>Entree - harde vloeren (basis)</t>
  </si>
  <si>
    <t>VEHV</t>
  </si>
  <si>
    <t>Entree - harde vloeren (volledig)</t>
  </si>
  <si>
    <t>VEZB</t>
  </si>
  <si>
    <t>Entree - zachte vloeren (basis)</t>
  </si>
  <si>
    <t>VEZV</t>
  </si>
  <si>
    <t>Entree - zachte vloeren (volledig)</t>
  </si>
  <si>
    <t>VLHB</t>
  </si>
  <si>
    <t>Liften - harde vloeren (basis)</t>
  </si>
  <si>
    <t>VLHV</t>
  </si>
  <si>
    <t>Liften - harde vloeren (volledig)</t>
  </si>
  <si>
    <t>VTHB</t>
  </si>
  <si>
    <t>Trap - harde vloeren (basis)</t>
  </si>
  <si>
    <t>VTHV</t>
  </si>
  <si>
    <t>Trap - harde vloeren (volledig)</t>
  </si>
  <si>
    <t>BKHB</t>
  </si>
  <si>
    <t xml:space="preserve">W    </t>
  </si>
  <si>
    <t>Bureaukamers - harde vloeren (basis)</t>
  </si>
  <si>
    <t>BKHV</t>
  </si>
  <si>
    <t>Bureaukamers - harde vloeren (volledig)</t>
  </si>
  <si>
    <t>BKZB</t>
  </si>
  <si>
    <t>Bureaukamers - zachte vloeren (basis)</t>
  </si>
  <si>
    <t>BKZV</t>
  </si>
  <si>
    <t>Bureaukamers - zachte vloeren (volledig)</t>
  </si>
  <si>
    <t>BVHB</t>
  </si>
  <si>
    <t>Vergaderruimten - harde vloeren (basis)</t>
  </si>
  <si>
    <t>BVHV</t>
  </si>
  <si>
    <t>Vergaderruimten - harde vloeren (volledig)</t>
  </si>
  <si>
    <t>BVZB</t>
  </si>
  <si>
    <t>Vergaderruimten - zachte vloeren (basis)</t>
  </si>
  <si>
    <t>BVZV</t>
  </si>
  <si>
    <t>Vergaderruimten - zachte vloeren (volledig)</t>
  </si>
  <si>
    <t>MAHB</t>
  </si>
  <si>
    <t>Atelier/werkplaats - harde vloeren (basis)</t>
  </si>
  <si>
    <t>MAHV</t>
  </si>
  <si>
    <t>Atelier/werkplaats - harde vloeren (volledig)</t>
  </si>
  <si>
    <t xml:space="preserve">WEEKENDDAG               </t>
  </si>
  <si>
    <t>WSKHB</t>
  </si>
  <si>
    <t>Kleedruimte - harde vloeren (basis)</t>
  </si>
  <si>
    <t>WSTHB</t>
  </si>
  <si>
    <t>Toilet - harde vloeren (basis)</t>
  </si>
  <si>
    <t>WMEHB</t>
  </si>
  <si>
    <t>WKPHB</t>
  </si>
  <si>
    <t>WKRHB</t>
  </si>
  <si>
    <t>WVAHB</t>
  </si>
  <si>
    <t>WVEHB</t>
  </si>
  <si>
    <t>WVEZB</t>
  </si>
  <si>
    <t>WVLHB</t>
  </si>
  <si>
    <t>WVTHB</t>
  </si>
  <si>
    <t xml:space="preserve">FEESTDAG                 </t>
  </si>
  <si>
    <t>XSKHB</t>
  </si>
  <si>
    <t>XSTHB</t>
  </si>
  <si>
    <t>XMEHB</t>
  </si>
  <si>
    <t>XKPHB</t>
  </si>
  <si>
    <t>XKRHB</t>
  </si>
  <si>
    <t>XVAHB</t>
  </si>
  <si>
    <t>XVEHB</t>
  </si>
  <si>
    <t>XVEZB</t>
  </si>
  <si>
    <t>XVLHB</t>
  </si>
  <si>
    <t>XVTHB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</si>
  <si>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</si>
  <si>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</si>
  <si>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</si>
  <si>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</si>
  <si>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</si>
  <si>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</si>
  <si>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</si>
  <si>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</si>
  <si>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BKH</t>
  </si>
  <si>
    <t>interieur</t>
  </si>
  <si>
    <t>Bureaukamers - harde vloeren</t>
  </si>
  <si>
    <t>BKZ</t>
  </si>
  <si>
    <t>Bureaukamers - zachte vloeren</t>
  </si>
  <si>
    <t>BVH</t>
  </si>
  <si>
    <t>Vergaderruimten - harde vloeren</t>
  </si>
  <si>
    <t>BVZ</t>
  </si>
  <si>
    <t>Vergaderruimten - zachte vloeren</t>
  </si>
  <si>
    <t>KPH</t>
  </si>
  <si>
    <t>Pantry - harde vloeren</t>
  </si>
  <si>
    <t>KRH</t>
  </si>
  <si>
    <t>Restaurant/kantine - harde vloeren</t>
  </si>
  <si>
    <t>LAH</t>
  </si>
  <si>
    <t>Auditorium - harde vloeren</t>
  </si>
  <si>
    <t>MAH</t>
  </si>
  <si>
    <t>Atelier/werkplaats - harde vloeren</t>
  </si>
  <si>
    <t>MEH</t>
  </si>
  <si>
    <t>Expositieruimte - harde vloeren</t>
  </si>
  <si>
    <t>OAH</t>
  </si>
  <si>
    <t>Opslag/archief/magazijn - harde vloeren</t>
  </si>
  <si>
    <t>SDH</t>
  </si>
  <si>
    <t>Douche - harde vloeren</t>
  </si>
  <si>
    <t>SKH</t>
  </si>
  <si>
    <t>Kleedruimte - harde vloeren</t>
  </si>
  <si>
    <t>STH</t>
  </si>
  <si>
    <t>Toilet - harde vloeren</t>
  </si>
  <si>
    <t>STHN</t>
  </si>
  <si>
    <t>Toilet - harde vloeren - 3x extra naloop</t>
  </si>
  <si>
    <t>VAH</t>
  </si>
  <si>
    <t>Verkeer algemeen - harde vloeren</t>
  </si>
  <si>
    <t>VAZ</t>
  </si>
  <si>
    <t>Verkeer algemeen - zachte vloeren</t>
  </si>
  <si>
    <t>VEH</t>
  </si>
  <si>
    <t>Entree - harde vloeren</t>
  </si>
  <si>
    <t>VEZ</t>
  </si>
  <si>
    <t>Entree - zachte vloeren</t>
  </si>
  <si>
    <t>VLH</t>
  </si>
  <si>
    <t>Liften - harde vloeren</t>
  </si>
  <si>
    <t>VTH</t>
  </si>
  <si>
    <t>Trap - harde vloeren</t>
  </si>
  <si>
    <t>1000</t>
  </si>
  <si>
    <t>extra</t>
  </si>
  <si>
    <t>Kantine taken extra uren inzet</t>
  </si>
  <si>
    <t>uur</t>
  </si>
  <si>
    <t>1040</t>
  </si>
  <si>
    <t>Naloop Entree en buitengebied &lt;5 meter (1,25 uur)</t>
  </si>
  <si>
    <t xml:space="preserve">Totaal werkdag                  </t>
  </si>
  <si>
    <t xml:space="preserve">Gemiddeld uurtarief werkdag                  </t>
  </si>
  <si>
    <t>WKPH</t>
  </si>
  <si>
    <t>WKRH</t>
  </si>
  <si>
    <t>WMEH</t>
  </si>
  <si>
    <t>WSKH</t>
  </si>
  <si>
    <t>WSTH</t>
  </si>
  <si>
    <t>WSTHN</t>
  </si>
  <si>
    <t>Toilet - harde vloeren -3x extra naloop</t>
  </si>
  <si>
    <t>WVAH</t>
  </si>
  <si>
    <t>WVEH</t>
  </si>
  <si>
    <t>WVEZ</t>
  </si>
  <si>
    <t>WVLH</t>
  </si>
  <si>
    <t>WVTH</t>
  </si>
  <si>
    <t>1050</t>
  </si>
  <si>
    <t>Naloop Entree en buitengebied &lt;5 meter (1,25 uur)  Weekend</t>
  </si>
  <si>
    <t xml:space="preserve">Totaal weekenddag               </t>
  </si>
  <si>
    <t xml:space="preserve">Gemiddeld uurtarief weekenddag               </t>
  </si>
  <si>
    <t>XKPH</t>
  </si>
  <si>
    <t>XKRH</t>
  </si>
  <si>
    <t>XMEH</t>
  </si>
  <si>
    <t>XSKH</t>
  </si>
  <si>
    <t>XSTH</t>
  </si>
  <si>
    <t>XSTHN</t>
  </si>
  <si>
    <t>XVAH</t>
  </si>
  <si>
    <t>XVEH</t>
  </si>
  <si>
    <t>XVEZ</t>
  </si>
  <si>
    <t>XVLH</t>
  </si>
  <si>
    <t>XVTH</t>
  </si>
  <si>
    <t>1060</t>
  </si>
  <si>
    <t>Naloop Entree en buitengebied &lt;5 meter (1,25 uur)  Feestdag</t>
  </si>
  <si>
    <t xml:space="preserve">Totaal feestdag                 </t>
  </si>
  <si>
    <t xml:space="preserve">Gemiddeld uurtarief feestdag                 </t>
  </si>
  <si>
    <t>Totaal regulier werk excl. BTW</t>
  </si>
  <si>
    <t>OBJECT</t>
  </si>
  <si>
    <t>BOUW-DEEL</t>
  </si>
  <si>
    <t>ETAGE</t>
  </si>
  <si>
    <t>RUIMTENR</t>
  </si>
  <si>
    <t>HOTELNR</t>
  </si>
  <si>
    <t>RUIMTENAAM</t>
  </si>
  <si>
    <t>VLOER</t>
  </si>
  <si>
    <t>WERK-SOORT</t>
  </si>
  <si>
    <t>TAAK OMSCHRIJVING</t>
  </si>
  <si>
    <t>UREN HOOG-FREQUENT/ DAG</t>
  </si>
  <si>
    <t>1000 - Depot, Amsterdam</t>
  </si>
  <si>
    <t>00</t>
  </si>
  <si>
    <t>0.01</t>
  </si>
  <si>
    <t>Vluchttrap</t>
  </si>
  <si>
    <t>beton</t>
  </si>
  <si>
    <t>0.02</t>
  </si>
  <si>
    <t>0.03</t>
  </si>
  <si>
    <t>Lift LTF</t>
  </si>
  <si>
    <t>N.I.O.</t>
  </si>
  <si>
    <t>0.03a</t>
  </si>
  <si>
    <t>Liftmachinekamer</t>
  </si>
  <si>
    <t>0.04</t>
  </si>
  <si>
    <t>Toilet dames</t>
  </si>
  <si>
    <t>tegels</t>
  </si>
  <si>
    <t>0.05</t>
  </si>
  <si>
    <t>Toilet heren</t>
  </si>
  <si>
    <t>0.06</t>
  </si>
  <si>
    <t>Trap</t>
  </si>
  <si>
    <t>gelakt hout</t>
  </si>
  <si>
    <t>0.07</t>
  </si>
  <si>
    <t>Opslag schoonmaak</t>
  </si>
  <si>
    <t>0.08</t>
  </si>
  <si>
    <t>Opslag schilder</t>
  </si>
  <si>
    <t>0.09</t>
  </si>
  <si>
    <t>Opslag karren e.d.</t>
  </si>
  <si>
    <t>0.10</t>
  </si>
  <si>
    <t>Multifuncitioneel atelier</t>
  </si>
  <si>
    <t>linoleum</t>
  </si>
  <si>
    <t>0.11</t>
  </si>
  <si>
    <t>Atelier TK</t>
  </si>
  <si>
    <t>0.12</t>
  </si>
  <si>
    <t>Blokstapeling</t>
  </si>
  <si>
    <t>0.13a</t>
  </si>
  <si>
    <t>Palletstellingen 1</t>
  </si>
  <si>
    <t>0.13b</t>
  </si>
  <si>
    <t>Palletstellingen 2</t>
  </si>
  <si>
    <t>0.13c</t>
  </si>
  <si>
    <t>Palletstellingen 3</t>
  </si>
  <si>
    <t>0.14</t>
  </si>
  <si>
    <t>Transitodepot</t>
  </si>
  <si>
    <t>0.15</t>
  </si>
  <si>
    <t>NSA technische ruimte</t>
  </si>
  <si>
    <t>0.15b</t>
  </si>
  <si>
    <t>Sprinklerpompruimte</t>
  </si>
  <si>
    <t>0.16</t>
  </si>
  <si>
    <t>LS technische ruimte</t>
  </si>
  <si>
    <t>0.17</t>
  </si>
  <si>
    <t>Technische ruimte</t>
  </si>
  <si>
    <t>0.18</t>
  </si>
  <si>
    <t>Hydrofoor</t>
  </si>
  <si>
    <t>0.18b</t>
  </si>
  <si>
    <t>Gasmeter</t>
  </si>
  <si>
    <t>0.19</t>
  </si>
  <si>
    <t>Emballage</t>
  </si>
  <si>
    <t>0.20</t>
  </si>
  <si>
    <t>Magazijn/emballage</t>
  </si>
  <si>
    <t>0.21</t>
  </si>
  <si>
    <t>Losruimte</t>
  </si>
  <si>
    <t>geschilderd beton</t>
  </si>
  <si>
    <t>0.22</t>
  </si>
  <si>
    <t>Truckdock</t>
  </si>
  <si>
    <t>0.23</t>
  </si>
  <si>
    <t>Timmerman werkplaats</t>
  </si>
  <si>
    <t>0.25</t>
  </si>
  <si>
    <t>Quarantaine / opslagruimte</t>
  </si>
  <si>
    <t>0.26</t>
  </si>
  <si>
    <t>Opslag karren</t>
  </si>
  <si>
    <t>0.27</t>
  </si>
  <si>
    <t>Patch en beveiliging</t>
  </si>
  <si>
    <t>0.28</t>
  </si>
  <si>
    <t>Kantoor transport</t>
  </si>
  <si>
    <t>0.29</t>
  </si>
  <si>
    <t>Kantoor timmerman en emballage</t>
  </si>
  <si>
    <t>0.30</t>
  </si>
  <si>
    <t>Receptie en ontvangst</t>
  </si>
  <si>
    <t>0.31</t>
  </si>
  <si>
    <t>Entreehal/gang</t>
  </si>
  <si>
    <t>0.32</t>
  </si>
  <si>
    <t>Tochtsluis</t>
  </si>
  <si>
    <t>mat</t>
  </si>
  <si>
    <t>0.33</t>
  </si>
  <si>
    <t>Binnentuin</t>
  </si>
  <si>
    <t>straattegels beton</t>
  </si>
  <si>
    <t>01</t>
  </si>
  <si>
    <t>1.01</t>
  </si>
  <si>
    <t>1.02</t>
  </si>
  <si>
    <t>1.03</t>
  </si>
  <si>
    <t>1.04</t>
  </si>
  <si>
    <t>1.05</t>
  </si>
  <si>
    <t>1.06</t>
  </si>
  <si>
    <t>1.07</t>
  </si>
  <si>
    <t>1.08</t>
  </si>
  <si>
    <t>Kleedruimte dames</t>
  </si>
  <si>
    <t>1.09</t>
  </si>
  <si>
    <t>Kleedruimte heren</t>
  </si>
  <si>
    <t>1.10</t>
  </si>
  <si>
    <t>Schilderijen +lijsten</t>
  </si>
  <si>
    <t>1.11</t>
  </si>
  <si>
    <t>1.12</t>
  </si>
  <si>
    <t>Kantoor beheer</t>
  </si>
  <si>
    <t>1.13</t>
  </si>
  <si>
    <t>Studiezaal</t>
  </si>
  <si>
    <t>1.14</t>
  </si>
  <si>
    <t>Gang</t>
  </si>
  <si>
    <t>1.15</t>
  </si>
  <si>
    <t>Kantine</t>
  </si>
  <si>
    <t>1.16</t>
  </si>
  <si>
    <t>1.17</t>
  </si>
  <si>
    <t>1.18</t>
  </si>
  <si>
    <t>02</t>
  </si>
  <si>
    <t>2.01</t>
  </si>
  <si>
    <t>2.02</t>
  </si>
  <si>
    <t>2.04</t>
  </si>
  <si>
    <t>2.05</t>
  </si>
  <si>
    <t>2.06</t>
  </si>
  <si>
    <t>2.07</t>
  </si>
  <si>
    <t>Werkkast</t>
  </si>
  <si>
    <t>2.08</t>
  </si>
  <si>
    <t>Miva toilet</t>
  </si>
  <si>
    <t>2.09</t>
  </si>
  <si>
    <t>Kantoor fotografie + digitale doka</t>
  </si>
  <si>
    <t>2.10</t>
  </si>
  <si>
    <t>Encadrering</t>
  </si>
  <si>
    <t>2.11</t>
  </si>
  <si>
    <t>Foto/papier atelier</t>
  </si>
  <si>
    <t>2.12</t>
  </si>
  <si>
    <t>Opslag papier</t>
  </si>
  <si>
    <t>2.13</t>
  </si>
  <si>
    <t>Opslag sokkels e.d.</t>
  </si>
  <si>
    <t>2.14</t>
  </si>
  <si>
    <t>Ehbo ruimte</t>
  </si>
  <si>
    <t>2.15</t>
  </si>
  <si>
    <t>Foto studio</t>
  </si>
  <si>
    <t>n/a</t>
  </si>
  <si>
    <t>2.16</t>
  </si>
  <si>
    <t>Grootvakstellingen</t>
  </si>
  <si>
    <t>2.17</t>
  </si>
  <si>
    <t>2.18</t>
  </si>
  <si>
    <t>Metaal en video</t>
  </si>
  <si>
    <t>2.19</t>
  </si>
  <si>
    <t>Kunststof depot</t>
  </si>
  <si>
    <t>2.20</t>
  </si>
  <si>
    <t>Papierdepot</t>
  </si>
  <si>
    <t>2.21</t>
  </si>
  <si>
    <t>Overgangs klimaatruimte</t>
  </si>
  <si>
    <t>2.22</t>
  </si>
  <si>
    <t>Kl. Foto depot</t>
  </si>
  <si>
    <t>2.23</t>
  </si>
  <si>
    <t>zw. Foto depot</t>
  </si>
  <si>
    <t>2.24</t>
  </si>
  <si>
    <t>Audiovisuele werkplaats en opslag</t>
  </si>
  <si>
    <t>2.25</t>
  </si>
  <si>
    <t>03</t>
  </si>
  <si>
    <t>3.01</t>
  </si>
  <si>
    <t>3.02</t>
  </si>
  <si>
    <t>3.03</t>
  </si>
  <si>
    <t>3.04</t>
  </si>
  <si>
    <t>Installatieruimte</t>
  </si>
  <si>
    <t>Totaal werkdag</t>
  </si>
  <si>
    <t>2000 - Nieuwbouw Museumplein, Amsterdam</t>
  </si>
  <si>
    <t>2000</t>
  </si>
  <si>
    <t>ALGEMEEN WERK:  NALOOP BUITENGEBIED</t>
  </si>
  <si>
    <t>-1</t>
  </si>
  <si>
    <t>K1-101</t>
  </si>
  <si>
    <t>K1-102</t>
  </si>
  <si>
    <t>Lift Personeel</t>
  </si>
  <si>
    <t>K1-103</t>
  </si>
  <si>
    <t>Trap West (incl. 113-120)</t>
  </si>
  <si>
    <t>K1-104</t>
  </si>
  <si>
    <t>Lift Kunst</t>
  </si>
  <si>
    <t>K1-105</t>
  </si>
  <si>
    <t>Schacht</t>
  </si>
  <si>
    <t>K1-107</t>
  </si>
  <si>
    <t>Lift Horeca Spijzen</t>
  </si>
  <si>
    <t>K1-108</t>
  </si>
  <si>
    <t>betonverf</t>
  </si>
  <si>
    <t>K1-109</t>
  </si>
  <si>
    <t>Werkplaats Schilder</t>
  </si>
  <si>
    <t>K1-111</t>
  </si>
  <si>
    <t>Ruimte Onder Schuine Wand</t>
  </si>
  <si>
    <t>K1-114</t>
  </si>
  <si>
    <t>Toiletten timmerwerkplaats</t>
  </si>
  <si>
    <t>K1-115</t>
  </si>
  <si>
    <t>Trap Bij Truckdock</t>
  </si>
  <si>
    <t>K1-116</t>
  </si>
  <si>
    <t>Trucklift</t>
  </si>
  <si>
    <t>metaal/aluminium</t>
  </si>
  <si>
    <t>K1-117</t>
  </si>
  <si>
    <t>Opslag Containers</t>
  </si>
  <si>
    <t>K1-118</t>
  </si>
  <si>
    <t>Laagspanningsruimte</t>
  </si>
  <si>
    <t>K1-119</t>
  </si>
  <si>
    <t>K1-122</t>
  </si>
  <si>
    <t>Werkplaats Timmer</t>
  </si>
  <si>
    <t>K1-123</t>
  </si>
  <si>
    <t>Voorruimte Toilet Restaurant Sandberg</t>
  </si>
  <si>
    <t>natuursteen</t>
  </si>
  <si>
    <t>K1-125</t>
  </si>
  <si>
    <t>K1-126</t>
  </si>
  <si>
    <t>Lift Horeca Invaliden</t>
  </si>
  <si>
    <t>K1-127/153</t>
  </si>
  <si>
    <t>Studiezaal incl repro Bibliotheek</t>
  </si>
  <si>
    <t>parket (hout)/tapijt</t>
  </si>
  <si>
    <t>K1-128</t>
  </si>
  <si>
    <t>Toilet Horeca Sandberg</t>
  </si>
  <si>
    <t>K1-130</t>
  </si>
  <si>
    <t>K1-131</t>
  </si>
  <si>
    <t>Trap Oost</t>
  </si>
  <si>
    <t>K1-132</t>
  </si>
  <si>
    <t>Sprinkler</t>
  </si>
  <si>
    <t>K1-133</t>
  </si>
  <si>
    <t>Koekoek Tbv Leidingen</t>
  </si>
  <si>
    <t>K1-134</t>
  </si>
  <si>
    <t>Patch Ruimte</t>
  </si>
  <si>
    <t>K1-138</t>
  </si>
  <si>
    <t>Opslag</t>
  </si>
  <si>
    <t>epoxy</t>
  </si>
  <si>
    <t>K1-140</t>
  </si>
  <si>
    <t>K1-141</t>
  </si>
  <si>
    <t>Toilet Miva Sandberg</t>
  </si>
  <si>
    <t>K1-142</t>
  </si>
  <si>
    <t>K1-143</t>
  </si>
  <si>
    <t>Opslag Restaurant</t>
  </si>
  <si>
    <t>K1-151</t>
  </si>
  <si>
    <t>Pantry Bibliotheek</t>
  </si>
  <si>
    <t>K1-152</t>
  </si>
  <si>
    <t>Lockerruimte</t>
  </si>
  <si>
    <t>parket (hout)</t>
  </si>
  <si>
    <t>K1-154</t>
  </si>
  <si>
    <t>K1-155</t>
  </si>
  <si>
    <t>K1-156</t>
  </si>
  <si>
    <t>K1-159</t>
  </si>
  <si>
    <t>Techniek</t>
  </si>
  <si>
    <t>K1-160</t>
  </si>
  <si>
    <t>Opslag En Voorbereidingskeuken</t>
  </si>
  <si>
    <t>-2</t>
  </si>
  <si>
    <t>K2-101</t>
  </si>
  <si>
    <t>Patchkast</t>
  </si>
  <si>
    <t>K2-102</t>
  </si>
  <si>
    <t>K2-103</t>
  </si>
  <si>
    <t>Trap West</t>
  </si>
  <si>
    <t>K2-104</t>
  </si>
  <si>
    <t>K2-105</t>
  </si>
  <si>
    <t>K2-106</t>
  </si>
  <si>
    <t>K2-107/114</t>
  </si>
  <si>
    <t>K2-108</t>
  </si>
  <si>
    <t>Techniekruimte</t>
  </si>
  <si>
    <t>K2-109</t>
  </si>
  <si>
    <t>Tijdelijke Opslag</t>
  </si>
  <si>
    <t>K2-110</t>
  </si>
  <si>
    <t>K2-111</t>
  </si>
  <si>
    <t>Truck Transitodepot</t>
  </si>
  <si>
    <t>K2-112</t>
  </si>
  <si>
    <t>K2-113</t>
  </si>
  <si>
    <t>K2-115</t>
  </si>
  <si>
    <t>Truck Kantoor</t>
  </si>
  <si>
    <t>K2-116</t>
  </si>
  <si>
    <t>K2-117</t>
  </si>
  <si>
    <t>Truck Emballage</t>
  </si>
  <si>
    <t>K2-118</t>
  </si>
  <si>
    <t>Toiletten (publiek)</t>
  </si>
  <si>
    <t>K2-119</t>
  </si>
  <si>
    <t>K2-120</t>
  </si>
  <si>
    <t>Toilet Miva (publiek)</t>
  </si>
  <si>
    <t>K2-121</t>
  </si>
  <si>
    <t>Lift Horeca/Glazenlift</t>
  </si>
  <si>
    <t>K2-122</t>
  </si>
  <si>
    <t>Truck Hondjes Opslag</t>
  </si>
  <si>
    <t>K2-123</t>
  </si>
  <si>
    <t>Voorruimte</t>
  </si>
  <si>
    <t>K2-125</t>
  </si>
  <si>
    <t>Expo Grote Zaal</t>
  </si>
  <si>
    <t>K2-126</t>
  </si>
  <si>
    <t>K2-127</t>
  </si>
  <si>
    <t>Expo Multi Functioneel</t>
  </si>
  <si>
    <t>K2-128</t>
  </si>
  <si>
    <t>Opslag Multi Functionele Zaal</t>
  </si>
  <si>
    <t>K2-129</t>
  </si>
  <si>
    <t>K2-130</t>
  </si>
  <si>
    <t>K2-131</t>
  </si>
  <si>
    <t>K2-132</t>
  </si>
  <si>
    <t>Verdeelkast</t>
  </si>
  <si>
    <t>K2-133</t>
  </si>
  <si>
    <t>K2-134</t>
  </si>
  <si>
    <t>K2-135</t>
  </si>
  <si>
    <t>K2-136</t>
  </si>
  <si>
    <t>Sprinklerkelder</t>
  </si>
  <si>
    <t>K2-137</t>
  </si>
  <si>
    <t>K2-140</t>
  </si>
  <si>
    <t>K2-141</t>
  </si>
  <si>
    <t>Kwetsbaar Depot</t>
  </si>
  <si>
    <t>K2-142</t>
  </si>
  <si>
    <t>Techniek Beveiliging</t>
  </si>
  <si>
    <t>BG-101</t>
  </si>
  <si>
    <t>Ingang Personeel/Goederen</t>
  </si>
  <si>
    <t>droogloopmat</t>
  </si>
  <si>
    <t>BG-102</t>
  </si>
  <si>
    <t>BG-103</t>
  </si>
  <si>
    <t>BG-104</t>
  </si>
  <si>
    <t>BG-105</t>
  </si>
  <si>
    <t>BG-106</t>
  </si>
  <si>
    <t>BG-108</t>
  </si>
  <si>
    <t>Trap Naar Kenniscentrum</t>
  </si>
  <si>
    <t>BG-109</t>
  </si>
  <si>
    <t>Publieks Restaurant Keuken</t>
  </si>
  <si>
    <t>BG-110</t>
  </si>
  <si>
    <t>Publieksrestaurant  - Sandberg</t>
  </si>
  <si>
    <t>BG-112</t>
  </si>
  <si>
    <t>BG-115</t>
  </si>
  <si>
    <t>Vide/Trappenhuis</t>
  </si>
  <si>
    <t>BG-116</t>
  </si>
  <si>
    <t>Centrale hal (incl. 118/126)</t>
  </si>
  <si>
    <t>BG-120/143</t>
  </si>
  <si>
    <t>Personeelsentree/gang</t>
  </si>
  <si>
    <t>BG-121</t>
  </si>
  <si>
    <t>BG-122</t>
  </si>
  <si>
    <t>BG-123</t>
  </si>
  <si>
    <t>Voorruimte Trappenhuis Oost</t>
  </si>
  <si>
    <t>BG-124</t>
  </si>
  <si>
    <t>Centrale hal 1</t>
  </si>
  <si>
    <t>BG-128</t>
  </si>
  <si>
    <t>Centrale hal 2</t>
  </si>
  <si>
    <t>BG-129</t>
  </si>
  <si>
    <t>Centrale hal 3</t>
  </si>
  <si>
    <t>BG-130</t>
  </si>
  <si>
    <t>BG-131</t>
  </si>
  <si>
    <t>Hoogspanning</t>
  </si>
  <si>
    <t>BG-132</t>
  </si>
  <si>
    <t>Gaskast</t>
  </si>
  <si>
    <t>BG-133</t>
  </si>
  <si>
    <t>BG-134</t>
  </si>
  <si>
    <t>BG-137</t>
  </si>
  <si>
    <t>Trap Restaurant</t>
  </si>
  <si>
    <t>BG-142</t>
  </si>
  <si>
    <t>BG-144</t>
  </si>
  <si>
    <t>BG-150</t>
  </si>
  <si>
    <t>Gang Keuken</t>
  </si>
  <si>
    <t>01-101</t>
  </si>
  <si>
    <t>01-102/128</t>
  </si>
  <si>
    <t>01-103</t>
  </si>
  <si>
    <t>01-104</t>
  </si>
  <si>
    <t>01-105</t>
  </si>
  <si>
    <t>01-106</t>
  </si>
  <si>
    <t>01-107</t>
  </si>
  <si>
    <t>Toiletten Auditorium Dames (publiek)</t>
  </si>
  <si>
    <t>01-109</t>
  </si>
  <si>
    <t>Trap Naast Roltrap</t>
  </si>
  <si>
    <t>01-110</t>
  </si>
  <si>
    <t>01-111</t>
  </si>
  <si>
    <t>Roltrap</t>
  </si>
  <si>
    <t>01-112</t>
  </si>
  <si>
    <t>Auditorium</t>
  </si>
  <si>
    <t>01-113</t>
  </si>
  <si>
    <t>Auditorium Voorruimte</t>
  </si>
  <si>
    <t>01-114</t>
  </si>
  <si>
    <t>Trap Naar Middelgrote Zaal</t>
  </si>
  <si>
    <t>01-115</t>
  </si>
  <si>
    <t>01-116</t>
  </si>
  <si>
    <t>01-117</t>
  </si>
  <si>
    <t>01-118</t>
  </si>
  <si>
    <t>Toiletten Auditorium Heren (publiek)</t>
  </si>
  <si>
    <t>01-119</t>
  </si>
  <si>
    <t>01-120</t>
  </si>
  <si>
    <t>01-121</t>
  </si>
  <si>
    <t>01-122</t>
  </si>
  <si>
    <t>01-123</t>
  </si>
  <si>
    <t>Auditorium Stoelenopslag</t>
  </si>
  <si>
    <t>01-124</t>
  </si>
  <si>
    <t>Traforuimte</t>
  </si>
  <si>
    <t>01-125</t>
  </si>
  <si>
    <t>Trap Truckdock</t>
  </si>
  <si>
    <t>metaal</t>
  </si>
  <si>
    <t>01-126</t>
  </si>
  <si>
    <t>Uitblaasruimte</t>
  </si>
  <si>
    <t>01-127</t>
  </si>
  <si>
    <t>01-129</t>
  </si>
  <si>
    <t>02-101</t>
  </si>
  <si>
    <t>02-102/126</t>
  </si>
  <si>
    <t>02-103</t>
  </si>
  <si>
    <t>02-104</t>
  </si>
  <si>
    <t>02-105</t>
  </si>
  <si>
    <t>Auditorium Regiekamer Opslag</t>
  </si>
  <si>
    <t>02-106</t>
  </si>
  <si>
    <t>Auditorium Regiekamer</t>
  </si>
  <si>
    <t>02-107</t>
  </si>
  <si>
    <t>02-108</t>
  </si>
  <si>
    <t>02-109</t>
  </si>
  <si>
    <t>02-110</t>
  </si>
  <si>
    <t>Expo Middelgrote Zaal</t>
  </si>
  <si>
    <t>02-111</t>
  </si>
  <si>
    <t>Expo Kleine Zaal</t>
  </si>
  <si>
    <t>02-112</t>
  </si>
  <si>
    <t>Videoruimte + tribune (03-107)</t>
  </si>
  <si>
    <t>02-113</t>
  </si>
  <si>
    <t>02-114</t>
  </si>
  <si>
    <t>02-115</t>
  </si>
  <si>
    <t>Auditorium Kleedkamers</t>
  </si>
  <si>
    <t>02-116</t>
  </si>
  <si>
    <t>Verkeersruimte</t>
  </si>
  <si>
    <t>02-117</t>
  </si>
  <si>
    <t>02-118</t>
  </si>
  <si>
    <t>02-119</t>
  </si>
  <si>
    <t>02-120</t>
  </si>
  <si>
    <t>Video/Audiokast</t>
  </si>
  <si>
    <t>02-121</t>
  </si>
  <si>
    <t>02-124</t>
  </si>
  <si>
    <t>Auditorium Sanitaire Ruimte - afgesloten</t>
  </si>
  <si>
    <t>02-125</t>
  </si>
  <si>
    <t>03-101</t>
  </si>
  <si>
    <t>03-102/105</t>
  </si>
  <si>
    <t>03-103</t>
  </si>
  <si>
    <t>03-104</t>
  </si>
  <si>
    <t>03-106</t>
  </si>
  <si>
    <t>03-109</t>
  </si>
  <si>
    <t>03-110</t>
  </si>
  <si>
    <t>03-111</t>
  </si>
  <si>
    <t>Opslagruimte</t>
  </si>
  <si>
    <t>03-112</t>
  </si>
  <si>
    <t>03-114</t>
  </si>
  <si>
    <t>03-115</t>
  </si>
  <si>
    <t>03-116</t>
  </si>
  <si>
    <t>04</t>
  </si>
  <si>
    <t>04-101</t>
  </si>
  <si>
    <t>04-102/106</t>
  </si>
  <si>
    <t>04-103</t>
  </si>
  <si>
    <t>Techniek Ketelhuis</t>
  </si>
  <si>
    <t>04-105</t>
  </si>
  <si>
    <t>Toiletten</t>
  </si>
  <si>
    <t>04-106</t>
  </si>
  <si>
    <t>04-107</t>
  </si>
  <si>
    <t>Restaurant Personeel Vloer</t>
  </si>
  <si>
    <t>04-108</t>
  </si>
  <si>
    <t>Restaurant Personeel achter buffet bij k</t>
  </si>
  <si>
    <t>04-109</t>
  </si>
  <si>
    <t>Foundersroom</t>
  </si>
  <si>
    <t>tapijt</t>
  </si>
  <si>
    <t>04-111</t>
  </si>
  <si>
    <t>Kantoortuin (incl. 115-145-146-149-150-1</t>
  </si>
  <si>
    <t>04-116</t>
  </si>
  <si>
    <t>04-117</t>
  </si>
  <si>
    <t>04-119</t>
  </si>
  <si>
    <t>Techniek Luchtbehandeling</t>
  </si>
  <si>
    <t>04-120</t>
  </si>
  <si>
    <t>Patchruimte</t>
  </si>
  <si>
    <t>04-121</t>
  </si>
  <si>
    <t>04-122</t>
  </si>
  <si>
    <t>04-123</t>
  </si>
  <si>
    <t>04-124</t>
  </si>
  <si>
    <t>04-125</t>
  </si>
  <si>
    <t>04-126</t>
  </si>
  <si>
    <t>Verdeelruimte</t>
  </si>
  <si>
    <t>04-127</t>
  </si>
  <si>
    <t>04-128</t>
  </si>
  <si>
    <t>Toilet Mindervaliden</t>
  </si>
  <si>
    <t>04-129</t>
  </si>
  <si>
    <t>04-130</t>
  </si>
  <si>
    <t>04-131</t>
  </si>
  <si>
    <t>Technische Ruimte</t>
  </si>
  <si>
    <t>04-132</t>
  </si>
  <si>
    <t>Personeelspantry</t>
  </si>
  <si>
    <t>04-133</t>
  </si>
  <si>
    <t>Entree/garderobe/voorruimte restaurant (</t>
  </si>
  <si>
    <t>04-135</t>
  </si>
  <si>
    <t>Stilte-werk-ruimte</t>
  </si>
  <si>
    <t>04-136</t>
  </si>
  <si>
    <t>Vergaderkamer - A</t>
  </si>
  <si>
    <t>04-137</t>
  </si>
  <si>
    <t>Vergaderkamers - B</t>
  </si>
  <si>
    <t>04-138</t>
  </si>
  <si>
    <t>Vergaderkamer - C</t>
  </si>
  <si>
    <t>04-141</t>
  </si>
  <si>
    <t>Overleg-ruimte  - E</t>
  </si>
  <si>
    <t>04-143</t>
  </si>
  <si>
    <t>Overleg-ruimte - G</t>
  </si>
  <si>
    <t>04-144</t>
  </si>
  <si>
    <t>Overleg-ruimte F</t>
  </si>
  <si>
    <t>04-147</t>
  </si>
  <si>
    <t>Directie-kamer</t>
  </si>
  <si>
    <t>04-148</t>
  </si>
  <si>
    <t>04-151</t>
  </si>
  <si>
    <t>Terras - westzijde</t>
  </si>
  <si>
    <t>tegels (beton)</t>
  </si>
  <si>
    <t>04-152</t>
  </si>
  <si>
    <t>Terras - oostzijde</t>
  </si>
  <si>
    <t>04-157</t>
  </si>
  <si>
    <t>Overleg-ruimte - D</t>
  </si>
  <si>
    <t>04-158</t>
  </si>
  <si>
    <t>Gang/Kenniskasten</t>
  </si>
  <si>
    <t>04-159</t>
  </si>
  <si>
    <t>Opslag (ruimte 04-134 op plg)</t>
  </si>
  <si>
    <t>04-160</t>
  </si>
  <si>
    <t>Spoelkeuken</t>
  </si>
  <si>
    <t>04-161</t>
  </si>
  <si>
    <t>Voorbereiding Keuken</t>
  </si>
  <si>
    <t>3000 - Oudbouw Paulus Potterstraat, Amsterdam</t>
  </si>
  <si>
    <t>3000</t>
  </si>
  <si>
    <t>K1-001</t>
  </si>
  <si>
    <t>Archiefruimte - HR FA JZ</t>
  </si>
  <si>
    <t>K1-002</t>
  </si>
  <si>
    <t>Serverruimte</t>
  </si>
  <si>
    <t>K1-003</t>
  </si>
  <si>
    <t>Opslag ruimte - algemeen</t>
  </si>
  <si>
    <t>K1-004</t>
  </si>
  <si>
    <t>K1-005</t>
  </si>
  <si>
    <t>Magazijn</t>
  </si>
  <si>
    <t>K1-006</t>
  </si>
  <si>
    <t>K1-007</t>
  </si>
  <si>
    <t>K1-008</t>
  </si>
  <si>
    <t>K1-009</t>
  </si>
  <si>
    <t>K1-010</t>
  </si>
  <si>
    <t>Watermeterruimte</t>
  </si>
  <si>
    <t>K1-011</t>
  </si>
  <si>
    <t>K1-012</t>
  </si>
  <si>
    <t>Kleedruimte Heren</t>
  </si>
  <si>
    <t>K1-013</t>
  </si>
  <si>
    <t>Kleedruimte Dames</t>
  </si>
  <si>
    <t>K1-014</t>
  </si>
  <si>
    <t>Bibliotheek Depot</t>
  </si>
  <si>
    <t>K1-015</t>
  </si>
  <si>
    <t>Td En Ttd  Opslag</t>
  </si>
  <si>
    <t>cementdekvloer</t>
  </si>
  <si>
    <t>K1-016</t>
  </si>
  <si>
    <t>K1-018</t>
  </si>
  <si>
    <t>K1-019</t>
  </si>
  <si>
    <t>K1-020</t>
  </si>
  <si>
    <t>K1-021</t>
  </si>
  <si>
    <t>K1-022</t>
  </si>
  <si>
    <t>Trap Oudbouw</t>
  </si>
  <si>
    <t>K1-023</t>
  </si>
  <si>
    <t>Hoofdverdeelkast</t>
  </si>
  <si>
    <t>K1-024</t>
  </si>
  <si>
    <t>Lift Oudbouw</t>
  </si>
  <si>
    <t>K1-025</t>
  </si>
  <si>
    <t>hout</t>
  </si>
  <si>
    <t>K1-026</t>
  </si>
  <si>
    <t>K1-027</t>
  </si>
  <si>
    <t>K1-028</t>
  </si>
  <si>
    <t>K1-029</t>
  </si>
  <si>
    <t>K1-030</t>
  </si>
  <si>
    <t>Beveiliging</t>
  </si>
  <si>
    <t>K1-031</t>
  </si>
  <si>
    <t>Fietsenstalling Personeel/Opslag</t>
  </si>
  <si>
    <t>K1-032</t>
  </si>
  <si>
    <t>K1-033</t>
  </si>
  <si>
    <t>K1-034</t>
  </si>
  <si>
    <t>K1-035</t>
  </si>
  <si>
    <t>K1-036</t>
  </si>
  <si>
    <t>K1-037</t>
  </si>
  <si>
    <t>K1-038</t>
  </si>
  <si>
    <t>Bibliotheek Kantoor</t>
  </si>
  <si>
    <t>K1-039</t>
  </si>
  <si>
    <t>K1-040</t>
  </si>
  <si>
    <t>K1-041</t>
  </si>
  <si>
    <t>K1-042</t>
  </si>
  <si>
    <t>Opslag Truck Emballage</t>
  </si>
  <si>
    <t>K1-043</t>
  </si>
  <si>
    <t>K1-044</t>
  </si>
  <si>
    <t>K1-045</t>
  </si>
  <si>
    <t>K1-046</t>
  </si>
  <si>
    <t>K1-047</t>
  </si>
  <si>
    <t>K1-048</t>
  </si>
  <si>
    <t>K1-049</t>
  </si>
  <si>
    <t>Trap Oudbouw Kwetsbaar Depot</t>
  </si>
  <si>
    <t>K1-050</t>
  </si>
  <si>
    <t>K1-051</t>
  </si>
  <si>
    <t>K1-052</t>
  </si>
  <si>
    <t>K1-053</t>
  </si>
  <si>
    <t>Doucheruimte</t>
  </si>
  <si>
    <t>K1-054</t>
  </si>
  <si>
    <t>BG-001</t>
  </si>
  <si>
    <t>Tochtportaal</t>
  </si>
  <si>
    <t>tegels/droogloopmat</t>
  </si>
  <si>
    <t>BG-002</t>
  </si>
  <si>
    <t>Pantry bureau Stedelijk</t>
  </si>
  <si>
    <t>BG-003</t>
  </si>
  <si>
    <t>Expo Oudbouw</t>
  </si>
  <si>
    <t>BG-004</t>
  </si>
  <si>
    <t>BG-005</t>
  </si>
  <si>
    <t>BG-006</t>
  </si>
  <si>
    <t>BG-007</t>
  </si>
  <si>
    <t>BG-008</t>
  </si>
  <si>
    <t>BG-009</t>
  </si>
  <si>
    <t>BG-010</t>
  </si>
  <si>
    <t>BG-011</t>
  </si>
  <si>
    <t>Studio Object</t>
  </si>
  <si>
    <t>BG-012</t>
  </si>
  <si>
    <t>Studio Canvas</t>
  </si>
  <si>
    <t>BG-013</t>
  </si>
  <si>
    <t>BG-014</t>
  </si>
  <si>
    <t>BG-015</t>
  </si>
  <si>
    <t>BG-016</t>
  </si>
  <si>
    <t>BG-017</t>
  </si>
  <si>
    <t>BG-018</t>
  </si>
  <si>
    <t>BG-019</t>
  </si>
  <si>
    <t>BG-020</t>
  </si>
  <si>
    <t>BG-021</t>
  </si>
  <si>
    <t>BG-022</t>
  </si>
  <si>
    <t>Voorruimte schoolgroepen (incl. 024-025)</t>
  </si>
  <si>
    <t>BG-023</t>
  </si>
  <si>
    <t>Centrale trap (incl. 030-035)</t>
  </si>
  <si>
    <t>terazzo/natuursteen</t>
  </si>
  <si>
    <t>BG-026</t>
  </si>
  <si>
    <t>BG-027</t>
  </si>
  <si>
    <t>BG-028</t>
  </si>
  <si>
    <t>BG-029</t>
  </si>
  <si>
    <t>BG-031</t>
  </si>
  <si>
    <t>BG-032</t>
  </si>
  <si>
    <t>Entreehal Oudbouw</t>
  </si>
  <si>
    <t>steen (terazzo)</t>
  </si>
  <si>
    <t>BG-033/034</t>
  </si>
  <si>
    <t>Familylab</t>
  </si>
  <si>
    <t>BG-036</t>
  </si>
  <si>
    <t>BG-037</t>
  </si>
  <si>
    <t>BG-038</t>
  </si>
  <si>
    <t>BG-039</t>
  </si>
  <si>
    <t>Ex-telruimte</t>
  </si>
  <si>
    <t>BG-040</t>
  </si>
  <si>
    <t>BG-041</t>
  </si>
  <si>
    <t>Appelbar</t>
  </si>
  <si>
    <t>BG-042</t>
  </si>
  <si>
    <t>BG-043</t>
  </si>
  <si>
    <t>Meldkamer</t>
  </si>
  <si>
    <t>BG-044</t>
  </si>
  <si>
    <t>BG-045</t>
  </si>
  <si>
    <t>BG-046</t>
  </si>
  <si>
    <t>BG-047</t>
  </si>
  <si>
    <t>BG-048</t>
  </si>
  <si>
    <t>BG-049</t>
  </si>
  <si>
    <t>BG-050</t>
  </si>
  <si>
    <t>BG-051</t>
  </si>
  <si>
    <t>BG-052</t>
  </si>
  <si>
    <t>BG-053</t>
  </si>
  <si>
    <t>BG-054</t>
  </si>
  <si>
    <t>BG-055</t>
  </si>
  <si>
    <t>BG-056</t>
  </si>
  <si>
    <t>BG-057</t>
  </si>
  <si>
    <t>BG-058</t>
  </si>
  <si>
    <t>BG-059</t>
  </si>
  <si>
    <t>BG-060</t>
  </si>
  <si>
    <t>Balie/Kaartverkoop Oudbouw</t>
  </si>
  <si>
    <t>terazzo</t>
  </si>
  <si>
    <t>BG-061</t>
  </si>
  <si>
    <t>Gang/Depot</t>
  </si>
  <si>
    <t>BG-062</t>
  </si>
  <si>
    <t>BG-063</t>
  </si>
  <si>
    <t>Schilderijendepot</t>
  </si>
  <si>
    <t>BG-064</t>
  </si>
  <si>
    <t>BG-065</t>
  </si>
  <si>
    <t>BG-066</t>
  </si>
  <si>
    <t>BG-067</t>
  </si>
  <si>
    <t>BG-068</t>
  </si>
  <si>
    <t>BG-069</t>
  </si>
  <si>
    <t>Ehbo</t>
  </si>
  <si>
    <t>BG-070</t>
  </si>
  <si>
    <t>01-001</t>
  </si>
  <si>
    <t>01-002</t>
  </si>
  <si>
    <t>01-003</t>
  </si>
  <si>
    <t>01-005</t>
  </si>
  <si>
    <t>01-006</t>
  </si>
  <si>
    <t>01-007</t>
  </si>
  <si>
    <t>Techniek Schacht</t>
  </si>
  <si>
    <t>01-008</t>
  </si>
  <si>
    <t>01-009</t>
  </si>
  <si>
    <t>Techniek Ruimte</t>
  </si>
  <si>
    <t>01-010</t>
  </si>
  <si>
    <t>01-011</t>
  </si>
  <si>
    <t>Kantine Geert Geurts</t>
  </si>
  <si>
    <t>01-012</t>
  </si>
  <si>
    <t>01-013</t>
  </si>
  <si>
    <t>01-014</t>
  </si>
  <si>
    <t>01-015</t>
  </si>
  <si>
    <t>Kantine Pantry Geerts Geurts</t>
  </si>
  <si>
    <t>01-016</t>
  </si>
  <si>
    <t>02-001</t>
  </si>
  <si>
    <t>Horeca</t>
  </si>
  <si>
    <t>02-001a</t>
  </si>
  <si>
    <t>Horeca - Fonda Cafe</t>
  </si>
  <si>
    <t>terrazo</t>
  </si>
  <si>
    <t>02-001b</t>
  </si>
  <si>
    <t>02-002</t>
  </si>
  <si>
    <t>Keuken</t>
  </si>
  <si>
    <t>02-003a</t>
  </si>
  <si>
    <t>02-003b</t>
  </si>
  <si>
    <t>02-004</t>
  </si>
  <si>
    <t>02-005</t>
  </si>
  <si>
    <t>02-006</t>
  </si>
  <si>
    <t>02-007</t>
  </si>
  <si>
    <t>02-008</t>
  </si>
  <si>
    <t>02-009</t>
  </si>
  <si>
    <t>02-010</t>
  </si>
  <si>
    <t>02-011</t>
  </si>
  <si>
    <t>02-012</t>
  </si>
  <si>
    <t>02-013</t>
  </si>
  <si>
    <t>02-014</t>
  </si>
  <si>
    <t>02-015</t>
  </si>
  <si>
    <t>02-016</t>
  </si>
  <si>
    <t>02-017</t>
  </si>
  <si>
    <t>02-018</t>
  </si>
  <si>
    <t>02-019</t>
  </si>
  <si>
    <t>02-020</t>
  </si>
  <si>
    <t>02-021</t>
  </si>
  <si>
    <t>Omloop</t>
  </si>
  <si>
    <t>02-022</t>
  </si>
  <si>
    <t>Opslag Horeca</t>
  </si>
  <si>
    <t>02-023</t>
  </si>
  <si>
    <t>02-025</t>
  </si>
  <si>
    <t>02-026</t>
  </si>
  <si>
    <t>02-027</t>
  </si>
  <si>
    <t>02-028</t>
  </si>
  <si>
    <t>02-029</t>
  </si>
  <si>
    <t>02-030</t>
  </si>
  <si>
    <t>02-031</t>
  </si>
  <si>
    <t>02-032</t>
  </si>
  <si>
    <t>02-033</t>
  </si>
  <si>
    <t>02-034</t>
  </si>
  <si>
    <t>02-035</t>
  </si>
  <si>
    <t>02-036</t>
  </si>
  <si>
    <t>02-037</t>
  </si>
  <si>
    <t>02-038</t>
  </si>
  <si>
    <t>02-039</t>
  </si>
  <si>
    <t>02-040</t>
  </si>
  <si>
    <t>02-041</t>
  </si>
  <si>
    <t>02-042</t>
  </si>
  <si>
    <t>02-043</t>
  </si>
  <si>
    <t>02-044</t>
  </si>
  <si>
    <t>02-045</t>
  </si>
  <si>
    <t>Toiletten omgeving Fonda cafe (publiek)</t>
  </si>
  <si>
    <t>02-046</t>
  </si>
  <si>
    <t>02-047</t>
  </si>
  <si>
    <t>03-001</t>
  </si>
  <si>
    <t>03-002</t>
  </si>
  <si>
    <t>03-003</t>
  </si>
  <si>
    <t>03-004</t>
  </si>
  <si>
    <t>03-005</t>
  </si>
  <si>
    <t>03-006</t>
  </si>
  <si>
    <t>03-007</t>
  </si>
  <si>
    <t>03-008</t>
  </si>
  <si>
    <t>03-009</t>
  </si>
  <si>
    <t>03-010</t>
  </si>
  <si>
    <t>04-001</t>
  </si>
  <si>
    <t>04-002</t>
  </si>
  <si>
    <t>Audio Visuele Werkplaats</t>
  </si>
  <si>
    <t>04-003</t>
  </si>
  <si>
    <t>Studio Fotoafdeling</t>
  </si>
  <si>
    <t>04-004</t>
  </si>
  <si>
    <t>04-005</t>
  </si>
  <si>
    <t>04-006</t>
  </si>
  <si>
    <t>Schilderijenatelier</t>
  </si>
  <si>
    <t>04-007</t>
  </si>
  <si>
    <t>04-008</t>
  </si>
  <si>
    <t>04-009</t>
  </si>
  <si>
    <t>04-010</t>
  </si>
  <si>
    <t>Tentoonstellingatelier</t>
  </si>
  <si>
    <t>04-011</t>
  </si>
  <si>
    <t>Schilderijenatelier Opslag</t>
  </si>
  <si>
    <t>04-012</t>
  </si>
  <si>
    <t>04-013</t>
  </si>
  <si>
    <t>04-014</t>
  </si>
  <si>
    <t>04-015</t>
  </si>
  <si>
    <t>05</t>
  </si>
  <si>
    <t>05-001</t>
  </si>
  <si>
    <t>Beeldenatelier</t>
  </si>
  <si>
    <t>05-002</t>
  </si>
  <si>
    <t>Overloop</t>
  </si>
  <si>
    <t>05-003</t>
  </si>
  <si>
    <t>05-004</t>
  </si>
  <si>
    <t>05-005</t>
  </si>
  <si>
    <t>05-006</t>
  </si>
  <si>
    <t>05-007</t>
  </si>
  <si>
    <t>05-008</t>
  </si>
  <si>
    <t>05-009</t>
  </si>
  <si>
    <t>05-011</t>
  </si>
  <si>
    <t>05-015</t>
  </si>
  <si>
    <t>05-016</t>
  </si>
  <si>
    <t>Chemische Middelen Opslag</t>
  </si>
  <si>
    <t>Totaal weekenddag</t>
  </si>
  <si>
    <t>Totaal feestdag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</si>
  <si>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</si>
  <si>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</si>
  <si>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</si>
  <si>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</si>
  <si>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</si>
  <si>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</si>
  <si>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</si>
  <si>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</si>
  <si>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  1000</t>
  </si>
  <si>
    <t xml:space="preserve">    2000</t>
  </si>
  <si>
    <t xml:space="preserve">    3000</t>
  </si>
  <si>
    <t>NAAM</t>
  </si>
  <si>
    <t>ADRES</t>
  </si>
  <si>
    <t>PLAATS</t>
  </si>
  <si>
    <t>BASIS UUR- TARIEF</t>
  </si>
  <si>
    <t>UREN/ UITVOERING</t>
  </si>
  <si>
    <t>UREN HOOG-FREQUENT/ UITVOERING</t>
  </si>
  <si>
    <t>PRIJS/ UITVOERING</t>
  </si>
  <si>
    <t>UREN HOOG-FREQUENT/ JAAR</t>
  </si>
  <si>
    <t>PRIJS/ MAAND (EURO)</t>
  </si>
  <si>
    <t>Depot</t>
  </si>
  <si>
    <t>Amsterdam</t>
  </si>
  <si>
    <t>Nieuwbouw Museumplein</t>
  </si>
  <si>
    <t>Oudbouw Paulus Potterstraat</t>
  </si>
  <si>
    <t>Totaal regulier werk incl. suppleties (excl. BTW)</t>
  </si>
  <si>
    <t>Totaal regulier werk incl. suppleties (incl. BTW)</t>
  </si>
  <si>
    <t>Object</t>
  </si>
  <si>
    <t>Naam</t>
  </si>
  <si>
    <t>Adres</t>
  </si>
  <si>
    <t>Plaats</t>
  </si>
  <si>
    <t>Oppervlakte in onderhoud</t>
  </si>
  <si>
    <t>Uren hoog-frequent/ jaar</t>
  </si>
  <si>
    <t xml:space="preserve">Uren/ jaar werkdag                  </t>
  </si>
  <si>
    <t xml:space="preserve">Uren/ jaar weekenddag               </t>
  </si>
  <si>
    <t xml:space="preserve">Uren/ jaar feestdag                 </t>
  </si>
  <si>
    <t>Uren/ jaar totaal</t>
  </si>
  <si>
    <t xml:space="preserve">Gemiddelde productienorm werkdag                  </t>
  </si>
  <si>
    <t>Prijs/ jaar</t>
  </si>
  <si>
    <t>Prijs/ maand excl.BTW</t>
  </si>
  <si>
    <t>Prijs/ maand incl.BTW</t>
  </si>
  <si>
    <t>Prijs per m² per jaar</t>
  </si>
  <si>
    <t>TOTAAL</t>
  </si>
  <si>
    <t>BEURT</t>
  </si>
  <si>
    <t>STAFFEL</t>
  </si>
  <si>
    <t>PRIJS/ EENHEID (EURO)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</si>
  <si>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</si>
  <si>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</si>
  <si>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</si>
  <si>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</si>
  <si>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</si>
  <si>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</si>
  <si>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</si>
  <si>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</si>
  <si>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</si>
  <si>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</si>
  <si>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</si>
  <si>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</si>
  <si>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</si>
  <si>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</si>
  <si>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</si>
  <si>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</si>
  <si>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</si>
  <si>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</si>
  <si>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</si>
  <si>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</si>
  <si>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</si>
  <si>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</si>
  <si>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</si>
  <si>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</si>
  <si>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</si>
  <si>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3010A</t>
  </si>
  <si>
    <t>Lamellen (verticaal) reinigen (alumin)</t>
  </si>
  <si>
    <t>3010B</t>
  </si>
  <si>
    <t>3010C</t>
  </si>
  <si>
    <t>3010D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</si>
  <si>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</si>
  <si>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</si>
  <si>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</si>
  <si>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</si>
  <si>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</si>
  <si>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</si>
  <si>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</si>
  <si>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</si>
  <si>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</si>
  <si>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</si>
  <si>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</si>
  <si>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</si>
  <si>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</si>
  <si>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</si>
  <si>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</si>
  <si>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</si>
  <si>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</si>
  <si>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</si>
  <si>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</si>
  <si>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</si>
  <si>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</si>
  <si>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</si>
  <si>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</si>
  <si>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</si>
  <si>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</si>
  <si>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 excl. uitruimen/inruimen</t>
  </si>
  <si>
    <t>4030B</t>
  </si>
  <si>
    <t>4030C</t>
  </si>
  <si>
    <t>4030D</t>
  </si>
  <si>
    <t>4031A</t>
  </si>
  <si>
    <t>Linoleum vloeren strippen/conserveren incl. uitruimen/inruimen</t>
  </si>
  <si>
    <t>4031B</t>
  </si>
  <si>
    <t>4031C</t>
  </si>
  <si>
    <t>4031D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</si>
  <si>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</si>
  <si>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</si>
  <si>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</si>
  <si>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</si>
  <si>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</si>
  <si>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</si>
  <si>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</si>
  <si>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</si>
  <si>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</si>
  <si>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</si>
  <si>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</si>
  <si>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 excl. uitruimen/inruimen</t>
  </si>
  <si>
    <t>4060B</t>
  </si>
  <si>
    <t>4060C</t>
  </si>
  <si>
    <t>4060D</t>
  </si>
  <si>
    <t>4061A</t>
  </si>
  <si>
    <t>Tapijt reinigen sproei/extractie methode incl. uitruimen/inruimen</t>
  </si>
  <si>
    <t>4061B</t>
  </si>
  <si>
    <t>4061C</t>
  </si>
  <si>
    <t>4061D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</si>
  <si>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</si>
  <si>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</si>
  <si>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</si>
  <si>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</si>
  <si>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</si>
  <si>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</si>
  <si>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</si>
  <si>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</si>
  <si>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</si>
  <si>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</si>
  <si>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4100A</t>
  </si>
  <si>
    <t>Vloer strippen/permanent coaten (incl. uit/inruimen)</t>
  </si>
  <si>
    <t>4100B</t>
  </si>
  <si>
    <t>4100C</t>
  </si>
  <si>
    <t>4100D</t>
  </si>
  <si>
    <t>4101A</t>
  </si>
  <si>
    <t>Vloer strippen/permanent coaten (excl. uit/inruimen)</t>
  </si>
  <si>
    <t>4101B</t>
  </si>
  <si>
    <t>4101C</t>
  </si>
  <si>
    <t>4101D</t>
  </si>
  <si>
    <t>4110A</t>
  </si>
  <si>
    <t>Vloer permanent coaten (incl. uit/inruimen)</t>
  </si>
  <si>
    <t>4110B</t>
  </si>
  <si>
    <t>4110C</t>
  </si>
  <si>
    <t>4110D</t>
  </si>
  <si>
    <t>4111A</t>
  </si>
  <si>
    <t>Vloer permanent coaten (excl. uit/inruimen)</t>
  </si>
  <si>
    <t>4111B</t>
  </si>
  <si>
    <t>4111C</t>
  </si>
  <si>
    <t>4111D</t>
  </si>
  <si>
    <t>Totaal afroep incidenteel excl. BTW</t>
  </si>
  <si>
    <t>FREQ (DAGEN)</t>
  </si>
  <si>
    <t>HOEVEELHEID /KEER</t>
  </si>
  <si>
    <t>UURTARIEF (EURO)</t>
  </si>
  <si>
    <t>NORM</t>
  </si>
  <si>
    <t>PRIJS/ KEER</t>
  </si>
  <si>
    <t>9000</t>
  </si>
  <si>
    <t>Medewerker regiewerkzaamheden</t>
  </si>
  <si>
    <t>9050</t>
  </si>
  <si>
    <t>Medewerker regiewerkzaamheden weekend</t>
  </si>
  <si>
    <t>9051</t>
  </si>
  <si>
    <t>Medewerker regiewerkzaamheden feestdag</t>
  </si>
  <si>
    <t>9100</t>
  </si>
  <si>
    <t>Medewerker specialistische werkzaamheden</t>
  </si>
  <si>
    <t>Totaal regiewerk excl. BTW</t>
  </si>
  <si>
    <t>Soort werk</t>
  </si>
  <si>
    <t>Uren per jaar uitvoering</t>
  </si>
  <si>
    <t>Uren hoogfrequent per jaar uitvoering</t>
  </si>
  <si>
    <t>Bedrag per jaar excl. BTW (euro)</t>
  </si>
  <si>
    <t>Bedrag per jaar incl. BTW (euro)</t>
  </si>
  <si>
    <t xml:space="preserve">Regulier werk </t>
  </si>
  <si>
    <t>Regie (geschat)</t>
  </si>
  <si>
    <t>Totaal generaal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</si>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</sst>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1" fillId="3" borderId="12" xfId="0" applyNumberFormat="1" applyFont="1" applyFill="1" applyBorder="1"/>
    <xf numFmtId="49" fontId="1" fillId="3" borderId="13" xfId="0" applyNumberFormat="1" applyFont="1" applyFill="1" applyBorder="1"/>
    <xf numFmtId="49" fontId="1" fillId="3" borderId="14" xfId="0" applyNumberFormat="1" applyFont="1" applyFill="1" applyBorder="1"/>
    <xf numFmtId="49" fontId="1" fillId="3" borderId="15" xfId="0" applyNumberFormat="1" applyFont="1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49" fontId="1" fillId="3" borderId="15" xfId="0" applyNumberFormat="1" applyFont="1" applyFill="1" applyBorder="1" applyAlignment="1">
      <alignment wrapText="1"/>
    </xf>
    <xf numFmtId="49" fontId="1" fillId="4" borderId="16" xfId="0" applyNumberFormat="1" applyFont="1" applyFill="1" applyBorder="1" applyAlignment="1">
      <alignment wrapText="1"/>
    </xf>
    <xf numFmtId="49" fontId="1" fillId="4" borderId="17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1" fillId="0" borderId="16" xfId="0" applyNumberFormat="1" applyFont="1" applyBorder="1" applyAlignment="1" applyProtection="1">
      <alignment wrapText="1"/>
      <protection locked="0"/>
    </xf>
    <xf numFmtId="49" fontId="1" fillId="0" borderId="17" xfId="0" applyNumberFormat="1" applyFont="1" applyBorder="1" applyAlignment="1" applyProtection="1">
      <alignment wrapText="1"/>
      <protection locked="0"/>
    </xf>
    <xf numFmtId="49" fontId="0" fillId="3" borderId="15" xfId="0" applyNumberFormat="1" applyFill="1" applyBorder="1"/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49" fontId="1" fillId="3" borderId="16" xfId="0" applyNumberFormat="1" applyFont="1" applyFill="1" applyBorder="1"/>
    <xf numFmtId="49" fontId="1" fillId="3" borderId="17" xfId="0" applyNumberFormat="1" applyFont="1" applyFill="1" applyBorder="1"/>
    <xf numFmtId="10" fontId="0" fillId="4" borderId="16" xfId="0" applyNumberFormat="1" applyFill="1" applyBorder="1" applyProtection="1">
      <protection locked="0"/>
    </xf>
    <xf numFmtId="49" fontId="1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49" fontId="1" fillId="3" borderId="13" xfId="0" applyNumberFormat="1" applyFont="1" applyFill="1" applyBorder="1" applyAlignment="1">
      <alignment wrapText="1"/>
    </xf>
    <xf numFmtId="49" fontId="1" fillId="3" borderId="14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10" fontId="0" fillId="2" borderId="16" xfId="0" applyNumberFormat="1" applyFill="1" applyBorder="1"/>
    <xf numFmtId="164" fontId="1" fillId="2" borderId="19" xfId="0" applyNumberFormat="1" applyFont="1" applyFill="1" applyBorder="1"/>
    <xf numFmtId="164" fontId="1" fillId="2" borderId="20" xfId="0" applyNumberFormat="1" applyFont="1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4" fontId="0" fillId="2" borderId="26" xfId="0" applyNumberFormat="1" applyFill="1" applyBorder="1"/>
    <xf numFmtId="165" fontId="0" fillId="2" borderId="26" xfId="0" applyNumberFormat="1" applyFill="1" applyBorder="1"/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0" fontId="0" fillId="2" borderId="19" xfId="0" applyFill="1" applyBorder="1"/>
    <xf numFmtId="49" fontId="0" fillId="3" borderId="32" xfId="0" applyNumberFormat="1" applyFill="1" applyBorder="1"/>
    <xf numFmtId="0" fontId="0" fillId="2" borderId="13" xfId="0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10" fontId="0" fillId="2" borderId="26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9" fontId="0" fillId="3" borderId="26" xfId="0" applyNumberFormat="1" applyFill="1" applyBorder="1" applyAlignment="1">
      <alignment wrapText="1"/>
    </xf>
    <xf numFmtId="0" fontId="0" fillId="3" borderId="23" xfId="0" applyFill="1" applyBorder="1"/>
    <xf numFmtId="49" fontId="0" fillId="3" borderId="24" xfId="0" applyNumberFormat="1" applyFill="1" applyBorder="1"/>
    <xf numFmtId="49" fontId="0" fillId="3" borderId="25" xfId="0" applyNumberFormat="1" applyFill="1" applyBorder="1"/>
    <xf numFmtId="4" fontId="0" fillId="3" borderId="25" xfId="0" applyNumberFormat="1" applyFill="1" applyBorder="1"/>
    <xf numFmtId="0" fontId="0" fillId="3" borderId="25" xfId="0" applyFill="1" applyBorder="1"/>
    <xf numFmtId="164" fontId="0" fillId="0" borderId="24" xfId="0" applyNumberForma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4" fontId="0" fillId="4" borderId="24" xfId="0" applyNumberFormat="1" applyFill="1" applyBorder="1"/>
    <xf numFmtId="164" fontId="0" fillId="2" borderId="24" xfId="0" applyNumberFormat="1" applyFill="1" applyBorder="1" applyProtection="1"/>
    <xf numFmtId="4" fontId="0" fillId="3" borderId="24" xfId="0" applyNumberFormat="1" applyFill="1" applyBorder="1" applyProtection="1"/>
    <xf numFmtId="4" fontId="0" fillId="4" borderId="25" xfId="0" applyNumberFormat="1" applyFill="1" applyBorder="1"/>
    <xf numFmtId="164" fontId="0" fillId="2" borderId="25" xfId="0" applyNumberFormat="1" applyFill="1" applyBorder="1" applyProtection="1"/>
    <xf numFmtId="4" fontId="0" fillId="3" borderId="25" xfId="0" applyNumberFormat="1" applyFill="1" applyBorder="1" applyProtection="1"/>
    <xf numFmtId="4" fontId="0" fillId="4" borderId="26" xfId="0" applyNumberFormat="1" applyFill="1" applyBorder="1"/>
    <xf numFmtId="164" fontId="0" fillId="2" borderId="26" xfId="0" applyNumberFormat="1" applyFill="1" applyBorder="1" applyProtection="1"/>
    <xf numFmtId="4" fontId="0" fillId="3" borderId="26" xfId="0" applyNumberFormat="1" applyFill="1" applyBorder="1" applyProtection="1"/>
    <xf numFmtId="164" fontId="0" fillId="3" borderId="23" xfId="0" applyNumberFormat="1" applyFill="1" applyBorder="1"/>
    <xf numFmtId="4" fontId="0" fillId="3" borderId="2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B5FE-9014-4CB8-BF7D-2065DDCB957D}">
  <dimension ref="A1:H26"/>
  <sheetViews>
    <sheetView workbookViewId="0"/>
  </sheetViews>
  <sheetFormatPr defaultRowHeight="14.5" x14ac:dyDescent="0.35"/>
  <sheetData>
    <row r="1" spans="1:8" x14ac:dyDescent="0.35">
      <c r="A1" s="1" t="s">
        <v>0</v>
      </c>
    </row>
    <row r="3" spans="1:8" x14ac:dyDescent="0.35">
      <c r="A3" t="s">
        <v>1</v>
      </c>
    </row>
    <row r="5" spans="1:8" x14ac:dyDescent="0.35">
      <c r="A5" t="s">
        <v>2</v>
      </c>
      <c r="B5" t="s">
        <v>3</v>
      </c>
    </row>
    <row r="7" spans="1:8" x14ac:dyDescent="0.35">
      <c r="A7" s="4" t="s">
        <v>4</v>
      </c>
      <c r="B7" s="5"/>
      <c r="D7" s="4" t="s">
        <v>22</v>
      </c>
      <c r="E7" s="5"/>
      <c r="G7" s="4" t="s">
        <v>24</v>
      </c>
      <c r="H7" s="5"/>
    </row>
    <row r="8" spans="1:8" x14ac:dyDescent="0.35">
      <c r="A8" s="2"/>
      <c r="B8" s="3"/>
      <c r="D8" s="2"/>
      <c r="E8" s="3"/>
      <c r="G8" s="2"/>
      <c r="H8" s="3"/>
    </row>
    <row r="9" spans="1:8" x14ac:dyDescent="0.35">
      <c r="A9" s="2" t="s">
        <v>5</v>
      </c>
      <c r="B9" s="3">
        <v>255</v>
      </c>
      <c r="D9" s="2" t="s">
        <v>5</v>
      </c>
      <c r="E9" s="3">
        <v>101</v>
      </c>
      <c r="G9" s="2" t="s">
        <v>5</v>
      </c>
      <c r="H9" s="3">
        <v>9</v>
      </c>
    </row>
    <row r="10" spans="1:8" x14ac:dyDescent="0.35">
      <c r="A10" s="2" t="s">
        <v>6</v>
      </c>
      <c r="B10" s="3">
        <v>5</v>
      </c>
      <c r="D10" s="2" t="s">
        <v>6</v>
      </c>
      <c r="E10" s="3">
        <v>2</v>
      </c>
      <c r="G10" s="2" t="s">
        <v>6</v>
      </c>
      <c r="H10" s="3">
        <v>1</v>
      </c>
    </row>
    <row r="11" spans="1:8" x14ac:dyDescent="0.35">
      <c r="A11" s="2"/>
      <c r="B11" s="3"/>
      <c r="D11" s="2"/>
      <c r="E11" s="3"/>
      <c r="G11" s="2"/>
      <c r="H11" s="3"/>
    </row>
    <row r="12" spans="1:8" x14ac:dyDescent="0.35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</row>
    <row r="13" spans="1:8" x14ac:dyDescent="0.35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3</v>
      </c>
      <c r="D13" s="2" t="s">
        <v>23</v>
      </c>
      <c r="E13" s="3">
        <f>IF(D13="2½W",2.5/dagenperweek2,IF(RIGHT(D13,1)="W",VALUE(LEFT(D13,LEN(D13)-1))/dagenperweek2,IF(RIGHT(D13,1)="J",VALUE(LEFT(D13,LEN(D13)-1))/dagenperjaar2,"handmatig!")))</f>
        <v>3</v>
      </c>
      <c r="G13" s="2" t="s">
        <v>10</v>
      </c>
      <c r="H13" s="3">
        <f>IF(G13="2½W",2.5/dagenperweek3,IF(RIGHT(G13,1)="W",VALUE(LEFT(G13,LEN(G13)-1))/dagenperweek3,IF(RIGHT(G13,1)="J",VALUE(LEFT(G13,LEN(G13)-1))/dagenperjaar3,"handmatig!")))</f>
        <v>5</v>
      </c>
    </row>
    <row r="14" spans="1:8" x14ac:dyDescent="0.35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1</v>
      </c>
      <c r="D14" s="2" t="s">
        <v>13</v>
      </c>
      <c r="E14" s="3">
        <f>IF(D14="2½W",2.5/dagenperweek2,IF(RIGHT(D14,1)="W",VALUE(LEFT(D14,LEN(D14)-1))/dagenperweek2,IF(RIGHT(D14,1)="J",VALUE(LEFT(D14,LEN(D14)-1))/dagenperjaar2,"handmatig!")))</f>
        <v>1</v>
      </c>
      <c r="G14" s="2" t="s">
        <v>11</v>
      </c>
      <c r="H14" s="3">
        <f>IF(G14="2½W",2.5/dagenperweek3,IF(RIGHT(G14,1)="W",VALUE(LEFT(G14,LEN(G14)-1))/dagenperweek3,IF(RIGHT(G14,1)="J",VALUE(LEFT(G14,LEN(G14)-1))/dagenperjaar3,"handmatig!")))</f>
        <v>4</v>
      </c>
    </row>
    <row r="15" spans="1:8" x14ac:dyDescent="0.35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0.8</v>
      </c>
      <c r="D15" s="2" t="s">
        <v>14</v>
      </c>
      <c r="E15" s="3">
        <f>IF(D15="2½W",2.5/dagenperweek2,IF(RIGHT(D15,1)="W",VALUE(LEFT(D15,LEN(D15)-1))/dagenperweek2,IF(RIGHT(D15,1)="J",VALUE(LEFT(D15,LEN(D15)-1))/dagenperjaar2,"handmatig!")))</f>
        <v>0.5</v>
      </c>
      <c r="G15" s="2" t="s">
        <v>12</v>
      </c>
      <c r="H15" s="3">
        <f>IF(G15="2½W",2.5/dagenperweek3,IF(RIGHT(G15,1)="W",VALUE(LEFT(G15,LEN(G15)-1))/dagenperweek3,IF(RIGHT(G15,1)="J",VALUE(LEFT(G15,LEN(G15)-1))/dagenperjaar3,"handmatig!")))</f>
        <v>3</v>
      </c>
    </row>
    <row r="16" spans="1:8" x14ac:dyDescent="0.35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0.6</v>
      </c>
      <c r="D16" s="6" t="s">
        <v>21</v>
      </c>
      <c r="E16" s="7">
        <f>IF(D16="2½W",2.5/dagenperweek2,IF(RIGHT(D16,1)="W",VALUE(LEFT(D16,LEN(D16)-1))/dagenperweek2,IF(RIGHT(D16,1)="J",VALUE(LEFT(D16,LEN(D16)-1))/dagenperjaar2,"handmatig!")))</f>
        <v>9.9009900990099011E-3</v>
      </c>
      <c r="G16" s="2" t="s">
        <v>25</v>
      </c>
      <c r="H16" s="3">
        <f>IF(G16="2½W",2.5/dagenperweek3,IF(RIGHT(G16,1)="W",VALUE(LEFT(G16,LEN(G16)-1))/dagenperweek3,IF(RIGHT(G16,1)="J",VALUE(LEFT(G16,LEN(G16)-1))/dagenperjaar3,"handmatig!")))</f>
        <v>3</v>
      </c>
    </row>
    <row r="17" spans="1:8" x14ac:dyDescent="0.35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0.4</v>
      </c>
      <c r="G17" s="2" t="s">
        <v>13</v>
      </c>
      <c r="H17" s="3">
        <f>IF(G17="2½W",2.5/dagenperweek3,IF(RIGHT(G17,1)="W",VALUE(LEFT(G17,LEN(G17)-1))/dagenperweek3,IF(RIGHT(G17,1)="J",VALUE(LEFT(G17,LEN(G17)-1))/dagenperjaar3,"handmatig!")))</f>
        <v>2</v>
      </c>
    </row>
    <row r="18" spans="1:8" x14ac:dyDescent="0.35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0.2</v>
      </c>
      <c r="G18" s="2" t="s">
        <v>14</v>
      </c>
      <c r="H18" s="3">
        <f>IF(G18="2½W",2.5/dagenperweek3,IF(RIGHT(G18,1)="W",VALUE(LEFT(G18,LEN(G18)-1))/dagenperweek3,IF(RIGHT(G18,1)="J",VALUE(LEFT(G18,LEN(G18)-1))/dagenperjaar3,"handmatig!")))</f>
        <v>1</v>
      </c>
    </row>
    <row r="19" spans="1:8" x14ac:dyDescent="0.35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0.10196078431372549</v>
      </c>
      <c r="G19" s="2" t="s">
        <v>15</v>
      </c>
      <c r="H19" s="3">
        <f>IF(G19="2½W",2.5/dagenperweek3,IF(RIGHT(G19,1)="W",VALUE(LEFT(G19,LEN(G19)-1))/dagenperweek3,IF(RIGHT(G19,1)="J",VALUE(LEFT(G19,LEN(G19)-1))/dagenperjaar3,"handmatig!")))</f>
        <v>2.8888888888888888</v>
      </c>
    </row>
    <row r="20" spans="1:8" x14ac:dyDescent="0.35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4.7058823529411764E-2</v>
      </c>
      <c r="G20" s="2" t="s">
        <v>16</v>
      </c>
      <c r="H20" s="3">
        <f>IF(G20="2½W",2.5/dagenperweek3,IF(RIGHT(G20,1)="W",VALUE(LEFT(G20,LEN(G20)-1))/dagenperweek3,IF(RIGHT(G20,1)="J",VALUE(LEFT(G20,LEN(G20)-1))/dagenperjaar3,"handmatig!")))</f>
        <v>1.3333333333333333</v>
      </c>
    </row>
    <row r="21" spans="1:8" x14ac:dyDescent="0.35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2.3529411764705882E-2</v>
      </c>
      <c r="G21" s="2" t="s">
        <v>26</v>
      </c>
      <c r="H21" s="3">
        <f>IF(G21="2½W",2.5/dagenperweek3,IF(RIGHT(G21,1)="W",VALUE(LEFT(G21,LEN(G21)-1))/dagenperweek3,IF(RIGHT(G21,1)="J",VALUE(LEFT(G21,LEN(G21)-1))/dagenperjaar3,"handmatig!")))</f>
        <v>1</v>
      </c>
    </row>
    <row r="22" spans="1:8" x14ac:dyDescent="0.35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1.5686274509803921E-2</v>
      </c>
      <c r="G22" s="2" t="s">
        <v>17</v>
      </c>
      <c r="H22" s="3">
        <f>IF(G22="2½W",2.5/dagenperweek3,IF(RIGHT(G22,1)="W",VALUE(LEFT(G22,LEN(G22)-1))/dagenperweek3,IF(RIGHT(G22,1)="J",VALUE(LEFT(G22,LEN(G22)-1))/dagenperjaar3,"handmatig!")))</f>
        <v>0.66666666666666663</v>
      </c>
    </row>
    <row r="23" spans="1:8" x14ac:dyDescent="0.35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1.1764705882352941E-2</v>
      </c>
      <c r="G23" s="2" t="s">
        <v>18</v>
      </c>
      <c r="H23" s="3">
        <f>IF(G23="2½W",2.5/dagenperweek3,IF(RIGHT(G23,1)="W",VALUE(LEFT(G23,LEN(G23)-1))/dagenperweek3,IF(RIGHT(G23,1)="J",VALUE(LEFT(G23,LEN(G23)-1))/dagenperjaar3,"handmatig!")))</f>
        <v>0.44444444444444442</v>
      </c>
    </row>
    <row r="24" spans="1:8" x14ac:dyDescent="0.35">
      <c r="A24" s="2" t="s">
        <v>20</v>
      </c>
      <c r="B24" s="3">
        <f>IF(A24="2½W",2.5/dagenperweek1,IF(RIGHT(A24,1)="W",VALUE(LEFT(A24,LEN(A24)-1))/dagenperweek1,IF(RIGHT(A24,1)="J",VALUE(LEFT(A24,LEN(A24)-1))/dagenperjaar1,"handmatig!")))</f>
        <v>7.8431372549019607E-3</v>
      </c>
      <c r="G24" s="2" t="s">
        <v>19</v>
      </c>
      <c r="H24" s="3">
        <f>IF(G24="2½W",2.5/dagenperweek3,IF(RIGHT(G24,1)="W",VALUE(LEFT(G24,LEN(G24)-1))/dagenperweek3,IF(RIGHT(G24,1)="J",VALUE(LEFT(G24,LEN(G24)-1))/dagenperjaar3,"handmatig!")))</f>
        <v>0.33333333333333331</v>
      </c>
    </row>
    <row r="25" spans="1:8" x14ac:dyDescent="0.35">
      <c r="A25" s="6" t="s">
        <v>21</v>
      </c>
      <c r="B25" s="7">
        <f>IF(A25="2½W",2.5/dagenperweek1,IF(RIGHT(A25,1)="W",VALUE(LEFT(A25,LEN(A25)-1))/dagenperweek1,IF(RIGHT(A25,1)="J",VALUE(LEFT(A25,LEN(A25)-1))/dagenperjaar1,"handmatig!")))</f>
        <v>3.9215686274509803E-3</v>
      </c>
      <c r="G25" s="2" t="s">
        <v>20</v>
      </c>
      <c r="H25" s="3">
        <f>IF(G25="2½W",2.5/dagenperweek3,IF(RIGHT(G25,1)="W",VALUE(LEFT(G25,LEN(G25)-1))/dagenperweek3,IF(RIGHT(G25,1)="J",VALUE(LEFT(G25,LEN(G25)-1))/dagenperjaar3,"handmatig!")))</f>
        <v>0.22222222222222221</v>
      </c>
    </row>
    <row r="26" spans="1:8" x14ac:dyDescent="0.35">
      <c r="G26" s="6" t="s">
        <v>21</v>
      </c>
      <c r="H26" s="7">
        <f>IF(G26="2½W",2.5/dagenperweek3,IF(RIGHT(G26,1)="W",VALUE(LEFT(G26,LEN(G26)-1))/dagenperweek3,IF(RIGHT(G26,1)="J",VALUE(LEFT(G26,LEN(G26)-1))/dagenperjaar3,"handmatig!")))</f>
        <v>0.1111111111111111</v>
      </c>
    </row>
  </sheetData>
  <sheetProtection algorithmName="SHA-512" hashValue="mMfnarS28Y8IDhYP1WnUmVDdDddCk626GUPMb4y7++lmX7JuzsB7UN9CnFNG+eDE0CEkZxCfTT12cJL0sbauRQ==" saltValue="y8Uv0kqSmMbM96oa9LGFxA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5039-14FC-43D2-8F4C-FBFE36527FB1}">
  <dimension ref="A1:E20"/>
  <sheetViews>
    <sheetView workbookViewId="0"/>
  </sheetViews>
  <sheetFormatPr defaultRowHeight="14.5" x14ac:dyDescent="0.35"/>
  <cols>
    <col min="1" max="1" width="25.6328125" customWidth="1"/>
    <col min="2" max="5" width="20.6328125" customWidth="1"/>
  </cols>
  <sheetData>
    <row r="1" spans="1:5" x14ac:dyDescent="0.35">
      <c r="A1" s="1" t="str">
        <f>CONCATENATE("Bijlage 3.7: ",tabeltype," totaalblad objecten")</f>
        <v>Bijlage 3.7: Invultabel totaalblad objecten</v>
      </c>
    </row>
    <row r="3" spans="1:5" x14ac:dyDescent="0.35">
      <c r="A3" s="120" t="s">
        <v>1111</v>
      </c>
      <c r="B3" s="124" t="s">
        <v>1126</v>
      </c>
      <c r="C3" s="124" t="s">
        <v>258</v>
      </c>
      <c r="D3" s="124" t="s">
        <v>468</v>
      </c>
      <c r="E3" s="124" t="s">
        <v>803</v>
      </c>
    </row>
    <row r="4" spans="1:5" ht="29" x14ac:dyDescent="0.35">
      <c r="A4" s="121" t="s">
        <v>1112</v>
      </c>
      <c r="B4" s="127"/>
      <c r="C4" s="121" t="s">
        <v>1105</v>
      </c>
      <c r="D4" s="121" t="s">
        <v>1107</v>
      </c>
      <c r="E4" s="121" t="s">
        <v>1108</v>
      </c>
    </row>
    <row r="5" spans="1:5" x14ac:dyDescent="0.35">
      <c r="A5" s="121" t="s">
        <v>1113</v>
      </c>
      <c r="B5" s="127"/>
      <c r="C5" s="125"/>
      <c r="D5" s="125"/>
      <c r="E5" s="125"/>
    </row>
    <row r="6" spans="1:5" x14ac:dyDescent="0.35">
      <c r="A6" s="121" t="s">
        <v>1114</v>
      </c>
      <c r="B6" s="127"/>
      <c r="C6" s="125" t="s">
        <v>1106</v>
      </c>
      <c r="D6" s="125" t="s">
        <v>1106</v>
      </c>
      <c r="E6" s="125" t="s">
        <v>1106</v>
      </c>
    </row>
    <row r="7" spans="1:5" x14ac:dyDescent="0.35">
      <c r="A7" s="121" t="s">
        <v>1115</v>
      </c>
      <c r="B7" s="126">
        <f>SUM(C7:E7)</f>
        <v>16702.300000000003</v>
      </c>
      <c r="C7" s="126">
        <v>1689</v>
      </c>
      <c r="D7" s="126">
        <v>7207.7</v>
      </c>
      <c r="E7" s="126">
        <v>7805.6</v>
      </c>
    </row>
    <row r="8" spans="1:5" x14ac:dyDescent="0.35">
      <c r="A8" s="121" t="s">
        <v>40</v>
      </c>
      <c r="B8" s="127"/>
      <c r="C8" s="127"/>
      <c r="D8" s="127"/>
      <c r="E8" s="127"/>
    </row>
    <row r="9" spans="1:5" x14ac:dyDescent="0.35">
      <c r="A9" s="121" t="s">
        <v>1116</v>
      </c>
      <c r="B9" s="69">
        <f>SUM(C9:E9)</f>
        <v>0</v>
      </c>
      <c r="C9" s="126">
        <f>objecturenhf1_1</f>
        <v>0</v>
      </c>
      <c r="D9" s="126">
        <f>objecturenhf2_1+objecturenhf2_2+objecturenhf2_3</f>
        <v>0</v>
      </c>
      <c r="E9" s="126">
        <f>objecturenhf3_1+objecturenhf3_2+objecturenhf3_3</f>
        <v>0</v>
      </c>
    </row>
    <row r="10" spans="1:5" x14ac:dyDescent="0.35">
      <c r="A10" s="121" t="s">
        <v>1117</v>
      </c>
      <c r="B10" s="69">
        <f>SUM(C10:E10)</f>
        <v>1338.75</v>
      </c>
      <c r="C10" s="69">
        <f>objecturen1_1</f>
        <v>0</v>
      </c>
      <c r="D10" s="69">
        <f>objecturen2_1</f>
        <v>1338.75</v>
      </c>
      <c r="E10" s="69">
        <f>objecturen3_1</f>
        <v>0</v>
      </c>
    </row>
    <row r="11" spans="1:5" x14ac:dyDescent="0.35">
      <c r="A11" s="121" t="s">
        <v>1118</v>
      </c>
      <c r="B11" s="69">
        <f>SUM(C11:E11)</f>
        <v>126.25</v>
      </c>
      <c r="C11" s="69"/>
      <c r="D11" s="69">
        <f>objecturen2_2</f>
        <v>126.25</v>
      </c>
      <c r="E11" s="69">
        <f>objecturen3_2</f>
        <v>0</v>
      </c>
    </row>
    <row r="12" spans="1:5" x14ac:dyDescent="0.35">
      <c r="A12" s="121" t="s">
        <v>1119</v>
      </c>
      <c r="B12" s="69">
        <f>SUM(C12:E12)</f>
        <v>11.25</v>
      </c>
      <c r="C12" s="69"/>
      <c r="D12" s="69">
        <f>objecturen2_3</f>
        <v>11.25</v>
      </c>
      <c r="E12" s="69">
        <f>objecturen3_3</f>
        <v>0</v>
      </c>
    </row>
    <row r="13" spans="1:5" x14ac:dyDescent="0.35">
      <c r="A13" s="121" t="s">
        <v>1120</v>
      </c>
      <c r="B13" s="69">
        <f>SUM(C13:E13)</f>
        <v>1476.25</v>
      </c>
      <c r="C13" s="69">
        <f>SUM(C10:C12)</f>
        <v>0</v>
      </c>
      <c r="D13" s="69">
        <f>SUM(D10:D12)</f>
        <v>1476.25</v>
      </c>
      <c r="E13" s="69">
        <f>SUM(E10:E12)</f>
        <v>0</v>
      </c>
    </row>
    <row r="14" spans="1:5" ht="29" x14ac:dyDescent="0.35">
      <c r="A14" s="121" t="s">
        <v>1121</v>
      </c>
      <c r="B14" s="69">
        <f>IF(AND(urenjaartotaal1&gt;0,dagenperjaar1&gt;0),B7/(urenjaartotaal1/dagenperjaar1),0)</f>
        <v>3181.3904761904769</v>
      </c>
      <c r="C14" s="69">
        <f>IF(AND(objecturen1_1&gt;0,dagenperjaar1&gt;0),C7/(objecturen1_1/dagenperjaar1),0)</f>
        <v>0</v>
      </c>
      <c r="D14" s="69">
        <f>IF(AND(objecturen2_1&gt;0,dagenperjaar1&gt;0),D7/(objecturen2_1/dagenperjaar1),0)</f>
        <v>1372.895238095238</v>
      </c>
      <c r="E14" s="69">
        <f>IF(AND(objecturen3_1&gt;0,dagenperjaar1&gt;0),E7/(objecturen3_1/dagenperjaar1),0)</f>
        <v>0</v>
      </c>
    </row>
    <row r="15" spans="1:5" x14ac:dyDescent="0.35">
      <c r="A15" s="121" t="s">
        <v>1122</v>
      </c>
      <c r="B15" s="60">
        <f>SUM(C15:E15)</f>
        <v>0</v>
      </c>
      <c r="C15" s="60">
        <f>objectprijs1_1</f>
        <v>0</v>
      </c>
      <c r="D15" s="60">
        <f>objectprijs2_1+objectprijs2_2+objectprijs2_3</f>
        <v>0</v>
      </c>
      <c r="E15" s="60">
        <f>objectprijs3_1+objectprijs3_2+objectprijs3_3</f>
        <v>0</v>
      </c>
    </row>
    <row r="16" spans="1:5" x14ac:dyDescent="0.35">
      <c r="A16" s="121" t="s">
        <v>1123</v>
      </c>
      <c r="B16" s="60">
        <f>SUM(C16:E16)</f>
        <v>0</v>
      </c>
      <c r="C16" s="60">
        <f>C15/12</f>
        <v>0</v>
      </c>
      <c r="D16" s="60">
        <f>D15/12</f>
        <v>0</v>
      </c>
      <c r="E16" s="60">
        <f>E15/12</f>
        <v>0</v>
      </c>
    </row>
    <row r="17" spans="1:5" x14ac:dyDescent="0.35">
      <c r="A17" s="121" t="s">
        <v>1124</v>
      </c>
      <c r="B17" s="60">
        <f>SUM(C17:E17)</f>
        <v>0</v>
      </c>
      <c r="C17" s="60">
        <f>C16*1.21</f>
        <v>0</v>
      </c>
      <c r="D17" s="60">
        <f>D16*1.21</f>
        <v>0</v>
      </c>
      <c r="E17" s="60">
        <f>E16*1.21</f>
        <v>0</v>
      </c>
    </row>
    <row r="18" spans="1:5" x14ac:dyDescent="0.35">
      <c r="A18" s="121" t="s">
        <v>40</v>
      </c>
      <c r="B18" s="127"/>
      <c r="C18" s="127"/>
      <c r="D18" s="127"/>
      <c r="E18" s="127"/>
    </row>
    <row r="19" spans="1:5" x14ac:dyDescent="0.35">
      <c r="A19" s="121" t="s">
        <v>40</v>
      </c>
      <c r="B19" s="127"/>
      <c r="C19" s="127"/>
      <c r="D19" s="127"/>
      <c r="E19" s="127"/>
    </row>
    <row r="20" spans="1:5" x14ac:dyDescent="0.35">
      <c r="A20" s="122" t="s">
        <v>1125</v>
      </c>
      <c r="B20" s="65">
        <f>IF(B7&gt;0,B15/B7,0)</f>
        <v>0</v>
      </c>
      <c r="C20" s="65">
        <f>IF(C7&gt;0,C15/C7,0)</f>
        <v>0</v>
      </c>
      <c r="D20" s="65">
        <f>IF(D7&gt;0,D15/D7,0)</f>
        <v>0</v>
      </c>
      <c r="E20" s="65">
        <f>IF(E7&gt;0,E15/E7,0)</f>
        <v>0</v>
      </c>
    </row>
  </sheetData>
  <sheetProtection algorithmName="SHA-512" hashValue="LuQ4CO/yqkpn/B/qqniMZq4iCtxWiYU7Ge/tfMZll9o8KeX6lhXr7h4Ov+eLrB0wlCaadg3i8de7P3mjO86wYw==" saltValue="r2tD6AM0K2+hvhCjoRKMRQ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F0B8-7B3F-467F-8E5E-D755FD171DB3}">
  <dimension ref="A1:E86"/>
  <sheetViews>
    <sheetView workbookViewId="0"/>
  </sheetViews>
  <sheetFormatPr defaultRowHeight="14.5" x14ac:dyDescent="0.35"/>
  <cols>
    <col min="1" max="1" width="7.6328125" customWidth="1"/>
    <col min="2" max="2" width="40.6328125" customWidth="1"/>
    <col min="3" max="3" width="18.6328125" customWidth="1"/>
    <col min="4" max="4" width="20.6328125" customWidth="1"/>
    <col min="5" max="5" width="15.6328125" customWidth="1"/>
  </cols>
  <sheetData>
    <row r="1" spans="1:5" x14ac:dyDescent="0.35">
      <c r="A1" s="1" t="str">
        <f>CONCATENATE("Bijlage 3.8: ",tabeltype," afroep incidenteel")</f>
        <v>Bijlage 3.8: Invultabel afroep incidenteel</v>
      </c>
    </row>
    <row r="3" spans="1:5" ht="43.5" x14ac:dyDescent="0.35">
      <c r="A3" s="44" t="s">
        <v>1127</v>
      </c>
      <c r="B3" s="44" t="s">
        <v>98</v>
      </c>
      <c r="C3" s="44" t="s">
        <v>101</v>
      </c>
      <c r="D3" s="44" t="s">
        <v>1128</v>
      </c>
      <c r="E3" s="44" t="s">
        <v>1129</v>
      </c>
    </row>
    <row r="4" spans="1:5" x14ac:dyDescent="0.35">
      <c r="A4" s="45"/>
      <c r="B4" s="46"/>
      <c r="C4" s="46"/>
      <c r="D4" s="46"/>
      <c r="E4" s="47"/>
    </row>
    <row r="5" spans="1:5" x14ac:dyDescent="0.35">
      <c r="A5" s="48" t="s">
        <v>103</v>
      </c>
      <c r="B5" s="49"/>
      <c r="C5" s="49"/>
      <c r="D5" s="49"/>
      <c r="E5" s="50"/>
    </row>
    <row r="6" spans="1:5" x14ac:dyDescent="0.35">
      <c r="A6" s="51" t="s">
        <v>1130</v>
      </c>
      <c r="B6" s="51" t="s">
        <v>1131</v>
      </c>
      <c r="C6" s="51" t="s">
        <v>1132</v>
      </c>
      <c r="D6" s="51" t="s">
        <v>1133</v>
      </c>
      <c r="E6" s="128"/>
    </row>
    <row r="7" spans="1:5" x14ac:dyDescent="0.35">
      <c r="A7" s="56" t="s">
        <v>1134</v>
      </c>
      <c r="B7" s="56" t="s">
        <v>1131</v>
      </c>
      <c r="C7" s="56" t="s">
        <v>1132</v>
      </c>
      <c r="D7" s="56" t="s">
        <v>1135</v>
      </c>
      <c r="E7" s="129"/>
    </row>
    <row r="8" spans="1:5" x14ac:dyDescent="0.35">
      <c r="A8" s="56" t="s">
        <v>1136</v>
      </c>
      <c r="B8" s="56" t="s">
        <v>1131</v>
      </c>
      <c r="C8" s="56" t="s">
        <v>1132</v>
      </c>
      <c r="D8" s="56" t="s">
        <v>1137</v>
      </c>
      <c r="E8" s="129"/>
    </row>
    <row r="9" spans="1:5" x14ac:dyDescent="0.35">
      <c r="A9" s="56" t="s">
        <v>1138</v>
      </c>
      <c r="B9" s="56" t="s">
        <v>1131</v>
      </c>
      <c r="C9" s="56" t="s">
        <v>1132</v>
      </c>
      <c r="D9" s="56" t="s">
        <v>1139</v>
      </c>
      <c r="E9" s="129"/>
    </row>
    <row r="10" spans="1:5" x14ac:dyDescent="0.35">
      <c r="A10" s="56" t="s">
        <v>1140</v>
      </c>
      <c r="B10" s="56" t="s">
        <v>1141</v>
      </c>
      <c r="C10" s="56" t="s">
        <v>1132</v>
      </c>
      <c r="D10" s="56" t="s">
        <v>1133</v>
      </c>
      <c r="E10" s="129"/>
    </row>
    <row r="11" spans="1:5" x14ac:dyDescent="0.35">
      <c r="A11" s="56" t="s">
        <v>1142</v>
      </c>
      <c r="B11" s="56" t="s">
        <v>1141</v>
      </c>
      <c r="C11" s="56" t="s">
        <v>1132</v>
      </c>
      <c r="D11" s="56" t="s">
        <v>1135</v>
      </c>
      <c r="E11" s="129"/>
    </row>
    <row r="12" spans="1:5" x14ac:dyDescent="0.35">
      <c r="A12" s="56" t="s">
        <v>1143</v>
      </c>
      <c r="B12" s="56" t="s">
        <v>1141</v>
      </c>
      <c r="C12" s="56" t="s">
        <v>1132</v>
      </c>
      <c r="D12" s="56" t="s">
        <v>1137</v>
      </c>
      <c r="E12" s="129"/>
    </row>
    <row r="13" spans="1:5" x14ac:dyDescent="0.35">
      <c r="A13" s="56" t="s">
        <v>1144</v>
      </c>
      <c r="B13" s="56" t="s">
        <v>1141</v>
      </c>
      <c r="C13" s="56" t="s">
        <v>1132</v>
      </c>
      <c r="D13" s="56" t="s">
        <v>1139</v>
      </c>
      <c r="E13" s="129"/>
    </row>
    <row r="14" spans="1:5" x14ac:dyDescent="0.35">
      <c r="A14" s="56" t="s">
        <v>1145</v>
      </c>
      <c r="B14" s="56" t="s">
        <v>1146</v>
      </c>
      <c r="C14" s="56" t="s">
        <v>1147</v>
      </c>
      <c r="D14" s="56" t="s">
        <v>1148</v>
      </c>
      <c r="E14" s="129"/>
    </row>
    <row r="15" spans="1:5" x14ac:dyDescent="0.35">
      <c r="A15" s="56" t="s">
        <v>1149</v>
      </c>
      <c r="B15" s="56" t="s">
        <v>1146</v>
      </c>
      <c r="C15" s="56" t="s">
        <v>1147</v>
      </c>
      <c r="D15" s="56" t="s">
        <v>1150</v>
      </c>
      <c r="E15" s="129"/>
    </row>
    <row r="16" spans="1:5" x14ac:dyDescent="0.35">
      <c r="A16" s="56" t="s">
        <v>1151</v>
      </c>
      <c r="B16" s="56" t="s">
        <v>1146</v>
      </c>
      <c r="C16" s="56" t="s">
        <v>1147</v>
      </c>
      <c r="D16" s="56" t="s">
        <v>1152</v>
      </c>
      <c r="E16" s="129"/>
    </row>
    <row r="17" spans="1:5" x14ac:dyDescent="0.35">
      <c r="A17" s="56" t="s">
        <v>1153</v>
      </c>
      <c r="B17" s="56" t="s">
        <v>1146</v>
      </c>
      <c r="C17" s="56" t="s">
        <v>1147</v>
      </c>
      <c r="D17" s="56" t="s">
        <v>1154</v>
      </c>
      <c r="E17" s="129"/>
    </row>
    <row r="18" spans="1:5" x14ac:dyDescent="0.35">
      <c r="A18" s="56" t="s">
        <v>1155</v>
      </c>
      <c r="B18" s="56" t="s">
        <v>1156</v>
      </c>
      <c r="C18" s="56" t="s">
        <v>1147</v>
      </c>
      <c r="D18" s="56" t="s">
        <v>1148</v>
      </c>
      <c r="E18" s="129"/>
    </row>
    <row r="19" spans="1:5" x14ac:dyDescent="0.35">
      <c r="A19" s="56" t="s">
        <v>1157</v>
      </c>
      <c r="B19" s="56" t="s">
        <v>1156</v>
      </c>
      <c r="C19" s="56" t="s">
        <v>1147</v>
      </c>
      <c r="D19" s="56" t="s">
        <v>1150</v>
      </c>
      <c r="E19" s="129"/>
    </row>
    <row r="20" spans="1:5" x14ac:dyDescent="0.35">
      <c r="A20" s="56" t="s">
        <v>1158</v>
      </c>
      <c r="B20" s="56" t="s">
        <v>1156</v>
      </c>
      <c r="C20" s="56" t="s">
        <v>1147</v>
      </c>
      <c r="D20" s="56" t="s">
        <v>1152</v>
      </c>
      <c r="E20" s="129"/>
    </row>
    <row r="21" spans="1:5" x14ac:dyDescent="0.35">
      <c r="A21" s="56" t="s">
        <v>1159</v>
      </c>
      <c r="B21" s="56" t="s">
        <v>1156</v>
      </c>
      <c r="C21" s="56" t="s">
        <v>1147</v>
      </c>
      <c r="D21" s="56" t="s">
        <v>1154</v>
      </c>
      <c r="E21" s="129"/>
    </row>
    <row r="22" spans="1:5" x14ac:dyDescent="0.35">
      <c r="A22" s="56" t="s">
        <v>1160</v>
      </c>
      <c r="B22" s="56" t="s">
        <v>1161</v>
      </c>
      <c r="C22" s="56" t="s">
        <v>1147</v>
      </c>
      <c r="D22" s="56" t="s">
        <v>40</v>
      </c>
      <c r="E22" s="129"/>
    </row>
    <row r="23" spans="1:5" x14ac:dyDescent="0.35">
      <c r="A23" s="56" t="s">
        <v>1162</v>
      </c>
      <c r="B23" s="56" t="s">
        <v>1163</v>
      </c>
      <c r="C23" s="56" t="s">
        <v>1164</v>
      </c>
      <c r="D23" s="56" t="s">
        <v>40</v>
      </c>
      <c r="E23" s="129"/>
    </row>
    <row r="24" spans="1:5" x14ac:dyDescent="0.35">
      <c r="A24" s="56" t="s">
        <v>1165</v>
      </c>
      <c r="B24" s="56" t="s">
        <v>1166</v>
      </c>
      <c r="C24" s="56" t="s">
        <v>1147</v>
      </c>
      <c r="D24" s="56" t="s">
        <v>1167</v>
      </c>
      <c r="E24" s="129"/>
    </row>
    <row r="25" spans="1:5" x14ac:dyDescent="0.35">
      <c r="A25" s="56" t="s">
        <v>1168</v>
      </c>
      <c r="B25" s="56" t="s">
        <v>1166</v>
      </c>
      <c r="C25" s="56" t="s">
        <v>1147</v>
      </c>
      <c r="D25" s="56" t="s">
        <v>1169</v>
      </c>
      <c r="E25" s="129"/>
    </row>
    <row r="26" spans="1:5" x14ac:dyDescent="0.35">
      <c r="A26" s="56" t="s">
        <v>1170</v>
      </c>
      <c r="B26" s="56" t="s">
        <v>1166</v>
      </c>
      <c r="C26" s="56" t="s">
        <v>1147</v>
      </c>
      <c r="D26" s="56" t="s">
        <v>1171</v>
      </c>
      <c r="E26" s="129"/>
    </row>
    <row r="27" spans="1:5" x14ac:dyDescent="0.35">
      <c r="A27" s="56" t="s">
        <v>1172</v>
      </c>
      <c r="B27" s="56" t="s">
        <v>1166</v>
      </c>
      <c r="C27" s="56" t="s">
        <v>1147</v>
      </c>
      <c r="D27" s="56" t="s">
        <v>1173</v>
      </c>
      <c r="E27" s="129"/>
    </row>
    <row r="28" spans="1:5" x14ac:dyDescent="0.35">
      <c r="A28" s="56" t="s">
        <v>1174</v>
      </c>
      <c r="B28" s="56" t="s">
        <v>1175</v>
      </c>
      <c r="C28" s="56" t="s">
        <v>1147</v>
      </c>
      <c r="D28" s="56" t="s">
        <v>1167</v>
      </c>
      <c r="E28" s="129"/>
    </row>
    <row r="29" spans="1:5" x14ac:dyDescent="0.35">
      <c r="A29" s="56" t="s">
        <v>1176</v>
      </c>
      <c r="B29" s="56" t="s">
        <v>1175</v>
      </c>
      <c r="C29" s="56" t="s">
        <v>1147</v>
      </c>
      <c r="D29" s="56" t="s">
        <v>1169</v>
      </c>
      <c r="E29" s="129"/>
    </row>
    <row r="30" spans="1:5" x14ac:dyDescent="0.35">
      <c r="A30" s="56" t="s">
        <v>1177</v>
      </c>
      <c r="B30" s="56" t="s">
        <v>1175</v>
      </c>
      <c r="C30" s="56" t="s">
        <v>1147</v>
      </c>
      <c r="D30" s="56" t="s">
        <v>1171</v>
      </c>
      <c r="E30" s="129"/>
    </row>
    <row r="31" spans="1:5" x14ac:dyDescent="0.35">
      <c r="A31" s="56" t="s">
        <v>1178</v>
      </c>
      <c r="B31" s="56" t="s">
        <v>1175</v>
      </c>
      <c r="C31" s="56" t="s">
        <v>1147</v>
      </c>
      <c r="D31" s="56" t="s">
        <v>1173</v>
      </c>
      <c r="E31" s="129"/>
    </row>
    <row r="32" spans="1:5" x14ac:dyDescent="0.35">
      <c r="A32" s="56" t="s">
        <v>1179</v>
      </c>
      <c r="B32" s="56" t="s">
        <v>1180</v>
      </c>
      <c r="C32" s="56" t="s">
        <v>1147</v>
      </c>
      <c r="D32" s="56" t="s">
        <v>1167</v>
      </c>
      <c r="E32" s="129"/>
    </row>
    <row r="33" spans="1:5" x14ac:dyDescent="0.35">
      <c r="A33" s="56" t="s">
        <v>1181</v>
      </c>
      <c r="B33" s="56" t="s">
        <v>1180</v>
      </c>
      <c r="C33" s="56" t="s">
        <v>1147</v>
      </c>
      <c r="D33" s="56" t="s">
        <v>1169</v>
      </c>
      <c r="E33" s="129"/>
    </row>
    <row r="34" spans="1:5" x14ac:dyDescent="0.35">
      <c r="A34" s="56" t="s">
        <v>1182</v>
      </c>
      <c r="B34" s="56" t="s">
        <v>1180</v>
      </c>
      <c r="C34" s="56" t="s">
        <v>1147</v>
      </c>
      <c r="D34" s="56" t="s">
        <v>1171</v>
      </c>
      <c r="E34" s="129"/>
    </row>
    <row r="35" spans="1:5" x14ac:dyDescent="0.35">
      <c r="A35" s="56" t="s">
        <v>1183</v>
      </c>
      <c r="B35" s="56" t="s">
        <v>1180</v>
      </c>
      <c r="C35" s="56" t="s">
        <v>1147</v>
      </c>
      <c r="D35" s="56" t="s">
        <v>1173</v>
      </c>
      <c r="E35" s="129"/>
    </row>
    <row r="36" spans="1:5" x14ac:dyDescent="0.35">
      <c r="A36" s="56" t="s">
        <v>1184</v>
      </c>
      <c r="B36" s="56" t="s">
        <v>1185</v>
      </c>
      <c r="C36" s="56" t="s">
        <v>1147</v>
      </c>
      <c r="D36" s="56" t="s">
        <v>1167</v>
      </c>
      <c r="E36" s="129"/>
    </row>
    <row r="37" spans="1:5" x14ac:dyDescent="0.35">
      <c r="A37" s="56" t="s">
        <v>1186</v>
      </c>
      <c r="B37" s="56" t="s">
        <v>1185</v>
      </c>
      <c r="C37" s="56" t="s">
        <v>1147</v>
      </c>
      <c r="D37" s="56" t="s">
        <v>1169</v>
      </c>
      <c r="E37" s="129"/>
    </row>
    <row r="38" spans="1:5" x14ac:dyDescent="0.35">
      <c r="A38" s="56" t="s">
        <v>1187</v>
      </c>
      <c r="B38" s="56" t="s">
        <v>1185</v>
      </c>
      <c r="C38" s="56" t="s">
        <v>1147</v>
      </c>
      <c r="D38" s="56" t="s">
        <v>1171</v>
      </c>
      <c r="E38" s="129"/>
    </row>
    <row r="39" spans="1:5" x14ac:dyDescent="0.35">
      <c r="A39" s="56" t="s">
        <v>1188</v>
      </c>
      <c r="B39" s="56" t="s">
        <v>1185</v>
      </c>
      <c r="C39" s="56" t="s">
        <v>1147</v>
      </c>
      <c r="D39" s="56" t="s">
        <v>1173</v>
      </c>
      <c r="E39" s="129"/>
    </row>
    <row r="40" spans="1:5" x14ac:dyDescent="0.35">
      <c r="A40" s="56" t="s">
        <v>1189</v>
      </c>
      <c r="B40" s="56" t="s">
        <v>1190</v>
      </c>
      <c r="C40" s="56" t="s">
        <v>1147</v>
      </c>
      <c r="D40" s="56" t="s">
        <v>1167</v>
      </c>
      <c r="E40" s="129"/>
    </row>
    <row r="41" spans="1:5" x14ac:dyDescent="0.35">
      <c r="A41" s="56" t="s">
        <v>1191</v>
      </c>
      <c r="B41" s="56" t="s">
        <v>1190</v>
      </c>
      <c r="C41" s="56" t="s">
        <v>1147</v>
      </c>
      <c r="D41" s="56" t="s">
        <v>1169</v>
      </c>
      <c r="E41" s="129"/>
    </row>
    <row r="42" spans="1:5" x14ac:dyDescent="0.35">
      <c r="A42" s="56" t="s">
        <v>1192</v>
      </c>
      <c r="B42" s="56" t="s">
        <v>1190</v>
      </c>
      <c r="C42" s="56" t="s">
        <v>1147</v>
      </c>
      <c r="D42" s="56" t="s">
        <v>1171</v>
      </c>
      <c r="E42" s="129"/>
    </row>
    <row r="43" spans="1:5" x14ac:dyDescent="0.35">
      <c r="A43" s="56" t="s">
        <v>1193</v>
      </c>
      <c r="B43" s="56" t="s">
        <v>1190</v>
      </c>
      <c r="C43" s="56" t="s">
        <v>1147</v>
      </c>
      <c r="D43" s="56" t="s">
        <v>1173</v>
      </c>
      <c r="E43" s="129"/>
    </row>
    <row r="44" spans="1:5" x14ac:dyDescent="0.35">
      <c r="A44" s="56" t="s">
        <v>1194</v>
      </c>
      <c r="B44" s="56" t="s">
        <v>1195</v>
      </c>
      <c r="C44" s="56" t="s">
        <v>1147</v>
      </c>
      <c r="D44" s="56" t="s">
        <v>1167</v>
      </c>
      <c r="E44" s="129"/>
    </row>
    <row r="45" spans="1:5" x14ac:dyDescent="0.35">
      <c r="A45" s="56" t="s">
        <v>1196</v>
      </c>
      <c r="B45" s="56" t="s">
        <v>1195</v>
      </c>
      <c r="C45" s="56" t="s">
        <v>1147</v>
      </c>
      <c r="D45" s="56" t="s">
        <v>1169</v>
      </c>
      <c r="E45" s="129"/>
    </row>
    <row r="46" spans="1:5" x14ac:dyDescent="0.35">
      <c r="A46" s="56" t="s">
        <v>1197</v>
      </c>
      <c r="B46" s="56" t="s">
        <v>1195</v>
      </c>
      <c r="C46" s="56" t="s">
        <v>1147</v>
      </c>
      <c r="D46" s="56" t="s">
        <v>1171</v>
      </c>
      <c r="E46" s="129"/>
    </row>
    <row r="47" spans="1:5" x14ac:dyDescent="0.35">
      <c r="A47" s="56" t="s">
        <v>1198</v>
      </c>
      <c r="B47" s="56" t="s">
        <v>1195</v>
      </c>
      <c r="C47" s="56" t="s">
        <v>1147</v>
      </c>
      <c r="D47" s="56" t="s">
        <v>1173</v>
      </c>
      <c r="E47" s="129"/>
    </row>
    <row r="48" spans="1:5" x14ac:dyDescent="0.35">
      <c r="A48" s="56" t="s">
        <v>1199</v>
      </c>
      <c r="B48" s="56" t="s">
        <v>1200</v>
      </c>
      <c r="C48" s="56" t="s">
        <v>1147</v>
      </c>
      <c r="D48" s="56" t="s">
        <v>1167</v>
      </c>
      <c r="E48" s="129"/>
    </row>
    <row r="49" spans="1:5" x14ac:dyDescent="0.35">
      <c r="A49" s="56" t="s">
        <v>1201</v>
      </c>
      <c r="B49" s="56" t="s">
        <v>1200</v>
      </c>
      <c r="C49" s="56" t="s">
        <v>1147</v>
      </c>
      <c r="D49" s="56" t="s">
        <v>1169</v>
      </c>
      <c r="E49" s="129"/>
    </row>
    <row r="50" spans="1:5" x14ac:dyDescent="0.35">
      <c r="A50" s="56" t="s">
        <v>1202</v>
      </c>
      <c r="B50" s="56" t="s">
        <v>1200</v>
      </c>
      <c r="C50" s="56" t="s">
        <v>1147</v>
      </c>
      <c r="D50" s="56" t="s">
        <v>1171</v>
      </c>
      <c r="E50" s="129"/>
    </row>
    <row r="51" spans="1:5" x14ac:dyDescent="0.35">
      <c r="A51" s="56" t="s">
        <v>1203</v>
      </c>
      <c r="B51" s="56" t="s">
        <v>1200</v>
      </c>
      <c r="C51" s="56" t="s">
        <v>1147</v>
      </c>
      <c r="D51" s="56" t="s">
        <v>1173</v>
      </c>
      <c r="E51" s="129"/>
    </row>
    <row r="52" spans="1:5" x14ac:dyDescent="0.35">
      <c r="A52" s="56" t="s">
        <v>1204</v>
      </c>
      <c r="B52" s="56" t="s">
        <v>1205</v>
      </c>
      <c r="C52" s="56" t="s">
        <v>1147</v>
      </c>
      <c r="D52" s="56" t="s">
        <v>1167</v>
      </c>
      <c r="E52" s="129"/>
    </row>
    <row r="53" spans="1:5" x14ac:dyDescent="0.35">
      <c r="A53" s="56" t="s">
        <v>1206</v>
      </c>
      <c r="B53" s="56" t="s">
        <v>1205</v>
      </c>
      <c r="C53" s="56" t="s">
        <v>1147</v>
      </c>
      <c r="D53" s="56" t="s">
        <v>1169</v>
      </c>
      <c r="E53" s="129"/>
    </row>
    <row r="54" spans="1:5" x14ac:dyDescent="0.35">
      <c r="A54" s="56" t="s">
        <v>1207</v>
      </c>
      <c r="B54" s="56" t="s">
        <v>1205</v>
      </c>
      <c r="C54" s="56" t="s">
        <v>1147</v>
      </c>
      <c r="D54" s="56" t="s">
        <v>1171</v>
      </c>
      <c r="E54" s="129"/>
    </row>
    <row r="55" spans="1:5" x14ac:dyDescent="0.35">
      <c r="A55" s="56" t="s">
        <v>1208</v>
      </c>
      <c r="B55" s="56" t="s">
        <v>1205</v>
      </c>
      <c r="C55" s="56" t="s">
        <v>1147</v>
      </c>
      <c r="D55" s="56" t="s">
        <v>1173</v>
      </c>
      <c r="E55" s="129"/>
    </row>
    <row r="56" spans="1:5" x14ac:dyDescent="0.35">
      <c r="A56" s="56" t="s">
        <v>1209</v>
      </c>
      <c r="B56" s="56" t="s">
        <v>1210</v>
      </c>
      <c r="C56" s="56" t="s">
        <v>1147</v>
      </c>
      <c r="D56" s="56" t="s">
        <v>1167</v>
      </c>
      <c r="E56" s="129"/>
    </row>
    <row r="57" spans="1:5" x14ac:dyDescent="0.35">
      <c r="A57" s="56" t="s">
        <v>1211</v>
      </c>
      <c r="B57" s="56" t="s">
        <v>1210</v>
      </c>
      <c r="C57" s="56" t="s">
        <v>1147</v>
      </c>
      <c r="D57" s="56" t="s">
        <v>1169</v>
      </c>
      <c r="E57" s="129"/>
    </row>
    <row r="58" spans="1:5" x14ac:dyDescent="0.35">
      <c r="A58" s="56" t="s">
        <v>1212</v>
      </c>
      <c r="B58" s="56" t="s">
        <v>1210</v>
      </c>
      <c r="C58" s="56" t="s">
        <v>1147</v>
      </c>
      <c r="D58" s="56" t="s">
        <v>1171</v>
      </c>
      <c r="E58" s="129"/>
    </row>
    <row r="59" spans="1:5" x14ac:dyDescent="0.35">
      <c r="A59" s="56" t="s">
        <v>1213</v>
      </c>
      <c r="B59" s="56" t="s">
        <v>1210</v>
      </c>
      <c r="C59" s="56" t="s">
        <v>1147</v>
      </c>
      <c r="D59" s="56" t="s">
        <v>1173</v>
      </c>
      <c r="E59" s="129"/>
    </row>
    <row r="60" spans="1:5" x14ac:dyDescent="0.35">
      <c r="A60" s="56" t="s">
        <v>1214</v>
      </c>
      <c r="B60" s="56" t="s">
        <v>1215</v>
      </c>
      <c r="C60" s="56" t="s">
        <v>1147</v>
      </c>
      <c r="D60" s="56" t="s">
        <v>1167</v>
      </c>
      <c r="E60" s="129"/>
    </row>
    <row r="61" spans="1:5" x14ac:dyDescent="0.35">
      <c r="A61" s="56" t="s">
        <v>1216</v>
      </c>
      <c r="B61" s="56" t="s">
        <v>1215</v>
      </c>
      <c r="C61" s="56" t="s">
        <v>1147</v>
      </c>
      <c r="D61" s="56" t="s">
        <v>1169</v>
      </c>
      <c r="E61" s="129"/>
    </row>
    <row r="62" spans="1:5" x14ac:dyDescent="0.35">
      <c r="A62" s="56" t="s">
        <v>1217</v>
      </c>
      <c r="B62" s="56" t="s">
        <v>1215</v>
      </c>
      <c r="C62" s="56" t="s">
        <v>1147</v>
      </c>
      <c r="D62" s="56" t="s">
        <v>1171</v>
      </c>
      <c r="E62" s="129"/>
    </row>
    <row r="63" spans="1:5" x14ac:dyDescent="0.35">
      <c r="A63" s="56" t="s">
        <v>1218</v>
      </c>
      <c r="B63" s="56" t="s">
        <v>1215</v>
      </c>
      <c r="C63" s="56" t="s">
        <v>1147</v>
      </c>
      <c r="D63" s="56" t="s">
        <v>1173</v>
      </c>
      <c r="E63" s="129"/>
    </row>
    <row r="64" spans="1:5" x14ac:dyDescent="0.35">
      <c r="A64" s="56" t="s">
        <v>1219</v>
      </c>
      <c r="B64" s="56" t="s">
        <v>1220</v>
      </c>
      <c r="C64" s="56" t="s">
        <v>1147</v>
      </c>
      <c r="D64" s="56" t="s">
        <v>1167</v>
      </c>
      <c r="E64" s="129"/>
    </row>
    <row r="65" spans="1:5" x14ac:dyDescent="0.35">
      <c r="A65" s="56" t="s">
        <v>1221</v>
      </c>
      <c r="B65" s="56" t="s">
        <v>1220</v>
      </c>
      <c r="C65" s="56" t="s">
        <v>1147</v>
      </c>
      <c r="D65" s="56" t="s">
        <v>1169</v>
      </c>
      <c r="E65" s="129"/>
    </row>
    <row r="66" spans="1:5" x14ac:dyDescent="0.35">
      <c r="A66" s="56" t="s">
        <v>1222</v>
      </c>
      <c r="B66" s="56" t="s">
        <v>1220</v>
      </c>
      <c r="C66" s="56" t="s">
        <v>1147</v>
      </c>
      <c r="D66" s="56" t="s">
        <v>1171</v>
      </c>
      <c r="E66" s="129"/>
    </row>
    <row r="67" spans="1:5" x14ac:dyDescent="0.35">
      <c r="A67" s="56" t="s">
        <v>1223</v>
      </c>
      <c r="B67" s="56" t="s">
        <v>1220</v>
      </c>
      <c r="C67" s="56" t="s">
        <v>1147</v>
      </c>
      <c r="D67" s="56" t="s">
        <v>1173</v>
      </c>
      <c r="E67" s="129"/>
    </row>
    <row r="68" spans="1:5" x14ac:dyDescent="0.35">
      <c r="A68" s="56" t="s">
        <v>1224</v>
      </c>
      <c r="B68" s="56" t="s">
        <v>1225</v>
      </c>
      <c r="C68" s="56" t="s">
        <v>1147</v>
      </c>
      <c r="D68" s="56" t="s">
        <v>1167</v>
      </c>
      <c r="E68" s="129"/>
    </row>
    <row r="69" spans="1:5" x14ac:dyDescent="0.35">
      <c r="A69" s="56" t="s">
        <v>1226</v>
      </c>
      <c r="B69" s="56" t="s">
        <v>1225</v>
      </c>
      <c r="C69" s="56" t="s">
        <v>1147</v>
      </c>
      <c r="D69" s="56" t="s">
        <v>1169</v>
      </c>
      <c r="E69" s="129"/>
    </row>
    <row r="70" spans="1:5" x14ac:dyDescent="0.35">
      <c r="A70" s="56" t="s">
        <v>1227</v>
      </c>
      <c r="B70" s="56" t="s">
        <v>1225</v>
      </c>
      <c r="C70" s="56" t="s">
        <v>1147</v>
      </c>
      <c r="D70" s="56" t="s">
        <v>1171</v>
      </c>
      <c r="E70" s="129"/>
    </row>
    <row r="71" spans="1:5" x14ac:dyDescent="0.35">
      <c r="A71" s="56" t="s">
        <v>1228</v>
      </c>
      <c r="B71" s="56" t="s">
        <v>1225</v>
      </c>
      <c r="C71" s="56" t="s">
        <v>1147</v>
      </c>
      <c r="D71" s="56" t="s">
        <v>1173</v>
      </c>
      <c r="E71" s="129"/>
    </row>
    <row r="72" spans="1:5" x14ac:dyDescent="0.35">
      <c r="A72" s="56" t="s">
        <v>1229</v>
      </c>
      <c r="B72" s="56" t="s">
        <v>1230</v>
      </c>
      <c r="C72" s="56" t="s">
        <v>1147</v>
      </c>
      <c r="D72" s="56" t="s">
        <v>1167</v>
      </c>
      <c r="E72" s="129"/>
    </row>
    <row r="73" spans="1:5" x14ac:dyDescent="0.35">
      <c r="A73" s="56" t="s">
        <v>1231</v>
      </c>
      <c r="B73" s="56" t="s">
        <v>1230</v>
      </c>
      <c r="C73" s="56" t="s">
        <v>1147</v>
      </c>
      <c r="D73" s="56" t="s">
        <v>1169</v>
      </c>
      <c r="E73" s="129"/>
    </row>
    <row r="74" spans="1:5" x14ac:dyDescent="0.35">
      <c r="A74" s="56" t="s">
        <v>1232</v>
      </c>
      <c r="B74" s="56" t="s">
        <v>1230</v>
      </c>
      <c r="C74" s="56" t="s">
        <v>1147</v>
      </c>
      <c r="D74" s="56" t="s">
        <v>1171</v>
      </c>
      <c r="E74" s="129"/>
    </row>
    <row r="75" spans="1:5" x14ac:dyDescent="0.35">
      <c r="A75" s="56" t="s">
        <v>1233</v>
      </c>
      <c r="B75" s="56" t="s">
        <v>1230</v>
      </c>
      <c r="C75" s="56" t="s">
        <v>1147</v>
      </c>
      <c r="D75" s="56" t="s">
        <v>1173</v>
      </c>
      <c r="E75" s="129"/>
    </row>
    <row r="76" spans="1:5" x14ac:dyDescent="0.35">
      <c r="A76" s="56" t="s">
        <v>1234</v>
      </c>
      <c r="B76" s="56" t="s">
        <v>1235</v>
      </c>
      <c r="C76" s="56" t="s">
        <v>1147</v>
      </c>
      <c r="D76" s="56" t="s">
        <v>1167</v>
      </c>
      <c r="E76" s="129"/>
    </row>
    <row r="77" spans="1:5" x14ac:dyDescent="0.35">
      <c r="A77" s="56" t="s">
        <v>1236</v>
      </c>
      <c r="B77" s="56" t="s">
        <v>1235</v>
      </c>
      <c r="C77" s="56" t="s">
        <v>1147</v>
      </c>
      <c r="D77" s="56" t="s">
        <v>1169</v>
      </c>
      <c r="E77" s="129"/>
    </row>
    <row r="78" spans="1:5" x14ac:dyDescent="0.35">
      <c r="A78" s="56" t="s">
        <v>1237</v>
      </c>
      <c r="B78" s="56" t="s">
        <v>1235</v>
      </c>
      <c r="C78" s="56" t="s">
        <v>1147</v>
      </c>
      <c r="D78" s="56" t="s">
        <v>1171</v>
      </c>
      <c r="E78" s="129"/>
    </row>
    <row r="79" spans="1:5" x14ac:dyDescent="0.35">
      <c r="A79" s="56" t="s">
        <v>1238</v>
      </c>
      <c r="B79" s="56" t="s">
        <v>1235</v>
      </c>
      <c r="C79" s="56" t="s">
        <v>1147</v>
      </c>
      <c r="D79" s="56" t="s">
        <v>1173</v>
      </c>
      <c r="E79" s="129"/>
    </row>
    <row r="80" spans="1:5" x14ac:dyDescent="0.35">
      <c r="A80" s="56" t="s">
        <v>1239</v>
      </c>
      <c r="B80" s="56" t="s">
        <v>1240</v>
      </c>
      <c r="C80" s="56" t="s">
        <v>1147</v>
      </c>
      <c r="D80" s="56" t="s">
        <v>1167</v>
      </c>
      <c r="E80" s="129"/>
    </row>
    <row r="81" spans="1:5" x14ac:dyDescent="0.35">
      <c r="A81" s="56" t="s">
        <v>1241</v>
      </c>
      <c r="B81" s="56" t="s">
        <v>1240</v>
      </c>
      <c r="C81" s="56" t="s">
        <v>1147</v>
      </c>
      <c r="D81" s="56" t="s">
        <v>1169</v>
      </c>
      <c r="E81" s="129"/>
    </row>
    <row r="82" spans="1:5" x14ac:dyDescent="0.35">
      <c r="A82" s="56" t="s">
        <v>1242</v>
      </c>
      <c r="B82" s="56" t="s">
        <v>1240</v>
      </c>
      <c r="C82" s="56" t="s">
        <v>1147</v>
      </c>
      <c r="D82" s="56" t="s">
        <v>1171</v>
      </c>
      <c r="E82" s="129"/>
    </row>
    <row r="83" spans="1:5" x14ac:dyDescent="0.35">
      <c r="A83" s="61" t="s">
        <v>1243</v>
      </c>
      <c r="B83" s="61" t="s">
        <v>1240</v>
      </c>
      <c r="C83" s="61" t="s">
        <v>1147</v>
      </c>
      <c r="D83" s="61" t="s">
        <v>1173</v>
      </c>
      <c r="E83" s="130"/>
    </row>
    <row r="84" spans="1:5" x14ac:dyDescent="0.35">
      <c r="A84" s="75" t="s">
        <v>264</v>
      </c>
      <c r="B84" s="76"/>
      <c r="C84" s="76"/>
      <c r="D84" s="76"/>
      <c r="E84" s="123"/>
    </row>
    <row r="86" spans="1:5" x14ac:dyDescent="0.35">
      <c r="A86" s="75" t="s">
        <v>1244</v>
      </c>
      <c r="B86" s="76"/>
      <c r="C86" s="76"/>
      <c r="D86" s="76"/>
      <c r="E86" s="123"/>
    </row>
  </sheetData>
  <sheetProtection algorithmName="SHA-512" hashValue="7pu1RFOyrpn/TkiD8T1JmlVsFvgBeln9G7/RHn4v9FT132dYs9RaZAfAKXb6//P3PRYZWCHovE1i1C8eSA/BLA==" saltValue="jcHetjcSwV8VOnd8ZT++dw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C7D1-8DA7-4D12-9EDF-F555009F15F4}">
  <dimension ref="A1:L12"/>
  <sheetViews>
    <sheetView workbookViewId="0"/>
  </sheetViews>
  <sheetFormatPr defaultRowHeight="14.5" x14ac:dyDescent="0.35"/>
  <cols>
    <col min="1" max="1" width="7.6328125" customWidth="1"/>
    <col min="2" max="2" width="6.6328125" customWidth="1"/>
    <col min="3" max="3" width="7.6328125" customWidth="1"/>
    <col min="4" max="4" width="50.6328125" customWidth="1"/>
    <col min="5" max="6" width="14.6328125" customWidth="1"/>
    <col min="7" max="9" width="11.6328125" customWidth="1"/>
    <col min="10" max="10" width="12.6328125" customWidth="1"/>
    <col min="11" max="11" width="14.6328125" customWidth="1"/>
    <col min="12" max="12" width="13.6328125" customWidth="1"/>
  </cols>
  <sheetData>
    <row r="1" spans="1:12" x14ac:dyDescent="0.35">
      <c r="A1" s="1" t="str">
        <f>CONCATENATE("Bijlage 3.9: ",tabeltype," regiewerk")</f>
        <v>Bijlage 3.9: Invultabel regiewerk</v>
      </c>
    </row>
    <row r="3" spans="1:12" ht="43.5" x14ac:dyDescent="0.35">
      <c r="A3" s="44" t="s">
        <v>1127</v>
      </c>
      <c r="B3" s="44" t="s">
        <v>7</v>
      </c>
      <c r="C3" s="44" t="s">
        <v>1245</v>
      </c>
      <c r="D3" s="44" t="s">
        <v>98</v>
      </c>
      <c r="E3" s="44" t="s">
        <v>101</v>
      </c>
      <c r="F3" s="44" t="s">
        <v>1246</v>
      </c>
      <c r="G3" s="44" t="s">
        <v>1247</v>
      </c>
      <c r="H3" s="44" t="s">
        <v>1248</v>
      </c>
      <c r="I3" s="44" t="s">
        <v>1129</v>
      </c>
      <c r="J3" s="44" t="s">
        <v>1249</v>
      </c>
      <c r="K3" s="44" t="s">
        <v>216</v>
      </c>
      <c r="L3" s="44" t="s">
        <v>1104</v>
      </c>
    </row>
    <row r="4" spans="1:12" x14ac:dyDescent="0.3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x14ac:dyDescent="0.35">
      <c r="A5" s="48" t="s">
        <v>103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x14ac:dyDescent="0.35">
      <c r="A6" s="51" t="s">
        <v>1250</v>
      </c>
      <c r="B6" s="51" t="s">
        <v>21</v>
      </c>
      <c r="C6" s="52">
        <f>IF(ISBLANK(B6),0,IF(ISERROR(VALUE(B6)),VLOOKUP(B6,dagsoorttabel1,2,FALSE)*dagenperjaar1,VALUE(B6)))</f>
        <v>1</v>
      </c>
      <c r="D6" s="51" t="s">
        <v>1251</v>
      </c>
      <c r="E6" s="51" t="s">
        <v>1164</v>
      </c>
      <c r="F6" s="131">
        <v>25</v>
      </c>
      <c r="G6" s="132">
        <f>Tariefopbouw2</f>
        <v>0</v>
      </c>
      <c r="H6" s="133"/>
      <c r="I6" s="132">
        <f>G6</f>
        <v>0</v>
      </c>
      <c r="J6" s="55">
        <f>IF(ISBLANK(F6),0,F6)*ROUND(I6,2)</f>
        <v>0</v>
      </c>
      <c r="K6" s="55">
        <f>C6*J6</f>
        <v>0</v>
      </c>
      <c r="L6" s="55">
        <f>K6/12</f>
        <v>0</v>
      </c>
    </row>
    <row r="7" spans="1:12" x14ac:dyDescent="0.35">
      <c r="A7" s="56" t="s">
        <v>1252</v>
      </c>
      <c r="B7" s="56" t="s">
        <v>21</v>
      </c>
      <c r="C7" s="57">
        <f>IF(ISBLANK(B7),0,IF(ISERROR(VALUE(B7)),VLOOKUP(B7,dagsoorttabel1,2,FALSE)*dagenperjaar1,VALUE(B7)))</f>
        <v>1</v>
      </c>
      <c r="D7" s="56" t="s">
        <v>1253</v>
      </c>
      <c r="E7" s="56" t="s">
        <v>1164</v>
      </c>
      <c r="F7" s="134">
        <v>10</v>
      </c>
      <c r="G7" s="135">
        <f>Tariefopbouw4</f>
        <v>0</v>
      </c>
      <c r="H7" s="136"/>
      <c r="I7" s="135">
        <f>G7</f>
        <v>0</v>
      </c>
      <c r="J7" s="60">
        <f>IF(ISBLANK(F7),0,F7)*ROUND(I7,2)</f>
        <v>0</v>
      </c>
      <c r="K7" s="60">
        <f>C7*J7</f>
        <v>0</v>
      </c>
      <c r="L7" s="60">
        <f>K7/12</f>
        <v>0</v>
      </c>
    </row>
    <row r="8" spans="1:12" x14ac:dyDescent="0.35">
      <c r="A8" s="56" t="s">
        <v>1254</v>
      </c>
      <c r="B8" s="56" t="s">
        <v>21</v>
      </c>
      <c r="C8" s="57">
        <f>IF(ISBLANK(B8),0,IF(ISERROR(VALUE(B8)),VLOOKUP(B8,dagsoorttabel1,2,FALSE)*dagenperjaar1,VALUE(B8)))</f>
        <v>1</v>
      </c>
      <c r="D8" s="56" t="s">
        <v>1255</v>
      </c>
      <c r="E8" s="56" t="s">
        <v>1164</v>
      </c>
      <c r="F8" s="134">
        <v>10</v>
      </c>
      <c r="G8" s="135">
        <f>Tariefopbouw5</f>
        <v>0</v>
      </c>
      <c r="H8" s="136"/>
      <c r="I8" s="135">
        <f>G8</f>
        <v>0</v>
      </c>
      <c r="J8" s="60">
        <f>IF(ISBLANK(F8),0,F8)*ROUND(I8,2)</f>
        <v>0</v>
      </c>
      <c r="K8" s="60">
        <f>C8*J8</f>
        <v>0</v>
      </c>
      <c r="L8" s="60">
        <f>K8/12</f>
        <v>0</v>
      </c>
    </row>
    <row r="9" spans="1:12" x14ac:dyDescent="0.35">
      <c r="A9" s="61" t="s">
        <v>1256</v>
      </c>
      <c r="B9" s="61" t="s">
        <v>21</v>
      </c>
      <c r="C9" s="62">
        <f>IF(ISBLANK(B9),0,IF(ISERROR(VALUE(B9)),VLOOKUP(B9,dagsoorttabel1,2,FALSE)*dagenperjaar1,VALUE(B9)))</f>
        <v>1</v>
      </c>
      <c r="D9" s="61" t="s">
        <v>1257</v>
      </c>
      <c r="E9" s="61" t="s">
        <v>1164</v>
      </c>
      <c r="F9" s="137">
        <v>5</v>
      </c>
      <c r="G9" s="138">
        <f>Tariefopbouw3</f>
        <v>0</v>
      </c>
      <c r="H9" s="139"/>
      <c r="I9" s="138">
        <f>G9</f>
        <v>0</v>
      </c>
      <c r="J9" s="65">
        <f>IF(ISBLANK(F9),0,F9)*ROUND(I9,2)</f>
        <v>0</v>
      </c>
      <c r="K9" s="65">
        <f>C9*J9</f>
        <v>0</v>
      </c>
      <c r="L9" s="65">
        <f>K9/12</f>
        <v>0</v>
      </c>
    </row>
    <row r="10" spans="1:12" x14ac:dyDescent="0.35">
      <c r="A10" s="75" t="s">
        <v>264</v>
      </c>
      <c r="B10" s="76"/>
      <c r="C10" s="76"/>
      <c r="D10" s="76"/>
      <c r="E10" s="76"/>
      <c r="F10" s="76"/>
      <c r="G10" s="76"/>
      <c r="H10" s="76"/>
      <c r="I10" s="76"/>
      <c r="J10" s="76"/>
      <c r="K10" s="78">
        <f>SUM(K6:K9)</f>
        <v>0</v>
      </c>
      <c r="L10" s="140">
        <f>K10/12</f>
        <v>0</v>
      </c>
    </row>
    <row r="12" spans="1:12" x14ac:dyDescent="0.35">
      <c r="A12" s="75" t="s">
        <v>1258</v>
      </c>
      <c r="B12" s="76"/>
      <c r="C12" s="76"/>
      <c r="D12" s="76"/>
      <c r="E12" s="76"/>
      <c r="F12" s="76"/>
      <c r="G12" s="76"/>
      <c r="H12" s="76"/>
      <c r="I12" s="76"/>
      <c r="J12" s="76"/>
      <c r="K12" s="78">
        <f>prijsjaarregie1</f>
        <v>0</v>
      </c>
      <c r="L12" s="140">
        <f>K12/12</f>
        <v>0</v>
      </c>
    </row>
  </sheetData>
  <sheetProtection algorithmName="SHA-512" hashValue="WDSunQkUk5629uoKR+KSk0XhR+uz8DPeUSeDPeHoR337n2SabZzSMxjexpZIaxOSgqf24DELZkZzZv6BJ/KyfA==" saltValue="A1BGonNh210EHTepSWjVtw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1A76-FA37-438F-B0E2-DA037D5BF5DF}">
  <dimension ref="A1:E10"/>
  <sheetViews>
    <sheetView tabSelected="1" workbookViewId="0"/>
  </sheetViews>
  <sheetFormatPr defaultRowHeight="14.5" x14ac:dyDescent="0.35"/>
  <cols>
    <col min="1" max="1" width="30.6328125" customWidth="1"/>
    <col min="2" max="5" width="20.6328125" customWidth="1"/>
  </cols>
  <sheetData>
    <row r="1" spans="1:5" x14ac:dyDescent="0.35">
      <c r="A1" s="1" t="str">
        <f>CONCATENATE("Bijlage 3.10: ",tabeltype," totaalblad schoonmaakwerk")</f>
        <v>Bijlage 3.10: Invultabel totaalblad schoonmaakwerk</v>
      </c>
    </row>
    <row r="3" spans="1:5" ht="29" x14ac:dyDescent="0.35">
      <c r="A3" s="44" t="s">
        <v>1259</v>
      </c>
      <c r="B3" s="44" t="s">
        <v>1260</v>
      </c>
      <c r="C3" s="44" t="s">
        <v>1261</v>
      </c>
      <c r="D3" s="44" t="s">
        <v>1262</v>
      </c>
      <c r="E3" s="44" t="s">
        <v>1263</v>
      </c>
    </row>
    <row r="4" spans="1:5" x14ac:dyDescent="0.35">
      <c r="A4" s="120" t="s">
        <v>1264</v>
      </c>
      <c r="B4" s="66">
        <f>urenjaartotaaloverzicht</f>
        <v>1476.25</v>
      </c>
      <c r="C4" s="66">
        <f>urenjaartotaaloverzichthf</f>
        <v>0</v>
      </c>
      <c r="D4" s="55">
        <f>prijsjaartotaaloverzicht</f>
        <v>0</v>
      </c>
      <c r="E4" s="55">
        <f>D4*1.21</f>
        <v>0</v>
      </c>
    </row>
    <row r="5" spans="1:5" x14ac:dyDescent="0.35">
      <c r="A5" s="122" t="s">
        <v>1265</v>
      </c>
      <c r="B5" s="141"/>
      <c r="C5" s="141"/>
      <c r="D5" s="65">
        <f>prijsjaarregie</f>
        <v>0</v>
      </c>
      <c r="E5" s="65">
        <f>D5*1.21</f>
        <v>0</v>
      </c>
    </row>
    <row r="7" spans="1:5" x14ac:dyDescent="0.35">
      <c r="A7" s="44" t="s">
        <v>1266</v>
      </c>
      <c r="B7" s="77">
        <f>SUM(B4:B5)</f>
        <v>1476.25</v>
      </c>
      <c r="C7" s="77">
        <f>SUM(C4:C5)</f>
        <v>0</v>
      </c>
      <c r="D7" s="78">
        <f>SUM(D4:D5)</f>
        <v>0</v>
      </c>
      <c r="E7" s="78">
        <f>D7*1.21</f>
        <v>0</v>
      </c>
    </row>
    <row r="10" spans="1:5" x14ac:dyDescent="0.35">
      <c r="A10" s="142" t="s">
        <v>1267</v>
      </c>
      <c r="B10" s="77"/>
      <c r="C10" s="113"/>
      <c r="D10" s="143">
        <f>ROUND(SUM(vp_regulier,vp_regie),2)</f>
        <v>0</v>
      </c>
      <c r="E10" s="113"/>
    </row>
  </sheetData>
  <sheetProtection algorithmName="SHA-512" hashValue="KIxcuOJZEvqNEVhRWUjj4DDTzUOFby2m2VnsMfkIBnZVIp07qCm9eJ9d37FraPvABCxz7hhAC0cAEfBGpKgAxQ==" saltValue="Vp0v1OvjdmfyToLBJUCFag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01E6-5BAB-4D1A-8987-8B0CE5CAEC68}">
  <dimension ref="A1:S62"/>
  <sheetViews>
    <sheetView workbookViewId="0"/>
  </sheetViews>
  <sheetFormatPr defaultRowHeight="14.5" x14ac:dyDescent="0.35"/>
  <cols>
    <col min="1" max="1" width="40.6328125" customWidth="1"/>
    <col min="2" max="2" width="8.1796875" customWidth="1"/>
    <col min="3" max="3" width="10.6328125" customWidth="1"/>
    <col min="4" max="4" width="8.1796875" customWidth="1"/>
    <col min="5" max="5" width="10.6328125" customWidth="1"/>
    <col min="6" max="6" width="8.1796875" customWidth="1"/>
    <col min="7" max="7" width="10.6328125" customWidth="1"/>
    <col min="8" max="8" width="8.1796875" customWidth="1"/>
    <col min="9" max="9" width="10.6328125" customWidth="1"/>
    <col min="10" max="10" width="8.1796875" customWidth="1"/>
    <col min="11" max="11" width="10.6328125" customWidth="1"/>
    <col min="12" max="12" width="8.1796875" customWidth="1"/>
    <col min="13" max="13" width="10.6328125" customWidth="1"/>
    <col min="14" max="14" width="8.1796875" customWidth="1"/>
    <col min="15" max="15" width="10.6328125" customWidth="1"/>
    <col min="16" max="16" width="8.1796875" customWidth="1"/>
    <col min="17" max="17" width="10.6328125" customWidth="1"/>
    <col min="18" max="18" width="8.1796875" customWidth="1"/>
    <col min="19" max="19" width="10.6328125" customWidth="1"/>
  </cols>
  <sheetData>
    <row r="1" spans="1:19" x14ac:dyDescent="0.35">
      <c r="A1" s="1" t="s">
        <v>27</v>
      </c>
    </row>
    <row r="3" spans="1:19" x14ac:dyDescent="0.35">
      <c r="A3" s="8"/>
      <c r="B3" s="9" t="s">
        <v>28</v>
      </c>
      <c r="C3" s="9"/>
      <c r="D3" s="9" t="s">
        <v>28</v>
      </c>
      <c r="E3" s="9"/>
      <c r="F3" s="9" t="s">
        <v>28</v>
      </c>
      <c r="G3" s="9"/>
      <c r="H3" s="9" t="s">
        <v>28</v>
      </c>
      <c r="I3" s="9"/>
      <c r="J3" s="9" t="s">
        <v>28</v>
      </c>
      <c r="K3" s="9"/>
      <c r="L3" s="9" t="s">
        <v>28</v>
      </c>
      <c r="M3" s="9"/>
      <c r="N3" s="9" t="s">
        <v>29</v>
      </c>
      <c r="O3" s="9"/>
      <c r="P3" s="9" t="s">
        <v>29</v>
      </c>
      <c r="Q3" s="9"/>
      <c r="R3" s="9" t="s">
        <v>29</v>
      </c>
      <c r="S3" s="10"/>
    </row>
    <row r="4" spans="1:19" x14ac:dyDescent="0.35">
      <c r="A4" s="11"/>
      <c r="B4" s="12" t="s">
        <v>30</v>
      </c>
      <c r="C4" s="12"/>
      <c r="D4" s="12" t="s">
        <v>30</v>
      </c>
      <c r="E4" s="12"/>
      <c r="F4" s="12" t="s">
        <v>30</v>
      </c>
      <c r="G4" s="12"/>
      <c r="H4" s="12" t="s">
        <v>30</v>
      </c>
      <c r="I4" s="12"/>
      <c r="J4" s="12" t="s">
        <v>31</v>
      </c>
      <c r="K4" s="12"/>
      <c r="L4" s="12" t="s">
        <v>31</v>
      </c>
      <c r="M4" s="12"/>
      <c r="N4" s="12" t="s">
        <v>30</v>
      </c>
      <c r="O4" s="12"/>
      <c r="P4" s="12" t="s">
        <v>30</v>
      </c>
      <c r="Q4" s="12"/>
      <c r="R4" s="12" t="s">
        <v>31</v>
      </c>
      <c r="S4" s="13"/>
    </row>
    <row r="5" spans="1:19" ht="29" customHeight="1" x14ac:dyDescent="0.35">
      <c r="A5" s="14" t="s">
        <v>32</v>
      </c>
      <c r="B5" s="15" t="s">
        <v>33</v>
      </c>
      <c r="C5" s="15"/>
      <c r="D5" s="15" t="s">
        <v>33</v>
      </c>
      <c r="E5" s="15"/>
      <c r="F5" s="15" t="s">
        <v>34</v>
      </c>
      <c r="G5" s="15"/>
      <c r="H5" s="15" t="s">
        <v>33</v>
      </c>
      <c r="I5" s="15"/>
      <c r="J5" s="15" t="s">
        <v>35</v>
      </c>
      <c r="K5" s="15"/>
      <c r="L5" s="15" t="s">
        <v>35</v>
      </c>
      <c r="M5" s="15"/>
      <c r="N5" s="15" t="s">
        <v>36</v>
      </c>
      <c r="O5" s="15"/>
      <c r="P5" s="15" t="s">
        <v>36</v>
      </c>
      <c r="Q5" s="15"/>
      <c r="R5" s="15" t="s">
        <v>37</v>
      </c>
      <c r="S5" s="16"/>
    </row>
    <row r="6" spans="1:19" ht="43.5" customHeight="1" x14ac:dyDescent="0.35">
      <c r="A6" s="17" t="s">
        <v>38</v>
      </c>
      <c r="B6" s="15" t="s">
        <v>39</v>
      </c>
      <c r="C6" s="15"/>
      <c r="D6" s="18" t="s">
        <v>40</v>
      </c>
      <c r="E6" s="18"/>
      <c r="F6" s="15" t="s">
        <v>41</v>
      </c>
      <c r="G6" s="15"/>
      <c r="H6" s="15" t="s">
        <v>42</v>
      </c>
      <c r="I6" s="15"/>
      <c r="J6" s="15" t="s">
        <v>41</v>
      </c>
      <c r="K6" s="15"/>
      <c r="L6" s="15" t="s">
        <v>43</v>
      </c>
      <c r="M6" s="15"/>
      <c r="N6" s="18" t="s">
        <v>40</v>
      </c>
      <c r="O6" s="18"/>
      <c r="P6" s="15" t="s">
        <v>44</v>
      </c>
      <c r="Q6" s="15"/>
      <c r="R6" s="18" t="s">
        <v>40</v>
      </c>
      <c r="S6" s="19"/>
    </row>
    <row r="7" spans="1:19" x14ac:dyDescent="0.35">
      <c r="A7" s="20" t="s">
        <v>45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19" x14ac:dyDescent="0.35">
      <c r="A8" s="20" t="s">
        <v>46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</row>
    <row r="9" spans="1:19" x14ac:dyDescent="0.35">
      <c r="A9" s="11" t="s">
        <v>47</v>
      </c>
      <c r="B9" s="23">
        <f>SUM(B7:B8)</f>
        <v>0</v>
      </c>
      <c r="C9" s="23"/>
      <c r="D9" s="23">
        <f>SUM(D7:D8)</f>
        <v>0</v>
      </c>
      <c r="E9" s="23"/>
      <c r="F9" s="23">
        <f>SUM(F7:F8)</f>
        <v>0</v>
      </c>
      <c r="G9" s="23"/>
      <c r="H9" s="23">
        <f>SUM(H7:H8)</f>
        <v>0</v>
      </c>
      <c r="I9" s="23"/>
      <c r="J9" s="23">
        <f>SUM(J7:J8)</f>
        <v>0</v>
      </c>
      <c r="K9" s="23"/>
      <c r="L9" s="23">
        <f>SUM(L7:L8)</f>
        <v>0</v>
      </c>
      <c r="M9" s="23"/>
      <c r="N9" s="23">
        <f>SUM(N7:N8)</f>
        <v>0</v>
      </c>
      <c r="O9" s="23"/>
      <c r="P9" s="23">
        <f>SUM(P7:P8)</f>
        <v>0</v>
      </c>
      <c r="Q9" s="23"/>
      <c r="R9" s="23">
        <f>SUM(R7:R8)</f>
        <v>0</v>
      </c>
      <c r="S9" s="24"/>
    </row>
    <row r="10" spans="1:19" x14ac:dyDescent="0.35">
      <c r="A10" s="20" t="s">
        <v>48</v>
      </c>
      <c r="B10" s="25"/>
      <c r="C10" s="26">
        <f>TariefOpbouwBasisloon1*B10</f>
        <v>0</v>
      </c>
      <c r="D10" s="25"/>
      <c r="E10" s="26">
        <f>TariefOpbouwBasisloon2*D10</f>
        <v>0</v>
      </c>
      <c r="F10" s="25"/>
      <c r="G10" s="26">
        <f>TariefOpbouwBasisloon3*F10</f>
        <v>0</v>
      </c>
      <c r="H10" s="25"/>
      <c r="I10" s="26">
        <f>TariefOpbouwBasisloon4*H10</f>
        <v>0</v>
      </c>
      <c r="J10" s="25"/>
      <c r="K10" s="26">
        <f>TariefOpbouwBasisloon5*J10</f>
        <v>0</v>
      </c>
      <c r="L10" s="25"/>
      <c r="M10" s="26">
        <f>TariefOpbouwBasisloon6*L10</f>
        <v>0</v>
      </c>
      <c r="N10" s="25"/>
      <c r="O10" s="26">
        <f>TariefOpbouwBasisloon7*N10</f>
        <v>0</v>
      </c>
      <c r="P10" s="25"/>
      <c r="Q10" s="26">
        <f>TariefOpbouwBasisloon8*P10</f>
        <v>0</v>
      </c>
      <c r="R10" s="25"/>
      <c r="S10" s="27">
        <f>TariefOpbouwBasisloon9*R10</f>
        <v>0</v>
      </c>
    </row>
    <row r="11" spans="1:19" x14ac:dyDescent="0.35">
      <c r="A11" s="20" t="s">
        <v>49</v>
      </c>
      <c r="B11" s="25"/>
      <c r="C11" s="26">
        <f>TariefOpbouwBasisloon1*B11</f>
        <v>0</v>
      </c>
      <c r="D11" s="25"/>
      <c r="E11" s="26">
        <f>TariefOpbouwBasisloon2*D11</f>
        <v>0</v>
      </c>
      <c r="F11" s="25"/>
      <c r="G11" s="26">
        <f>TariefOpbouwBasisloon3*F11</f>
        <v>0</v>
      </c>
      <c r="H11" s="25"/>
      <c r="I11" s="26">
        <f>TariefOpbouwBasisloon4*H11</f>
        <v>0</v>
      </c>
      <c r="J11" s="25"/>
      <c r="K11" s="26">
        <f>TariefOpbouwBasisloon5*J11</f>
        <v>0</v>
      </c>
      <c r="L11" s="25"/>
      <c r="M11" s="26">
        <f>TariefOpbouwBasisloon6*L11</f>
        <v>0</v>
      </c>
      <c r="N11" s="25"/>
      <c r="O11" s="26">
        <f>TariefOpbouwBasisloon7*N11</f>
        <v>0</v>
      </c>
      <c r="P11" s="25"/>
      <c r="Q11" s="26">
        <f>TariefOpbouwBasisloon8*P11</f>
        <v>0</v>
      </c>
      <c r="R11" s="25"/>
      <c r="S11" s="27">
        <f>TariefOpbouwBasisloon9*R11</f>
        <v>0</v>
      </c>
    </row>
    <row r="12" spans="1:19" x14ac:dyDescent="0.35">
      <c r="A12" s="11" t="s">
        <v>50</v>
      </c>
      <c r="B12" s="23">
        <f>SUM(TariefOpbouwBasisloon1,C10:C11)</f>
        <v>0</v>
      </c>
      <c r="C12" s="23"/>
      <c r="D12" s="23">
        <f>SUM(TariefOpbouwBasisloon2,E10:E11)</f>
        <v>0</v>
      </c>
      <c r="E12" s="23"/>
      <c r="F12" s="23">
        <f>SUM(TariefOpbouwBasisloon3,G10:G11)</f>
        <v>0</v>
      </c>
      <c r="G12" s="23"/>
      <c r="H12" s="23">
        <f>SUM(TariefOpbouwBasisloon4,I10:I11)</f>
        <v>0</v>
      </c>
      <c r="I12" s="23"/>
      <c r="J12" s="23">
        <f>SUM(TariefOpbouwBasisloon5,K10:K11)</f>
        <v>0</v>
      </c>
      <c r="K12" s="23"/>
      <c r="L12" s="23">
        <f>SUM(TariefOpbouwBasisloon6,M10:M11)</f>
        <v>0</v>
      </c>
      <c r="M12" s="23"/>
      <c r="N12" s="23">
        <f>SUM(TariefOpbouwBasisloon7,O10:O11)</f>
        <v>0</v>
      </c>
      <c r="O12" s="23"/>
      <c r="P12" s="23">
        <f>SUM(TariefOpbouwBasisloon8,Q10:Q11)</f>
        <v>0</v>
      </c>
      <c r="Q12" s="23"/>
      <c r="R12" s="23">
        <f>SUM(TariefOpbouwBasisloon9,S10:S11)</f>
        <v>0</v>
      </c>
      <c r="S12" s="24"/>
    </row>
    <row r="13" spans="1:19" x14ac:dyDescent="0.35">
      <c r="A13" s="20" t="s">
        <v>51</v>
      </c>
      <c r="B13" s="25"/>
      <c r="C13" s="26">
        <f>TariefOpbouwUurloon1*B13</f>
        <v>0</v>
      </c>
      <c r="D13" s="25"/>
      <c r="E13" s="26">
        <f>TariefOpbouwUurloon2*D13</f>
        <v>0</v>
      </c>
      <c r="F13" s="25"/>
      <c r="G13" s="26">
        <f>TariefOpbouwUurloon3*F13</f>
        <v>0</v>
      </c>
      <c r="H13" s="25"/>
      <c r="I13" s="26">
        <f>TariefOpbouwUurloon4*H13</f>
        <v>0</v>
      </c>
      <c r="J13" s="25"/>
      <c r="K13" s="26">
        <f>TariefOpbouwUurloon5*J13</f>
        <v>0</v>
      </c>
      <c r="L13" s="25"/>
      <c r="M13" s="26">
        <f>TariefOpbouwUurloon6*L13</f>
        <v>0</v>
      </c>
      <c r="N13" s="25"/>
      <c r="O13" s="26">
        <f>TariefOpbouwUurloon7*N13</f>
        <v>0</v>
      </c>
      <c r="P13" s="25"/>
      <c r="Q13" s="26">
        <f>TariefOpbouwUurloon8*P13</f>
        <v>0</v>
      </c>
      <c r="R13" s="25"/>
      <c r="S13" s="27">
        <f>TariefOpbouwUurloon9*R13</f>
        <v>0</v>
      </c>
    </row>
    <row r="14" spans="1:19" x14ac:dyDescent="0.35">
      <c r="A14" s="11" t="s">
        <v>52</v>
      </c>
      <c r="B14" s="23">
        <f>SUM(TariefOpbouwUurloon1,C13:C13)</f>
        <v>0</v>
      </c>
      <c r="C14" s="23"/>
      <c r="D14" s="23">
        <f>SUM(TariefOpbouwUurloon2,E13:E13)</f>
        <v>0</v>
      </c>
      <c r="E14" s="23"/>
      <c r="F14" s="23">
        <f>SUM(TariefOpbouwUurloon3,G13:G13)</f>
        <v>0</v>
      </c>
      <c r="G14" s="23"/>
      <c r="H14" s="23">
        <f>SUM(TariefOpbouwUurloon4,I13:I13)</f>
        <v>0</v>
      </c>
      <c r="I14" s="23"/>
      <c r="J14" s="23">
        <f>SUM(TariefOpbouwUurloon5,K13:K13)</f>
        <v>0</v>
      </c>
      <c r="K14" s="23"/>
      <c r="L14" s="23">
        <f>SUM(TariefOpbouwUurloon6,M13:M13)</f>
        <v>0</v>
      </c>
      <c r="M14" s="23"/>
      <c r="N14" s="23">
        <f>SUM(TariefOpbouwUurloon7,O13:O13)</f>
        <v>0</v>
      </c>
      <c r="O14" s="23"/>
      <c r="P14" s="23">
        <f>SUM(TariefOpbouwUurloon8,Q13:Q13)</f>
        <v>0</v>
      </c>
      <c r="Q14" s="23"/>
      <c r="R14" s="23">
        <f>SUM(TariefOpbouwUurloon9,S13:S13)</f>
        <v>0</v>
      </c>
      <c r="S14" s="24"/>
    </row>
    <row r="15" spans="1:19" x14ac:dyDescent="0.35">
      <c r="A15" s="20" t="s">
        <v>53</v>
      </c>
      <c r="B15" s="25"/>
      <c r="C15" s="26">
        <f>TariefOpbouwUurloonkosten1*B15</f>
        <v>0</v>
      </c>
      <c r="D15" s="25"/>
      <c r="E15" s="26">
        <f>TariefOpbouwUurloonkosten2*D15</f>
        <v>0</v>
      </c>
      <c r="F15" s="25"/>
      <c r="G15" s="26">
        <f>TariefOpbouwUurloonkosten3*F15</f>
        <v>0</v>
      </c>
      <c r="H15" s="25"/>
      <c r="I15" s="26">
        <f>TariefOpbouwUurloonkosten4*H15</f>
        <v>0</v>
      </c>
      <c r="J15" s="25"/>
      <c r="K15" s="26">
        <f>TariefOpbouwUurloonkosten5*J15</f>
        <v>0</v>
      </c>
      <c r="L15" s="25"/>
      <c r="M15" s="26">
        <f>TariefOpbouwUurloonkosten6*L15</f>
        <v>0</v>
      </c>
      <c r="N15" s="25"/>
      <c r="O15" s="26">
        <f>TariefOpbouwUurloonkosten7*N15</f>
        <v>0</v>
      </c>
      <c r="P15" s="25"/>
      <c r="Q15" s="26">
        <f>TariefOpbouwUurloonkosten8*P15</f>
        <v>0</v>
      </c>
      <c r="R15" s="25"/>
      <c r="S15" s="27">
        <f>TariefOpbouwUurloonkosten9*R15</f>
        <v>0</v>
      </c>
    </row>
    <row r="16" spans="1:19" x14ac:dyDescent="0.35">
      <c r="A16" s="20" t="s">
        <v>54</v>
      </c>
      <c r="B16" s="25"/>
      <c r="C16" s="26">
        <f>TariefOpbouwUurloonkosten1*B16</f>
        <v>0</v>
      </c>
      <c r="D16" s="25"/>
      <c r="E16" s="26">
        <f>TariefOpbouwUurloonkosten2*D16</f>
        <v>0</v>
      </c>
      <c r="F16" s="25"/>
      <c r="G16" s="26">
        <f>TariefOpbouwUurloonkosten3*F16</f>
        <v>0</v>
      </c>
      <c r="H16" s="25"/>
      <c r="I16" s="26">
        <f>TariefOpbouwUurloonkosten4*H16</f>
        <v>0</v>
      </c>
      <c r="J16" s="25"/>
      <c r="K16" s="26">
        <f>TariefOpbouwUurloonkosten5*J16</f>
        <v>0</v>
      </c>
      <c r="L16" s="25"/>
      <c r="M16" s="26">
        <f>TariefOpbouwUurloonkosten6*L16</f>
        <v>0</v>
      </c>
      <c r="N16" s="25"/>
      <c r="O16" s="26">
        <f>TariefOpbouwUurloonkosten7*N16</f>
        <v>0</v>
      </c>
      <c r="P16" s="25"/>
      <c r="Q16" s="26">
        <f>TariefOpbouwUurloonkosten8*P16</f>
        <v>0</v>
      </c>
      <c r="R16" s="25"/>
      <c r="S16" s="27">
        <f>TariefOpbouwUurloonkosten9*R16</f>
        <v>0</v>
      </c>
    </row>
    <row r="17" spans="1:19" x14ac:dyDescent="0.35">
      <c r="A17" s="20" t="s">
        <v>55</v>
      </c>
      <c r="B17" s="25"/>
      <c r="C17" s="26">
        <f>TariefOpbouwUurloonkosten1*B17</f>
        <v>0</v>
      </c>
      <c r="D17" s="25"/>
      <c r="E17" s="26">
        <f>TariefOpbouwUurloonkosten2*D17</f>
        <v>0</v>
      </c>
      <c r="F17" s="25"/>
      <c r="G17" s="26">
        <f>TariefOpbouwUurloonkosten3*F17</f>
        <v>0</v>
      </c>
      <c r="H17" s="25"/>
      <c r="I17" s="26">
        <f>TariefOpbouwUurloonkosten4*H17</f>
        <v>0</v>
      </c>
      <c r="J17" s="25"/>
      <c r="K17" s="26">
        <f>TariefOpbouwUurloonkosten5*J17</f>
        <v>0</v>
      </c>
      <c r="L17" s="25"/>
      <c r="M17" s="26">
        <f>TariefOpbouwUurloonkosten6*L17</f>
        <v>0</v>
      </c>
      <c r="N17" s="25"/>
      <c r="O17" s="26">
        <f>TariefOpbouwUurloonkosten7*N17</f>
        <v>0</v>
      </c>
      <c r="P17" s="25"/>
      <c r="Q17" s="26">
        <f>TariefOpbouwUurloonkosten8*P17</f>
        <v>0</v>
      </c>
      <c r="R17" s="25"/>
      <c r="S17" s="27">
        <f>TariefOpbouwUurloonkosten9*R17</f>
        <v>0</v>
      </c>
    </row>
    <row r="18" spans="1:19" x14ac:dyDescent="0.35">
      <c r="A18" s="20" t="s">
        <v>56</v>
      </c>
      <c r="B18" s="25"/>
      <c r="C18" s="26">
        <f>TariefOpbouwUurloonkosten1*B18</f>
        <v>0</v>
      </c>
      <c r="D18" s="25"/>
      <c r="E18" s="26">
        <f>TariefOpbouwUurloonkosten2*D18</f>
        <v>0</v>
      </c>
      <c r="F18" s="25"/>
      <c r="G18" s="26">
        <f>TariefOpbouwUurloonkosten3*F18</f>
        <v>0</v>
      </c>
      <c r="H18" s="25"/>
      <c r="I18" s="26">
        <f>TariefOpbouwUurloonkosten4*H18</f>
        <v>0</v>
      </c>
      <c r="J18" s="25"/>
      <c r="K18" s="26">
        <f>TariefOpbouwUurloonkosten5*J18</f>
        <v>0</v>
      </c>
      <c r="L18" s="25"/>
      <c r="M18" s="26">
        <f>TariefOpbouwUurloonkosten6*L18</f>
        <v>0</v>
      </c>
      <c r="N18" s="25"/>
      <c r="O18" s="26">
        <f>TariefOpbouwUurloonkosten7*N18</f>
        <v>0</v>
      </c>
      <c r="P18" s="25"/>
      <c r="Q18" s="26">
        <f>TariefOpbouwUurloonkosten8*P18</f>
        <v>0</v>
      </c>
      <c r="R18" s="25"/>
      <c r="S18" s="27">
        <f>TariefOpbouwUurloonkosten9*R18</f>
        <v>0</v>
      </c>
    </row>
    <row r="19" spans="1:19" x14ac:dyDescent="0.35">
      <c r="A19" s="11" t="s">
        <v>57</v>
      </c>
      <c r="B19" s="23">
        <f>SUM(TariefOpbouwUurloonkosten1,C15:C18)</f>
        <v>0</v>
      </c>
      <c r="C19" s="23"/>
      <c r="D19" s="23">
        <f>SUM(TariefOpbouwUurloonkosten2,E15:E18)</f>
        <v>0</v>
      </c>
      <c r="E19" s="23"/>
      <c r="F19" s="23">
        <f>SUM(TariefOpbouwUurloonkosten3,G15:G18)</f>
        <v>0</v>
      </c>
      <c r="G19" s="23"/>
      <c r="H19" s="23">
        <f>SUM(TariefOpbouwUurloonkosten4,I15:I18)</f>
        <v>0</v>
      </c>
      <c r="I19" s="23"/>
      <c r="J19" s="23">
        <f>SUM(TariefOpbouwUurloonkosten5,K15:K18)</f>
        <v>0</v>
      </c>
      <c r="K19" s="23"/>
      <c r="L19" s="23">
        <f>SUM(TariefOpbouwUurloonkosten6,M15:M18)</f>
        <v>0</v>
      </c>
      <c r="M19" s="23"/>
      <c r="N19" s="23">
        <f>SUM(TariefOpbouwUurloonkosten7,O15:O18)</f>
        <v>0</v>
      </c>
      <c r="O19" s="23"/>
      <c r="P19" s="23">
        <f>SUM(TariefOpbouwUurloonkosten8,Q15:Q18)</f>
        <v>0</v>
      </c>
      <c r="Q19" s="23"/>
      <c r="R19" s="23">
        <f>SUM(TariefOpbouwUurloonkosten9,S15:S18)</f>
        <v>0</v>
      </c>
      <c r="S19" s="24"/>
    </row>
    <row r="20" spans="1:19" x14ac:dyDescent="0.35">
      <c r="A20" s="20" t="s">
        <v>58</v>
      </c>
      <c r="B20" s="25"/>
      <c r="C20" s="26">
        <f>TariefOpbouwTotaalLoonkosten1*B20</f>
        <v>0</v>
      </c>
      <c r="D20" s="25"/>
      <c r="E20" s="26">
        <f>TariefOpbouwTotaalLoonkosten2*D20</f>
        <v>0</v>
      </c>
      <c r="F20" s="25"/>
      <c r="G20" s="26">
        <f>TariefOpbouwTotaalLoonkosten3*F20</f>
        <v>0</v>
      </c>
      <c r="H20" s="25"/>
      <c r="I20" s="26">
        <f>TariefOpbouwTotaalLoonkosten4*H20</f>
        <v>0</v>
      </c>
      <c r="J20" s="25"/>
      <c r="K20" s="26">
        <f>TariefOpbouwTotaalLoonkosten5*J20</f>
        <v>0</v>
      </c>
      <c r="L20" s="25"/>
      <c r="M20" s="26">
        <f>TariefOpbouwTotaalLoonkosten6*L20</f>
        <v>0</v>
      </c>
      <c r="N20" s="25"/>
      <c r="O20" s="26">
        <f>TariefOpbouwTotaalLoonkosten7*N20</f>
        <v>0</v>
      </c>
      <c r="P20" s="25"/>
      <c r="Q20" s="26">
        <f>TariefOpbouwTotaalLoonkosten8*P20</f>
        <v>0</v>
      </c>
      <c r="R20" s="25"/>
      <c r="S20" s="27">
        <f>TariefOpbouwTotaalLoonkosten9*R20</f>
        <v>0</v>
      </c>
    </row>
    <row r="21" spans="1:19" x14ac:dyDescent="0.35">
      <c r="A21" s="20" t="s">
        <v>59</v>
      </c>
      <c r="B21" s="25"/>
      <c r="C21" s="26">
        <f>TariefOpbouwTotaalLoonkosten1*B21</f>
        <v>0</v>
      </c>
      <c r="D21" s="25"/>
      <c r="E21" s="26">
        <f>TariefOpbouwTotaalLoonkosten2*D21</f>
        <v>0</v>
      </c>
      <c r="F21" s="25"/>
      <c r="G21" s="26">
        <f>TariefOpbouwTotaalLoonkosten3*F21</f>
        <v>0</v>
      </c>
      <c r="H21" s="25"/>
      <c r="I21" s="26">
        <f>TariefOpbouwTotaalLoonkosten4*H21</f>
        <v>0</v>
      </c>
      <c r="J21" s="25"/>
      <c r="K21" s="26">
        <f>TariefOpbouwTotaalLoonkosten5*J21</f>
        <v>0</v>
      </c>
      <c r="L21" s="25"/>
      <c r="M21" s="26">
        <f>TariefOpbouwTotaalLoonkosten6*L21</f>
        <v>0</v>
      </c>
      <c r="N21" s="25"/>
      <c r="O21" s="26">
        <f>TariefOpbouwTotaalLoonkosten7*N21</f>
        <v>0</v>
      </c>
      <c r="P21" s="25"/>
      <c r="Q21" s="26">
        <f>TariefOpbouwTotaalLoonkosten8*P21</f>
        <v>0</v>
      </c>
      <c r="R21" s="25"/>
      <c r="S21" s="27">
        <f>TariefOpbouwTotaalLoonkosten9*R21</f>
        <v>0</v>
      </c>
    </row>
    <row r="22" spans="1:19" x14ac:dyDescent="0.35">
      <c r="A22" s="20" t="s">
        <v>60</v>
      </c>
      <c r="B22" s="25"/>
      <c r="C22" s="26">
        <f>TariefOpbouwTotaalLoonkosten1*B22</f>
        <v>0</v>
      </c>
      <c r="D22" s="25"/>
      <c r="E22" s="26">
        <f>TariefOpbouwTotaalLoonkosten2*D22</f>
        <v>0</v>
      </c>
      <c r="F22" s="25"/>
      <c r="G22" s="26">
        <f>TariefOpbouwTotaalLoonkosten3*F22</f>
        <v>0</v>
      </c>
      <c r="H22" s="25"/>
      <c r="I22" s="26">
        <f>TariefOpbouwTotaalLoonkosten4*H22</f>
        <v>0</v>
      </c>
      <c r="J22" s="25"/>
      <c r="K22" s="26">
        <f>TariefOpbouwTotaalLoonkosten5*J22</f>
        <v>0</v>
      </c>
      <c r="L22" s="25"/>
      <c r="M22" s="26">
        <f>TariefOpbouwTotaalLoonkosten6*L22</f>
        <v>0</v>
      </c>
      <c r="N22" s="25"/>
      <c r="O22" s="26">
        <f>TariefOpbouwTotaalLoonkosten7*N22</f>
        <v>0</v>
      </c>
      <c r="P22" s="25"/>
      <c r="Q22" s="26">
        <f>TariefOpbouwTotaalLoonkosten8*P22</f>
        <v>0</v>
      </c>
      <c r="R22" s="25"/>
      <c r="S22" s="27">
        <f>TariefOpbouwTotaalLoonkosten9*R22</f>
        <v>0</v>
      </c>
    </row>
    <row r="23" spans="1:19" x14ac:dyDescent="0.35">
      <c r="A23" s="20" t="s">
        <v>61</v>
      </c>
      <c r="B23" s="25"/>
      <c r="C23" s="26">
        <f>TariefOpbouwTotaalLoonkosten1*B23</f>
        <v>0</v>
      </c>
      <c r="D23" s="25"/>
      <c r="E23" s="26">
        <f>TariefOpbouwTotaalLoonkosten2*D23</f>
        <v>0</v>
      </c>
      <c r="F23" s="25"/>
      <c r="G23" s="26">
        <f>TariefOpbouwTotaalLoonkosten3*F23</f>
        <v>0</v>
      </c>
      <c r="H23" s="25"/>
      <c r="I23" s="26">
        <f>TariefOpbouwTotaalLoonkosten4*H23</f>
        <v>0</v>
      </c>
      <c r="J23" s="25"/>
      <c r="K23" s="26">
        <f>TariefOpbouwTotaalLoonkosten5*J23</f>
        <v>0</v>
      </c>
      <c r="L23" s="25"/>
      <c r="M23" s="26">
        <f>TariefOpbouwTotaalLoonkosten6*L23</f>
        <v>0</v>
      </c>
      <c r="N23" s="25"/>
      <c r="O23" s="26">
        <f>TariefOpbouwTotaalLoonkosten7*N23</f>
        <v>0</v>
      </c>
      <c r="P23" s="25"/>
      <c r="Q23" s="26">
        <f>TariefOpbouwTotaalLoonkosten8*P23</f>
        <v>0</v>
      </c>
      <c r="R23" s="25"/>
      <c r="S23" s="27">
        <f>TariefOpbouwTotaalLoonkosten9*R23</f>
        <v>0</v>
      </c>
    </row>
    <row r="24" spans="1:19" x14ac:dyDescent="0.35">
      <c r="A24" s="20" t="s">
        <v>62</v>
      </c>
      <c r="B24" s="25"/>
      <c r="C24" s="26">
        <f>TariefOpbouwTotaalLoonkosten1*B24</f>
        <v>0</v>
      </c>
      <c r="D24" s="25"/>
      <c r="E24" s="26">
        <f>TariefOpbouwTotaalLoonkosten2*D24</f>
        <v>0</v>
      </c>
      <c r="F24" s="25"/>
      <c r="G24" s="26">
        <f>TariefOpbouwTotaalLoonkosten3*F24</f>
        <v>0</v>
      </c>
      <c r="H24" s="25"/>
      <c r="I24" s="26">
        <f>TariefOpbouwTotaalLoonkosten4*H24</f>
        <v>0</v>
      </c>
      <c r="J24" s="25"/>
      <c r="K24" s="26">
        <f>TariefOpbouwTotaalLoonkosten5*J24</f>
        <v>0</v>
      </c>
      <c r="L24" s="25"/>
      <c r="M24" s="26">
        <f>TariefOpbouwTotaalLoonkosten6*L24</f>
        <v>0</v>
      </c>
      <c r="N24" s="25"/>
      <c r="O24" s="26">
        <f>TariefOpbouwTotaalLoonkosten7*N24</f>
        <v>0</v>
      </c>
      <c r="P24" s="25"/>
      <c r="Q24" s="26">
        <f>TariefOpbouwTotaalLoonkosten8*P24</f>
        <v>0</v>
      </c>
      <c r="R24" s="25"/>
      <c r="S24" s="27">
        <f>TariefOpbouwTotaalLoonkosten9*R24</f>
        <v>0</v>
      </c>
    </row>
    <row r="25" spans="1:19" x14ac:dyDescent="0.35">
      <c r="A25" s="20" t="s">
        <v>63</v>
      </c>
      <c r="B25" s="25"/>
      <c r="C25" s="26">
        <f>TariefOpbouwTotaalLoonkosten1*B25</f>
        <v>0</v>
      </c>
      <c r="D25" s="25"/>
      <c r="E25" s="26">
        <f>TariefOpbouwTotaalLoonkosten2*D25</f>
        <v>0</v>
      </c>
      <c r="F25" s="25"/>
      <c r="G25" s="26">
        <f>TariefOpbouwTotaalLoonkosten3*F25</f>
        <v>0</v>
      </c>
      <c r="H25" s="25"/>
      <c r="I25" s="26">
        <f>TariefOpbouwTotaalLoonkosten4*H25</f>
        <v>0</v>
      </c>
      <c r="J25" s="25"/>
      <c r="K25" s="26">
        <f>TariefOpbouwTotaalLoonkosten5*J25</f>
        <v>0</v>
      </c>
      <c r="L25" s="25"/>
      <c r="M25" s="26">
        <f>TariefOpbouwTotaalLoonkosten6*L25</f>
        <v>0</v>
      </c>
      <c r="N25" s="25"/>
      <c r="O25" s="26">
        <f>TariefOpbouwTotaalLoonkosten7*N25</f>
        <v>0</v>
      </c>
      <c r="P25" s="25"/>
      <c r="Q25" s="26">
        <f>TariefOpbouwTotaalLoonkosten8*P25</f>
        <v>0</v>
      </c>
      <c r="R25" s="25"/>
      <c r="S25" s="27">
        <f>TariefOpbouwTotaalLoonkosten9*R25</f>
        <v>0</v>
      </c>
    </row>
    <row r="26" spans="1:19" x14ac:dyDescent="0.35">
      <c r="A26" s="11" t="s">
        <v>64</v>
      </c>
      <c r="B26" s="23">
        <f>SUM(TariefOpbouwTotaalLoonkosten1,C20:C25)</f>
        <v>0</v>
      </c>
      <c r="C26" s="23"/>
      <c r="D26" s="23">
        <f>SUM(TariefOpbouwTotaalLoonkosten2,E20:E25)</f>
        <v>0</v>
      </c>
      <c r="E26" s="23"/>
      <c r="F26" s="23">
        <f>SUM(TariefOpbouwTotaalLoonkosten3,G20:G25)</f>
        <v>0</v>
      </c>
      <c r="G26" s="23"/>
      <c r="H26" s="23">
        <f>SUM(TariefOpbouwTotaalLoonkosten4,I20:I25)</f>
        <v>0</v>
      </c>
      <c r="I26" s="23"/>
      <c r="J26" s="23">
        <f>SUM(TariefOpbouwTotaalLoonkosten5,K20:K25)</f>
        <v>0</v>
      </c>
      <c r="K26" s="23"/>
      <c r="L26" s="23">
        <f>SUM(TariefOpbouwTotaalLoonkosten6,M20:M25)</f>
        <v>0</v>
      </c>
      <c r="M26" s="23"/>
      <c r="N26" s="23">
        <f>SUM(TariefOpbouwTotaalLoonkosten7,O20:O25)</f>
        <v>0</v>
      </c>
      <c r="O26" s="23"/>
      <c r="P26" s="23">
        <f>SUM(TariefOpbouwTotaalLoonkosten8,Q20:Q25)</f>
        <v>0</v>
      </c>
      <c r="Q26" s="23"/>
      <c r="R26" s="23">
        <f>SUM(TariefOpbouwTotaalLoonkosten9,S20:S25)</f>
        <v>0</v>
      </c>
      <c r="S26" s="24"/>
    </row>
    <row r="27" spans="1:19" x14ac:dyDescent="0.3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x14ac:dyDescent="0.35">
      <c r="A28" s="20" t="s">
        <v>65</v>
      </c>
      <c r="B28" s="25"/>
      <c r="C28" s="26">
        <f>TariefOpbouwDirecteKosten1*B28</f>
        <v>0</v>
      </c>
      <c r="D28" s="25"/>
      <c r="E28" s="26">
        <f>TariefOpbouwDirecteKosten2*D28</f>
        <v>0</v>
      </c>
      <c r="F28" s="25"/>
      <c r="G28" s="26">
        <f>TariefOpbouwDirecteKosten3*F28</f>
        <v>0</v>
      </c>
      <c r="H28" s="25"/>
      <c r="I28" s="26">
        <f>TariefOpbouwDirecteKosten4*H28</f>
        <v>0</v>
      </c>
      <c r="J28" s="25"/>
      <c r="K28" s="26">
        <f>TariefOpbouwDirecteKosten5*J28</f>
        <v>0</v>
      </c>
      <c r="L28" s="25"/>
      <c r="M28" s="26">
        <f>TariefOpbouwDirecteKosten6*L28</f>
        <v>0</v>
      </c>
      <c r="N28" s="25"/>
      <c r="O28" s="26">
        <f>TariefOpbouwDirecteKosten7*N28</f>
        <v>0</v>
      </c>
      <c r="P28" s="25"/>
      <c r="Q28" s="26">
        <f>TariefOpbouwDirecteKosten8*P28</f>
        <v>0</v>
      </c>
      <c r="R28" s="25"/>
      <c r="S28" s="27">
        <f>TariefOpbouwDirecteKosten9*R28</f>
        <v>0</v>
      </c>
    </row>
    <row r="29" spans="1:19" x14ac:dyDescent="0.35">
      <c r="A29" s="20" t="s">
        <v>66</v>
      </c>
      <c r="B29" s="25"/>
      <c r="C29" s="26">
        <f>TariefOpbouwDirecteKosten1*B29</f>
        <v>0</v>
      </c>
      <c r="D29" s="25"/>
      <c r="E29" s="26">
        <f>TariefOpbouwDirecteKosten2*D29</f>
        <v>0</v>
      </c>
      <c r="F29" s="25"/>
      <c r="G29" s="26">
        <f>TariefOpbouwDirecteKosten3*F29</f>
        <v>0</v>
      </c>
      <c r="H29" s="25"/>
      <c r="I29" s="26">
        <f>TariefOpbouwDirecteKosten4*H29</f>
        <v>0</v>
      </c>
      <c r="J29" s="25"/>
      <c r="K29" s="26">
        <f>TariefOpbouwDirecteKosten5*J29</f>
        <v>0</v>
      </c>
      <c r="L29" s="25"/>
      <c r="M29" s="26">
        <f>TariefOpbouwDirecteKosten6*L29</f>
        <v>0</v>
      </c>
      <c r="N29" s="25"/>
      <c r="O29" s="26">
        <f>TariefOpbouwDirecteKosten7*N29</f>
        <v>0</v>
      </c>
      <c r="P29" s="25"/>
      <c r="Q29" s="26">
        <f>TariefOpbouwDirecteKosten8*P29</f>
        <v>0</v>
      </c>
      <c r="R29" s="25"/>
      <c r="S29" s="27">
        <f>TariefOpbouwDirecteKosten9*R29</f>
        <v>0</v>
      </c>
    </row>
    <row r="30" spans="1:19" x14ac:dyDescent="0.35">
      <c r="A30" s="20" t="s">
        <v>67</v>
      </c>
      <c r="B30" s="25"/>
      <c r="C30" s="26">
        <f>TariefOpbouwDirecteKosten1*B30</f>
        <v>0</v>
      </c>
      <c r="D30" s="25"/>
      <c r="E30" s="26">
        <f>TariefOpbouwDirecteKosten2*D30</f>
        <v>0</v>
      </c>
      <c r="F30" s="25"/>
      <c r="G30" s="26">
        <f>TariefOpbouwDirecteKosten3*F30</f>
        <v>0</v>
      </c>
      <c r="H30" s="25"/>
      <c r="I30" s="26">
        <f>TariefOpbouwDirecteKosten4*H30</f>
        <v>0</v>
      </c>
      <c r="J30" s="25"/>
      <c r="K30" s="26">
        <f>TariefOpbouwDirecteKosten5*J30</f>
        <v>0</v>
      </c>
      <c r="L30" s="25"/>
      <c r="M30" s="26">
        <f>TariefOpbouwDirecteKosten6*L30</f>
        <v>0</v>
      </c>
      <c r="N30" s="25"/>
      <c r="O30" s="26">
        <f>TariefOpbouwDirecteKosten7*N30</f>
        <v>0</v>
      </c>
      <c r="P30" s="25"/>
      <c r="Q30" s="26">
        <f>TariefOpbouwDirecteKosten8*P30</f>
        <v>0</v>
      </c>
      <c r="R30" s="25"/>
      <c r="S30" s="27">
        <f>TariefOpbouwDirecteKosten9*R30</f>
        <v>0</v>
      </c>
    </row>
    <row r="31" spans="1:19" x14ac:dyDescent="0.35">
      <c r="A31" s="20" t="s">
        <v>68</v>
      </c>
      <c r="B31" s="25"/>
      <c r="C31" s="26">
        <f>TariefOpbouwDirecteKosten1*B31</f>
        <v>0</v>
      </c>
      <c r="D31" s="25"/>
      <c r="E31" s="26">
        <f>TariefOpbouwDirecteKosten2*D31</f>
        <v>0</v>
      </c>
      <c r="F31" s="25"/>
      <c r="G31" s="26">
        <f>TariefOpbouwDirecteKosten3*F31</f>
        <v>0</v>
      </c>
      <c r="H31" s="25"/>
      <c r="I31" s="26">
        <f>TariefOpbouwDirecteKosten4*H31</f>
        <v>0</v>
      </c>
      <c r="J31" s="25"/>
      <c r="K31" s="26">
        <f>TariefOpbouwDirecteKosten5*J31</f>
        <v>0</v>
      </c>
      <c r="L31" s="25"/>
      <c r="M31" s="26">
        <f>TariefOpbouwDirecteKosten6*L31</f>
        <v>0</v>
      </c>
      <c r="N31" s="25"/>
      <c r="O31" s="26">
        <f>TariefOpbouwDirecteKosten7*N31</f>
        <v>0</v>
      </c>
      <c r="P31" s="25"/>
      <c r="Q31" s="26">
        <f>TariefOpbouwDirecteKosten8*P31</f>
        <v>0</v>
      </c>
      <c r="R31" s="25"/>
      <c r="S31" s="27">
        <f>TariefOpbouwDirecteKosten9*R31</f>
        <v>0</v>
      </c>
    </row>
    <row r="32" spans="1:19" x14ac:dyDescent="0.35">
      <c r="A32" s="20" t="s">
        <v>69</v>
      </c>
      <c r="B32" s="25"/>
      <c r="C32" s="26">
        <f>TariefOpbouwDirecteKosten1*B32</f>
        <v>0</v>
      </c>
      <c r="D32" s="25"/>
      <c r="E32" s="26">
        <f>TariefOpbouwDirecteKosten2*D32</f>
        <v>0</v>
      </c>
      <c r="F32" s="25"/>
      <c r="G32" s="26">
        <f>TariefOpbouwDirecteKosten3*F32</f>
        <v>0</v>
      </c>
      <c r="H32" s="25"/>
      <c r="I32" s="26">
        <f>TariefOpbouwDirecteKosten4*H32</f>
        <v>0</v>
      </c>
      <c r="J32" s="25"/>
      <c r="K32" s="26">
        <f>TariefOpbouwDirecteKosten5*J32</f>
        <v>0</v>
      </c>
      <c r="L32" s="25"/>
      <c r="M32" s="26">
        <f>TariefOpbouwDirecteKosten6*L32</f>
        <v>0</v>
      </c>
      <c r="N32" s="25"/>
      <c r="O32" s="26">
        <f>TariefOpbouwDirecteKosten7*N32</f>
        <v>0</v>
      </c>
      <c r="P32" s="25"/>
      <c r="Q32" s="26">
        <f>TariefOpbouwDirecteKosten8*P32</f>
        <v>0</v>
      </c>
      <c r="R32" s="25"/>
      <c r="S32" s="27">
        <f>TariefOpbouwDirecteKosten9*R32</f>
        <v>0</v>
      </c>
    </row>
    <row r="33" spans="1:19" x14ac:dyDescent="0.35">
      <c r="A33" s="20" t="s">
        <v>70</v>
      </c>
      <c r="B33" s="25"/>
      <c r="C33" s="26">
        <f>TariefOpbouwDirecteKosten1*B33</f>
        <v>0</v>
      </c>
      <c r="D33" s="25"/>
      <c r="E33" s="26">
        <f>TariefOpbouwDirecteKosten2*D33</f>
        <v>0</v>
      </c>
      <c r="F33" s="25"/>
      <c r="G33" s="26">
        <f>TariefOpbouwDirecteKosten3*F33</f>
        <v>0</v>
      </c>
      <c r="H33" s="25"/>
      <c r="I33" s="26">
        <f>TariefOpbouwDirecteKosten4*H33</f>
        <v>0</v>
      </c>
      <c r="J33" s="25"/>
      <c r="K33" s="26">
        <f>TariefOpbouwDirecteKosten5*J33</f>
        <v>0</v>
      </c>
      <c r="L33" s="25"/>
      <c r="M33" s="26">
        <f>TariefOpbouwDirecteKosten6*L33</f>
        <v>0</v>
      </c>
      <c r="N33" s="25"/>
      <c r="O33" s="26">
        <f>TariefOpbouwDirecteKosten7*N33</f>
        <v>0</v>
      </c>
      <c r="P33" s="25"/>
      <c r="Q33" s="26">
        <f>TariefOpbouwDirecteKosten8*P33</f>
        <v>0</v>
      </c>
      <c r="R33" s="25"/>
      <c r="S33" s="27">
        <f>TariefOpbouwDirecteKosten9*R33</f>
        <v>0</v>
      </c>
    </row>
    <row r="34" spans="1:19" x14ac:dyDescent="0.35">
      <c r="A34" s="20" t="s">
        <v>71</v>
      </c>
      <c r="B34" s="25"/>
      <c r="C34" s="26">
        <f>TariefOpbouwDirecteKosten1*B34</f>
        <v>0</v>
      </c>
      <c r="D34" s="25"/>
      <c r="E34" s="26">
        <f>TariefOpbouwDirecteKosten2*D34</f>
        <v>0</v>
      </c>
      <c r="F34" s="25"/>
      <c r="G34" s="26">
        <f>TariefOpbouwDirecteKosten3*F34</f>
        <v>0</v>
      </c>
      <c r="H34" s="25"/>
      <c r="I34" s="26">
        <f>TariefOpbouwDirecteKosten4*H34</f>
        <v>0</v>
      </c>
      <c r="J34" s="25"/>
      <c r="K34" s="26">
        <f>TariefOpbouwDirecteKosten5*J34</f>
        <v>0</v>
      </c>
      <c r="L34" s="25"/>
      <c r="M34" s="26">
        <f>TariefOpbouwDirecteKosten6*L34</f>
        <v>0</v>
      </c>
      <c r="N34" s="25"/>
      <c r="O34" s="26">
        <f>TariefOpbouwDirecteKosten7*N34</f>
        <v>0</v>
      </c>
      <c r="P34" s="25"/>
      <c r="Q34" s="26">
        <f>TariefOpbouwDirecteKosten8*P34</f>
        <v>0</v>
      </c>
      <c r="R34" s="25"/>
      <c r="S34" s="27">
        <f>TariefOpbouwDirecteKosten9*R34</f>
        <v>0</v>
      </c>
    </row>
    <row r="35" spans="1:19" x14ac:dyDescent="0.35">
      <c r="A35" s="11" t="s">
        <v>72</v>
      </c>
      <c r="B35" s="23">
        <f>SUM(C28:C34)</f>
        <v>0</v>
      </c>
      <c r="C35" s="23"/>
      <c r="D35" s="23">
        <f>SUM(E28:E34)</f>
        <v>0</v>
      </c>
      <c r="E35" s="23"/>
      <c r="F35" s="23">
        <f>SUM(G28:G34)</f>
        <v>0</v>
      </c>
      <c r="G35" s="23"/>
      <c r="H35" s="23">
        <f>SUM(I28:I34)</f>
        <v>0</v>
      </c>
      <c r="I35" s="23"/>
      <c r="J35" s="23">
        <f>SUM(K28:K34)</f>
        <v>0</v>
      </c>
      <c r="K35" s="23"/>
      <c r="L35" s="23">
        <f>SUM(M28:M34)</f>
        <v>0</v>
      </c>
      <c r="M35" s="23"/>
      <c r="N35" s="23">
        <f>SUM(O28:O34)</f>
        <v>0</v>
      </c>
      <c r="O35" s="23"/>
      <c r="P35" s="23">
        <f>SUM(Q28:Q34)</f>
        <v>0</v>
      </c>
      <c r="Q35" s="23"/>
      <c r="R35" s="23">
        <f>SUM(S28:S34)</f>
        <v>0</v>
      </c>
      <c r="S35" s="24"/>
    </row>
    <row r="36" spans="1:19" x14ac:dyDescent="0.3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x14ac:dyDescent="0.35">
      <c r="A37" s="11" t="s">
        <v>73</v>
      </c>
      <c r="B37" s="25"/>
      <c r="C37" s="26">
        <f>(TariefOpbouwDirecteKosten1+TariefOpbouwIndirecteKosten1)*B37</f>
        <v>0</v>
      </c>
      <c r="D37" s="25"/>
      <c r="E37" s="26">
        <f>(TariefOpbouwDirecteKosten2+TariefOpbouwIndirecteKosten2)*D37</f>
        <v>0</v>
      </c>
      <c r="F37" s="25"/>
      <c r="G37" s="26">
        <f>(TariefOpbouwDirecteKosten3+TariefOpbouwIndirecteKosten3)*F37</f>
        <v>0</v>
      </c>
      <c r="H37" s="25"/>
      <c r="I37" s="26">
        <f>(TariefOpbouwDirecteKosten4+TariefOpbouwIndirecteKosten4)*H37</f>
        <v>0</v>
      </c>
      <c r="J37" s="25"/>
      <c r="K37" s="26">
        <f>(TariefOpbouwDirecteKosten5+TariefOpbouwIndirecteKosten5)*J37</f>
        <v>0</v>
      </c>
      <c r="L37" s="25"/>
      <c r="M37" s="26">
        <f>(TariefOpbouwDirecteKosten6+TariefOpbouwIndirecteKosten6)*L37</f>
        <v>0</v>
      </c>
      <c r="N37" s="25"/>
      <c r="O37" s="26">
        <f>(TariefOpbouwDirecteKosten7+TariefOpbouwIndirecteKosten7)*N37</f>
        <v>0</v>
      </c>
      <c r="P37" s="25"/>
      <c r="Q37" s="26">
        <f>(TariefOpbouwDirecteKosten8+TariefOpbouwIndirecteKosten8)*P37</f>
        <v>0</v>
      </c>
      <c r="R37" s="25"/>
      <c r="S37" s="27">
        <f>(TariefOpbouwDirecteKosten9+TariefOpbouwIndirecteKosten9)*R37</f>
        <v>0</v>
      </c>
    </row>
    <row r="38" spans="1:19" x14ac:dyDescent="0.3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x14ac:dyDescent="0.35">
      <c r="A39" s="11" t="s">
        <v>74</v>
      </c>
      <c r="B39" s="23">
        <f>TariefOpbouwDirecteKosten1+TariefOpbouwIndirecteKosten1+TariefOpbouwRisicoWinst1</f>
        <v>0</v>
      </c>
      <c r="C39" s="23"/>
      <c r="D39" s="23">
        <f>TariefOpbouwDirecteKosten2+TariefOpbouwIndirecteKosten2+TariefOpbouwRisicoWinst2</f>
        <v>0</v>
      </c>
      <c r="E39" s="23"/>
      <c r="F39" s="23">
        <f>TariefOpbouwDirecteKosten3+TariefOpbouwIndirecteKosten3+TariefOpbouwRisicoWinst3</f>
        <v>0</v>
      </c>
      <c r="G39" s="23"/>
      <c r="H39" s="23">
        <f>TariefOpbouwDirecteKosten4+TariefOpbouwIndirecteKosten4+TariefOpbouwRisicoWinst4</f>
        <v>0</v>
      </c>
      <c r="I39" s="23"/>
      <c r="J39" s="23">
        <f>TariefOpbouwDirecteKosten5+TariefOpbouwIndirecteKosten5+TariefOpbouwRisicoWinst5</f>
        <v>0</v>
      </c>
      <c r="K39" s="23"/>
      <c r="L39" s="23">
        <f>TariefOpbouwDirecteKosten6+TariefOpbouwIndirecteKosten6+TariefOpbouwRisicoWinst6</f>
        <v>0</v>
      </c>
      <c r="M39" s="23"/>
      <c r="N39" s="23">
        <f>TariefOpbouwDirecteKosten7+TariefOpbouwIndirecteKosten7+TariefOpbouwRisicoWinst7</f>
        <v>0</v>
      </c>
      <c r="O39" s="23"/>
      <c r="P39" s="23">
        <f>TariefOpbouwDirecteKosten8+TariefOpbouwIndirecteKosten8+TariefOpbouwRisicoWinst8</f>
        <v>0</v>
      </c>
      <c r="Q39" s="23"/>
      <c r="R39" s="23">
        <f>TariefOpbouwDirecteKosten9+TariefOpbouwIndirecteKosten9+TariefOpbouwRisicoWinst9</f>
        <v>0</v>
      </c>
      <c r="S39" s="24"/>
    </row>
    <row r="40" spans="1:19" x14ac:dyDescent="0.35">
      <c r="A40" s="11" t="s">
        <v>75</v>
      </c>
      <c r="B40" s="31" t="s">
        <v>76</v>
      </c>
      <c r="C40" s="31" t="s">
        <v>77</v>
      </c>
      <c r="D40" s="31" t="s">
        <v>76</v>
      </c>
      <c r="E40" s="31" t="s">
        <v>77</v>
      </c>
      <c r="F40" s="31" t="s">
        <v>76</v>
      </c>
      <c r="G40" s="31" t="s">
        <v>77</v>
      </c>
      <c r="H40" s="31" t="s">
        <v>76</v>
      </c>
      <c r="I40" s="31" t="s">
        <v>77</v>
      </c>
      <c r="J40" s="31" t="s">
        <v>76</v>
      </c>
      <c r="K40" s="31" t="s">
        <v>77</v>
      </c>
      <c r="L40" s="31" t="s">
        <v>76</v>
      </c>
      <c r="M40" s="31" t="s">
        <v>77</v>
      </c>
      <c r="N40" s="31" t="s">
        <v>76</v>
      </c>
      <c r="O40" s="31" t="s">
        <v>77</v>
      </c>
      <c r="P40" s="31" t="s">
        <v>76</v>
      </c>
      <c r="Q40" s="31" t="s">
        <v>77</v>
      </c>
      <c r="R40" s="31" t="s">
        <v>76</v>
      </c>
      <c r="S40" s="32" t="s">
        <v>77</v>
      </c>
    </row>
    <row r="41" spans="1:19" x14ac:dyDescent="0.35">
      <c r="A41" s="11" t="s">
        <v>78</v>
      </c>
      <c r="B41" s="33">
        <v>0.3</v>
      </c>
      <c r="C41" s="26">
        <f>((1+B41)*TariefOpbouwTotaalLoonkosten1+TariefOpbouwDirecteKosten1-TariefOpbouwTotaalLoonkosten1+TariefOpbouwIndirecteKosten1)*(1+TariefOpbouwRisicoWinstPercentage1)</f>
        <v>0</v>
      </c>
      <c r="D41" s="33">
        <v>0.3</v>
      </c>
      <c r="E41" s="26">
        <f>((1+D41)*TariefOpbouwTotaalLoonkosten2+TariefOpbouwDirecteKosten2-TariefOpbouwTotaalLoonkosten2+TariefOpbouwIndirecteKosten2)*(1+TariefOpbouwRisicoWinstPercentage2)</f>
        <v>0</v>
      </c>
      <c r="F41" s="33">
        <v>0.3</v>
      </c>
      <c r="G41" s="26">
        <f>((1+F41)*TariefOpbouwTotaalLoonkosten3+TariefOpbouwDirecteKosten3-TariefOpbouwTotaalLoonkosten3+TariefOpbouwIndirecteKosten3)*(1+TariefOpbouwRisicoWinstPercentage3)</f>
        <v>0</v>
      </c>
      <c r="H41" s="33">
        <v>0.3</v>
      </c>
      <c r="I41" s="26">
        <f>((1+H41)*TariefOpbouwTotaalLoonkosten4+TariefOpbouwDirecteKosten4-TariefOpbouwTotaalLoonkosten4+TariefOpbouwIndirecteKosten4)*(1+TariefOpbouwRisicoWinstPercentage4)</f>
        <v>0</v>
      </c>
      <c r="J41" s="33">
        <v>0.3</v>
      </c>
      <c r="K41" s="26">
        <f>((1+J41)*TariefOpbouwTotaalLoonkosten5+TariefOpbouwDirecteKosten5-TariefOpbouwTotaalLoonkosten5+TariefOpbouwIndirecteKosten5)*(1+TariefOpbouwRisicoWinstPercentage5)</f>
        <v>0</v>
      </c>
      <c r="L41" s="33">
        <v>0.3</v>
      </c>
      <c r="M41" s="26">
        <f>((1+L41)*TariefOpbouwTotaalLoonkosten6+TariefOpbouwDirecteKosten6-TariefOpbouwTotaalLoonkosten6+TariefOpbouwIndirecteKosten6)*(1+TariefOpbouwRisicoWinstPercentage6)</f>
        <v>0</v>
      </c>
      <c r="N41" s="33">
        <v>0.3</v>
      </c>
      <c r="O41" s="26">
        <f>((1+N41)*TariefOpbouwTotaalLoonkosten7+TariefOpbouwDirecteKosten7-TariefOpbouwTotaalLoonkosten7+TariefOpbouwIndirecteKosten7)*(1+TariefOpbouwRisicoWinstPercentage7)</f>
        <v>0</v>
      </c>
      <c r="P41" s="33">
        <v>0.3</v>
      </c>
      <c r="Q41" s="26">
        <f>((1+P41)*TariefOpbouwTotaalLoonkosten8+TariefOpbouwDirecteKosten8-TariefOpbouwTotaalLoonkosten8+TariefOpbouwIndirecteKosten8)*(1+TariefOpbouwRisicoWinstPercentage8)</f>
        <v>0</v>
      </c>
      <c r="R41" s="33">
        <v>0.3</v>
      </c>
      <c r="S41" s="27">
        <f>((1+R41)*TariefOpbouwTotaalLoonkosten9+TariefOpbouwDirecteKosten9-TariefOpbouwTotaalLoonkosten9+TariefOpbouwIndirecteKosten9)*(1+TariefOpbouwRisicoWinstPercentage9)</f>
        <v>0</v>
      </c>
    </row>
    <row r="42" spans="1:19" x14ac:dyDescent="0.35">
      <c r="A42" s="11" t="s">
        <v>79</v>
      </c>
      <c r="B42" s="33">
        <v>0.5</v>
      </c>
      <c r="C42" s="26">
        <f>((1+B42)*TariefOpbouwTotaalLoonkosten1+TariefOpbouwDirecteKosten1-TariefOpbouwTotaalLoonkosten1+TariefOpbouwIndirecteKosten1)*(1+TariefOpbouwRisicoWinstPercentage1)</f>
        <v>0</v>
      </c>
      <c r="D42" s="33">
        <v>0.5</v>
      </c>
      <c r="E42" s="26">
        <f>((1+D42)*TariefOpbouwTotaalLoonkosten2+TariefOpbouwDirecteKosten2-TariefOpbouwTotaalLoonkosten2+TariefOpbouwIndirecteKosten2)*(1+TariefOpbouwRisicoWinstPercentage2)</f>
        <v>0</v>
      </c>
      <c r="F42" s="33">
        <v>0.5</v>
      </c>
      <c r="G42" s="26">
        <f>((1+F42)*TariefOpbouwTotaalLoonkosten3+TariefOpbouwDirecteKosten3-TariefOpbouwTotaalLoonkosten3+TariefOpbouwIndirecteKosten3)*(1+TariefOpbouwRisicoWinstPercentage3)</f>
        <v>0</v>
      </c>
      <c r="H42" s="33">
        <v>0.5</v>
      </c>
      <c r="I42" s="26">
        <f>((1+H42)*TariefOpbouwTotaalLoonkosten4+TariefOpbouwDirecteKosten4-TariefOpbouwTotaalLoonkosten4+TariefOpbouwIndirecteKosten4)*(1+TariefOpbouwRisicoWinstPercentage4)</f>
        <v>0</v>
      </c>
      <c r="J42" s="33">
        <v>0.5</v>
      </c>
      <c r="K42" s="26">
        <f>((1+J42)*TariefOpbouwTotaalLoonkosten5+TariefOpbouwDirecteKosten5-TariefOpbouwTotaalLoonkosten5+TariefOpbouwIndirecteKosten5)*(1+TariefOpbouwRisicoWinstPercentage5)</f>
        <v>0</v>
      </c>
      <c r="L42" s="33">
        <v>0.5</v>
      </c>
      <c r="M42" s="26">
        <f>((1+L42)*TariefOpbouwTotaalLoonkosten6+TariefOpbouwDirecteKosten6-TariefOpbouwTotaalLoonkosten6+TariefOpbouwIndirecteKosten6)*(1+TariefOpbouwRisicoWinstPercentage6)</f>
        <v>0</v>
      </c>
      <c r="N42" s="33">
        <v>0.5</v>
      </c>
      <c r="O42" s="26">
        <f>((1+N42)*TariefOpbouwTotaalLoonkosten7+TariefOpbouwDirecteKosten7-TariefOpbouwTotaalLoonkosten7+TariefOpbouwIndirecteKosten7)*(1+TariefOpbouwRisicoWinstPercentage7)</f>
        <v>0</v>
      </c>
      <c r="P42" s="33">
        <v>0.5</v>
      </c>
      <c r="Q42" s="26">
        <f>((1+P42)*TariefOpbouwTotaalLoonkosten8+TariefOpbouwDirecteKosten8-TariefOpbouwTotaalLoonkosten8+TariefOpbouwIndirecteKosten8)*(1+TariefOpbouwRisicoWinstPercentage8)</f>
        <v>0</v>
      </c>
      <c r="R42" s="33">
        <v>0.5</v>
      </c>
      <c r="S42" s="27">
        <f>((1+R42)*TariefOpbouwTotaalLoonkosten9+TariefOpbouwDirecteKosten9-TariefOpbouwTotaalLoonkosten9+TariefOpbouwIndirecteKosten9)*(1+TariefOpbouwRisicoWinstPercentage9)</f>
        <v>0</v>
      </c>
    </row>
    <row r="43" spans="1:19" x14ac:dyDescent="0.35">
      <c r="A43" s="34" t="s">
        <v>80</v>
      </c>
      <c r="B43" s="35">
        <v>1.5</v>
      </c>
      <c r="C43" s="36">
        <f>((1+B43)*TariefOpbouwTotaalLoonkosten1+TariefOpbouwDirecteKosten1-TariefOpbouwTotaalLoonkosten1+TariefOpbouwIndirecteKosten1)*(1+TariefOpbouwRisicoWinstPercentage1)</f>
        <v>0</v>
      </c>
      <c r="D43" s="35">
        <v>1.5</v>
      </c>
      <c r="E43" s="36">
        <f>((1+D43)*TariefOpbouwTotaalLoonkosten2+TariefOpbouwDirecteKosten2-TariefOpbouwTotaalLoonkosten2+TariefOpbouwIndirecteKosten2)*(1+TariefOpbouwRisicoWinstPercentage2)</f>
        <v>0</v>
      </c>
      <c r="F43" s="35">
        <v>1.5</v>
      </c>
      <c r="G43" s="36">
        <f>((1+F43)*TariefOpbouwTotaalLoonkosten3+TariefOpbouwDirecteKosten3-TariefOpbouwTotaalLoonkosten3+TariefOpbouwIndirecteKosten3)*(1+TariefOpbouwRisicoWinstPercentage3)</f>
        <v>0</v>
      </c>
      <c r="H43" s="35">
        <v>1.5</v>
      </c>
      <c r="I43" s="36">
        <f>((1+H43)*TariefOpbouwTotaalLoonkosten4+TariefOpbouwDirecteKosten4-TariefOpbouwTotaalLoonkosten4+TariefOpbouwIndirecteKosten4)*(1+TariefOpbouwRisicoWinstPercentage4)</f>
        <v>0</v>
      </c>
      <c r="J43" s="35">
        <v>1.5</v>
      </c>
      <c r="K43" s="36">
        <f>((1+J43)*TariefOpbouwTotaalLoonkosten5+TariefOpbouwDirecteKosten5-TariefOpbouwTotaalLoonkosten5+TariefOpbouwIndirecteKosten5)*(1+TariefOpbouwRisicoWinstPercentage5)</f>
        <v>0</v>
      </c>
      <c r="L43" s="35">
        <v>1.5</v>
      </c>
      <c r="M43" s="36">
        <f>((1+L43)*TariefOpbouwTotaalLoonkosten6+TariefOpbouwDirecteKosten6-TariefOpbouwTotaalLoonkosten6+TariefOpbouwIndirecteKosten6)*(1+TariefOpbouwRisicoWinstPercentage6)</f>
        <v>0</v>
      </c>
      <c r="N43" s="35">
        <v>1.5</v>
      </c>
      <c r="O43" s="36">
        <f>((1+N43)*TariefOpbouwTotaalLoonkosten7+TariefOpbouwDirecteKosten7-TariefOpbouwTotaalLoonkosten7+TariefOpbouwIndirecteKosten7)*(1+TariefOpbouwRisicoWinstPercentage7)</f>
        <v>0</v>
      </c>
      <c r="P43" s="35">
        <v>1.5</v>
      </c>
      <c r="Q43" s="36">
        <f>((1+P43)*TariefOpbouwTotaalLoonkosten8+TariefOpbouwDirecteKosten8-TariefOpbouwTotaalLoonkosten8+TariefOpbouwIndirecteKosten8)*(1+TariefOpbouwRisicoWinstPercentage8)</f>
        <v>0</v>
      </c>
      <c r="R43" s="35">
        <v>1.5</v>
      </c>
      <c r="S43" s="37">
        <f>((1+R43)*TariefOpbouwTotaalLoonkosten9+TariefOpbouwDirecteKosten9-TariefOpbouwTotaalLoonkosten9+TariefOpbouwIndirecteKosten9)*(1+TariefOpbouwRisicoWinstPercentage9)</f>
        <v>0</v>
      </c>
    </row>
    <row r="45" spans="1:19" ht="29" customHeight="1" x14ac:dyDescent="0.35">
      <c r="A45" s="8" t="s">
        <v>81</v>
      </c>
      <c r="B45" s="38" t="s">
        <v>82</v>
      </c>
      <c r="C45" s="38"/>
      <c r="D45" s="38" t="s">
        <v>83</v>
      </c>
      <c r="E45" s="38"/>
      <c r="F45" s="38" t="s">
        <v>84</v>
      </c>
      <c r="G45" s="39"/>
    </row>
    <row r="46" spans="1:19" x14ac:dyDescent="0.35">
      <c r="A46" s="28"/>
      <c r="B46" s="31" t="s">
        <v>85</v>
      </c>
      <c r="C46" s="31" t="s">
        <v>86</v>
      </c>
      <c r="D46" s="31" t="s">
        <v>85</v>
      </c>
      <c r="E46" s="31" t="s">
        <v>86</v>
      </c>
      <c r="F46" s="31" t="s">
        <v>85</v>
      </c>
      <c r="G46" s="32" t="s">
        <v>86</v>
      </c>
    </row>
    <row r="47" spans="1:19" x14ac:dyDescent="0.35">
      <c r="A47" s="40" t="str">
        <f>TariefOpbouwNaam1&amp;" "&amp;TariefOpbouwErvaring1</f>
        <v>Vakvolwassene &gt;3 dienstjaren</v>
      </c>
      <c r="B47" s="25"/>
      <c r="C47" s="26">
        <f>TariefOpbouwTarief1</f>
        <v>0</v>
      </c>
      <c r="D47" s="25"/>
      <c r="E47" s="26">
        <f>TariefOpbouwTarief1W</f>
        <v>0</v>
      </c>
      <c r="F47" s="25"/>
      <c r="G47" s="27">
        <f>TariefOpbouwTarief1X</f>
        <v>0</v>
      </c>
    </row>
    <row r="48" spans="1:19" x14ac:dyDescent="0.35">
      <c r="A48" s="40" t="str">
        <f>TariefOpbouwNaam2&amp;" "&amp;TariefOpbouwErvaring2</f>
        <v xml:space="preserve">Vakvolwassene </v>
      </c>
      <c r="B48" s="25"/>
      <c r="C48" s="26">
        <f>TariefOpbouwTarief2</f>
        <v>0</v>
      </c>
      <c r="D48" s="25"/>
      <c r="E48" s="26">
        <f>TariefOpbouwTarief2W</f>
        <v>0</v>
      </c>
      <c r="F48" s="25"/>
      <c r="G48" s="27">
        <f>TariefOpbouwTarief2X</f>
        <v>0</v>
      </c>
    </row>
    <row r="49" spans="1:9" x14ac:dyDescent="0.35">
      <c r="A49" s="40" t="str">
        <f>TariefOpbouwNaam3&amp;" "&amp;TariefOpbouwErvaring3</f>
        <v>Leiding (meewerkend) voorman/vrouw</v>
      </c>
      <c r="B49" s="25"/>
      <c r="C49" s="26">
        <f>TariefOpbouwTarief3</f>
        <v>0</v>
      </c>
      <c r="D49" s="25"/>
      <c r="E49" s="26">
        <f>TariefOpbouwTarief3W</f>
        <v>0</v>
      </c>
      <c r="F49" s="25"/>
      <c r="G49" s="27">
        <f>TariefOpbouwTarief3X</f>
        <v>0</v>
      </c>
    </row>
    <row r="50" spans="1:9" x14ac:dyDescent="0.35">
      <c r="A50" s="40" t="str">
        <f>TariefOpbouwNaam4&amp;" "&amp;TariefOpbouwErvaring4</f>
        <v>Vakvolwassene dagkracht</v>
      </c>
      <c r="B50" s="25"/>
      <c r="C50" s="26">
        <f>TariefOpbouwTarief4</f>
        <v>0</v>
      </c>
      <c r="D50" s="25"/>
      <c r="E50" s="26">
        <f>TariefOpbouwTarief4W</f>
        <v>0</v>
      </c>
      <c r="F50" s="25"/>
      <c r="G50" s="27">
        <f>TariefOpbouwTarief4X</f>
        <v>0</v>
      </c>
    </row>
    <row r="51" spans="1:9" x14ac:dyDescent="0.35">
      <c r="A51" s="11" t="s">
        <v>87</v>
      </c>
      <c r="B51" s="41" t="str">
        <f>IF(SUM(B47:B50)=1,SUM(B47:B50),"ongeldig")</f>
        <v>ongeldig</v>
      </c>
      <c r="C51" s="26">
        <f>SUMPRODUCT(B47:B50,C47:C50)</f>
        <v>0</v>
      </c>
      <c r="D51" s="41" t="str">
        <f>IF(SUM(D47:D50)=1,SUM(D47:D50),"ongeldig")</f>
        <v>ongeldig</v>
      </c>
      <c r="E51" s="26">
        <f>SUMPRODUCT(D47:D50,E47:E50)</f>
        <v>0</v>
      </c>
      <c r="F51" s="41" t="str">
        <f>IF(SUM(F47:F50)=1,SUM(F47:F50),"ongeldig")</f>
        <v>ongeldig</v>
      </c>
      <c r="G51" s="27">
        <f>SUMPRODUCT(F47:F50,G47:G50)</f>
        <v>0</v>
      </c>
    </row>
    <row r="52" spans="1:9" x14ac:dyDescent="0.35">
      <c r="A52" s="40" t="str">
        <f>TariefOpbouwNaam5&amp;" "&amp;TariefOpbouwErvaring5</f>
        <v>Leiding (niet-meewerkend) voorman/vrouw</v>
      </c>
      <c r="B52" s="25"/>
      <c r="C52" s="26">
        <f>TariefOpbouwTarief5</f>
        <v>0</v>
      </c>
      <c r="D52" s="25"/>
      <c r="E52" s="26">
        <f>TariefOpbouwTarief5W</f>
        <v>0</v>
      </c>
      <c r="F52" s="25"/>
      <c r="G52" s="27">
        <f>TariefOpbouwTarief5X</f>
        <v>0</v>
      </c>
    </row>
    <row r="53" spans="1:9" x14ac:dyDescent="0.35">
      <c r="A53" s="40" t="str">
        <f>TariefOpbouwNaam6&amp;" "&amp;TariefOpbouwErvaring6</f>
        <v>Leiding (niet-meewerkend) objectleider</v>
      </c>
      <c r="B53" s="25"/>
      <c r="C53" s="26">
        <f>TariefOpbouwTarief6</f>
        <v>0</v>
      </c>
      <c r="D53" s="25"/>
      <c r="E53" s="26">
        <f>TariefOpbouwTarief6W</f>
        <v>0</v>
      </c>
      <c r="F53" s="25"/>
      <c r="G53" s="27">
        <f>TariefOpbouwTarief6X</f>
        <v>0</v>
      </c>
    </row>
    <row r="54" spans="1:9" x14ac:dyDescent="0.35">
      <c r="A54" s="34" t="s">
        <v>88</v>
      </c>
      <c r="B54" s="42">
        <f>TariefUitvoering1+IF(SUM(B52:B53)&gt;0,SUMPRODUCT(B52:B53,C52:C53))</f>
        <v>0</v>
      </c>
      <c r="C54" s="42"/>
      <c r="D54" s="42">
        <f>TariefUitvoering6+IF(SUM(D52:D53)&gt;0,SUMPRODUCT(D52:D53,E52:E53))</f>
        <v>0</v>
      </c>
      <c r="E54" s="42"/>
      <c r="F54" s="42">
        <f>TariefUitvoering7+IF(SUM(F52:F53)&gt;0,SUMPRODUCT(F52:F53,G52:G53))</f>
        <v>0</v>
      </c>
      <c r="G54" s="43"/>
    </row>
    <row r="56" spans="1:9" ht="43.5" customHeight="1" x14ac:dyDescent="0.35">
      <c r="A56" s="8" t="s">
        <v>89</v>
      </c>
      <c r="B56" s="38" t="s">
        <v>90</v>
      </c>
      <c r="C56" s="38"/>
      <c r="D56" s="38" t="s">
        <v>91</v>
      </c>
      <c r="E56" s="38"/>
      <c r="F56" s="38" t="s">
        <v>92</v>
      </c>
      <c r="G56" s="38"/>
      <c r="H56" s="38" t="s">
        <v>93</v>
      </c>
      <c r="I56" s="39"/>
    </row>
    <row r="57" spans="1:9" x14ac:dyDescent="0.35">
      <c r="A57" s="28"/>
      <c r="B57" s="31" t="s">
        <v>85</v>
      </c>
      <c r="C57" s="31" t="s">
        <v>86</v>
      </c>
      <c r="D57" s="31" t="s">
        <v>85</v>
      </c>
      <c r="E57" s="31" t="s">
        <v>86</v>
      </c>
      <c r="F57" s="31" t="s">
        <v>85</v>
      </c>
      <c r="G57" s="31" t="s">
        <v>86</v>
      </c>
      <c r="H57" s="31" t="s">
        <v>85</v>
      </c>
      <c r="I57" s="32" t="s">
        <v>86</v>
      </c>
    </row>
    <row r="58" spans="1:9" x14ac:dyDescent="0.35">
      <c r="A58" s="40" t="str">
        <f>TariefOpbouwNaam7&amp;" "&amp;TariefOpbouwErvaring7</f>
        <v xml:space="preserve">Vakvolwassene regie </v>
      </c>
      <c r="B58" s="25"/>
      <c r="C58" s="26">
        <f>TariefOpbouwTarief7</f>
        <v>0</v>
      </c>
      <c r="D58" s="25"/>
      <c r="E58" s="26">
        <f>TariefOpbouwTarief7</f>
        <v>0</v>
      </c>
      <c r="F58" s="25"/>
      <c r="G58" s="26">
        <f>TariefOpbouwTarief7W</f>
        <v>0</v>
      </c>
      <c r="H58" s="25"/>
      <c r="I58" s="27">
        <f>TariefOpbouwTarief7X</f>
        <v>0</v>
      </c>
    </row>
    <row r="59" spans="1:9" x14ac:dyDescent="0.35">
      <c r="A59" s="40" t="str">
        <f>TariefOpbouwNaam8&amp;" "&amp;TariefOpbouwErvaring8</f>
        <v>Vakvolwassene regie specialist</v>
      </c>
      <c r="B59" s="25"/>
      <c r="C59" s="26">
        <f>TariefOpbouwTarief8</f>
        <v>0</v>
      </c>
      <c r="D59" s="25"/>
      <c r="E59" s="26">
        <f>TariefOpbouwTarief8</f>
        <v>0</v>
      </c>
      <c r="F59" s="25"/>
      <c r="G59" s="26">
        <f>TariefOpbouwTarief8W</f>
        <v>0</v>
      </c>
      <c r="H59" s="25"/>
      <c r="I59" s="27">
        <f>TariefOpbouwTarief8X</f>
        <v>0</v>
      </c>
    </row>
    <row r="60" spans="1:9" x14ac:dyDescent="0.35">
      <c r="A60" s="11" t="s">
        <v>87</v>
      </c>
      <c r="B60" s="41" t="str">
        <f>IF(SUM(B58:B59)=1,SUM(B58:B59),"ongeldig")</f>
        <v>ongeldig</v>
      </c>
      <c r="C60" s="26">
        <f>SUMPRODUCT(B58:B59,C58:C59)</f>
        <v>0</v>
      </c>
      <c r="D60" s="41" t="str">
        <f>IF(SUM(D58:D59)=1,SUM(D58:D59),"ongeldig")</f>
        <v>ongeldig</v>
      </c>
      <c r="E60" s="26">
        <f>SUMPRODUCT(D58:D59,E58:E59)</f>
        <v>0</v>
      </c>
      <c r="F60" s="41" t="str">
        <f>IF(SUM(F58:F59)=1,SUM(F58:F59),"ongeldig")</f>
        <v>ongeldig</v>
      </c>
      <c r="G60" s="26">
        <f>SUMPRODUCT(F58:F59,G58:G59)</f>
        <v>0</v>
      </c>
      <c r="H60" s="41" t="str">
        <f>IF(SUM(H58:H59)=1,SUM(H58:H59),"ongeldig")</f>
        <v>ongeldig</v>
      </c>
      <c r="I60" s="27">
        <f>SUMPRODUCT(H58:H59,I58:I59)</f>
        <v>0</v>
      </c>
    </row>
    <row r="61" spans="1:9" x14ac:dyDescent="0.35">
      <c r="A61" s="40" t="str">
        <f>TariefOpbouwNaam9&amp;" "&amp;TariefOpbouwErvaring9</f>
        <v xml:space="preserve">Leiding regie </v>
      </c>
      <c r="B61" s="25"/>
      <c r="C61" s="26">
        <f>TariefOpbouwTarief9</f>
        <v>0</v>
      </c>
      <c r="D61" s="25"/>
      <c r="E61" s="26">
        <f>TariefOpbouwTarief9</f>
        <v>0</v>
      </c>
      <c r="F61" s="25"/>
      <c r="G61" s="26">
        <f>TariefOpbouwTarief9W</f>
        <v>0</v>
      </c>
      <c r="H61" s="25"/>
      <c r="I61" s="27">
        <f>TariefOpbouwTarief9X</f>
        <v>0</v>
      </c>
    </row>
    <row r="62" spans="1:9" x14ac:dyDescent="0.35">
      <c r="A62" s="34" t="s">
        <v>94</v>
      </c>
      <c r="B62" s="42">
        <f>TariefUitvoering2+IF(SUM(B61:B61)&gt;0,SUMPRODUCT(B61:B61,C61:C61))</f>
        <v>0</v>
      </c>
      <c r="C62" s="42"/>
      <c r="D62" s="42">
        <f>TariefUitvoering3+IF(SUM(D61:D61)&gt;0,SUMPRODUCT(D61:D61,E61:E61))</f>
        <v>0</v>
      </c>
      <c r="E62" s="42"/>
      <c r="F62" s="42">
        <f>TariefUitvoering4+IF(SUM(F61:F61)&gt;0,SUMPRODUCT(F61:F61,G61:G61))</f>
        <v>0</v>
      </c>
      <c r="G62" s="42"/>
      <c r="H62" s="42">
        <f>TariefUitvoering5+IF(SUM(H61:H61)&gt;0,SUMPRODUCT(H61:H61,I61:I61))</f>
        <v>0</v>
      </c>
      <c r="I62" s="43"/>
    </row>
  </sheetData>
  <sheetProtection algorithmName="SHA-512" hashValue="G3VUWZzMDTzFuOlQo5qX7CocNjn3yuTDTfRStOGNc6AO1IPTlBFFr4buZ+RorFCgJnLU4gS0W2AMKDL9OFgU0Q==" saltValue="v8fjWwi00mimq6U+Oa8CKA==" spinCount="100000" sheet="1" objects="1" scenarios="1" autoFilter="0"/>
  <mergeCells count="131">
    <mergeCell ref="H56:I56"/>
    <mergeCell ref="B62:C62"/>
    <mergeCell ref="D62:E62"/>
    <mergeCell ref="F62:G62"/>
    <mergeCell ref="H62:I62"/>
    <mergeCell ref="B54:C54"/>
    <mergeCell ref="D54:E54"/>
    <mergeCell ref="F54:G54"/>
    <mergeCell ref="B56:C56"/>
    <mergeCell ref="D56:E56"/>
    <mergeCell ref="F56:G56"/>
    <mergeCell ref="N39:O39"/>
    <mergeCell ref="P39:Q39"/>
    <mergeCell ref="R39:S39"/>
    <mergeCell ref="B45:C45"/>
    <mergeCell ref="D45:E45"/>
    <mergeCell ref="F45:G45"/>
    <mergeCell ref="B39:C39"/>
    <mergeCell ref="D39:E39"/>
    <mergeCell ref="F39:G39"/>
    <mergeCell ref="H39:I39"/>
    <mergeCell ref="J39:K39"/>
    <mergeCell ref="L39:M39"/>
    <mergeCell ref="R26:S2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P19:Q19"/>
    <mergeCell ref="R19:S19"/>
    <mergeCell ref="B26:C26"/>
    <mergeCell ref="D26:E26"/>
    <mergeCell ref="F26:G26"/>
    <mergeCell ref="H26:I26"/>
    <mergeCell ref="J26:K26"/>
    <mergeCell ref="L26:M26"/>
    <mergeCell ref="N26:O26"/>
    <mergeCell ref="P26:Q26"/>
    <mergeCell ref="N14:O14"/>
    <mergeCell ref="P14:Q14"/>
    <mergeCell ref="R14:S14"/>
    <mergeCell ref="B19:C19"/>
    <mergeCell ref="D19:E19"/>
    <mergeCell ref="F19:G19"/>
    <mergeCell ref="H19:I19"/>
    <mergeCell ref="J19:K19"/>
    <mergeCell ref="L19:M19"/>
    <mergeCell ref="N19:O19"/>
    <mergeCell ref="B14:C14"/>
    <mergeCell ref="D14:E14"/>
    <mergeCell ref="F14:G14"/>
    <mergeCell ref="H14:I14"/>
    <mergeCell ref="J14:K14"/>
    <mergeCell ref="L14:M14"/>
    <mergeCell ref="R9:S9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P8:Q8"/>
    <mergeCell ref="R8:S8"/>
    <mergeCell ref="B9:C9"/>
    <mergeCell ref="D9:E9"/>
    <mergeCell ref="F9:G9"/>
    <mergeCell ref="H9:I9"/>
    <mergeCell ref="J9:K9"/>
    <mergeCell ref="L9:M9"/>
    <mergeCell ref="N9:O9"/>
    <mergeCell ref="P9:Q9"/>
    <mergeCell ref="N7:O7"/>
    <mergeCell ref="P7:Q7"/>
    <mergeCell ref="R7:S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R5:S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P4:Q4"/>
    <mergeCell ref="R4:S4"/>
    <mergeCell ref="B5:C5"/>
    <mergeCell ref="D5:E5"/>
    <mergeCell ref="F5:G5"/>
    <mergeCell ref="H5:I5"/>
    <mergeCell ref="J5:K5"/>
    <mergeCell ref="L5:M5"/>
    <mergeCell ref="N5:O5"/>
    <mergeCell ref="P5:Q5"/>
    <mergeCell ref="N3:O3"/>
    <mergeCell ref="P3:Q3"/>
    <mergeCell ref="R3:S3"/>
    <mergeCell ref="B4:C4"/>
    <mergeCell ref="D4:E4"/>
    <mergeCell ref="F4:G4"/>
    <mergeCell ref="H4:I4"/>
    <mergeCell ref="J4:K4"/>
    <mergeCell ref="L4:M4"/>
    <mergeCell ref="N4:O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5" orientation="landscape" r:id="rId1"/>
  <headerFooter>
    <oddFooter>&amp;LStedelijk Museum                                            
CONCEPT PER 01-05-2026&amp;ROpmaakdatum: 16-12-2025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5A88-3316-4B7F-824E-48ED495EA8AC}">
  <dimension ref="A1:H73"/>
  <sheetViews>
    <sheetView workbookViewId="0"/>
  </sheetViews>
  <sheetFormatPr defaultRowHeight="14.5" x14ac:dyDescent="0.35"/>
  <cols>
    <col min="1" max="1" width="7.6328125" customWidth="1"/>
    <col min="2" max="2" width="6.6328125" customWidth="1"/>
    <col min="3" max="3" width="4.6328125" customWidth="1"/>
    <col min="4" max="4" width="50.6328125" customWidth="1"/>
    <col min="5" max="6" width="11.6328125" customWidth="1"/>
    <col min="7" max="7" width="9.6328125" customWidth="1"/>
    <col min="8" max="8" width="11.6328125" customWidth="1"/>
  </cols>
  <sheetData>
    <row r="1" spans="1:8" x14ac:dyDescent="0.35">
      <c r="A1" s="1" t="str">
        <f>CONCATENATE("Bijlage 3.1: ",tabeltype," categorienormen")</f>
        <v>Bijlage 3.1: Invultabel categorienormen</v>
      </c>
    </row>
    <row r="3" spans="1:8" ht="43.5" x14ac:dyDescent="0.35">
      <c r="A3" s="44" t="s">
        <v>95</v>
      </c>
      <c r="B3" s="44" t="s">
        <v>96</v>
      </c>
      <c r="C3" s="44" t="s">
        <v>97</v>
      </c>
      <c r="D3" s="44" t="s">
        <v>98</v>
      </c>
      <c r="E3" s="44" t="s">
        <v>99</v>
      </c>
      <c r="F3" s="44" t="s">
        <v>100</v>
      </c>
      <c r="G3" s="44" t="s">
        <v>101</v>
      </c>
      <c r="H3" s="44" t="s">
        <v>102</v>
      </c>
    </row>
    <row r="4" spans="1:8" x14ac:dyDescent="0.35">
      <c r="A4" s="45"/>
      <c r="B4" s="46"/>
      <c r="C4" s="46"/>
      <c r="D4" s="46"/>
      <c r="E4" s="46"/>
      <c r="F4" s="46"/>
      <c r="G4" s="46"/>
      <c r="H4" s="47"/>
    </row>
    <row r="5" spans="1:8" x14ac:dyDescent="0.35">
      <c r="A5" s="48" t="s">
        <v>103</v>
      </c>
      <c r="B5" s="49"/>
      <c r="C5" s="49"/>
      <c r="D5" s="49"/>
      <c r="E5" s="49"/>
      <c r="F5" s="49"/>
      <c r="G5" s="49"/>
      <c r="H5" s="50"/>
    </row>
    <row r="6" spans="1:8" x14ac:dyDescent="0.35">
      <c r="A6" s="51" t="s">
        <v>104</v>
      </c>
      <c r="B6" s="52" t="s">
        <v>105</v>
      </c>
      <c r="C6" s="51">
        <v>1</v>
      </c>
      <c r="D6" s="51" t="s">
        <v>106</v>
      </c>
      <c r="E6" s="53"/>
      <c r="F6" s="54"/>
      <c r="G6" s="51" t="s">
        <v>107</v>
      </c>
      <c r="H6" s="55">
        <f>Tariefopbouw1</f>
        <v>0</v>
      </c>
    </row>
    <row r="7" spans="1:8" x14ac:dyDescent="0.35">
      <c r="A7" s="56" t="s">
        <v>108</v>
      </c>
      <c r="B7" s="57" t="s">
        <v>105</v>
      </c>
      <c r="C7" s="56">
        <v>51</v>
      </c>
      <c r="D7" s="56" t="s">
        <v>109</v>
      </c>
      <c r="E7" s="58"/>
      <c r="F7" s="59"/>
      <c r="G7" s="56" t="s">
        <v>107</v>
      </c>
      <c r="H7" s="60">
        <f>Tariefopbouw1</f>
        <v>0</v>
      </c>
    </row>
    <row r="8" spans="1:8" x14ac:dyDescent="0.35">
      <c r="A8" s="56" t="s">
        <v>110</v>
      </c>
      <c r="B8" s="57" t="s">
        <v>105</v>
      </c>
      <c r="C8" s="56">
        <v>1</v>
      </c>
      <c r="D8" s="56" t="s">
        <v>111</v>
      </c>
      <c r="E8" s="58"/>
      <c r="F8" s="59"/>
      <c r="G8" s="56" t="s">
        <v>107</v>
      </c>
      <c r="H8" s="60">
        <f>Tariefopbouw1</f>
        <v>0</v>
      </c>
    </row>
    <row r="9" spans="1:8" x14ac:dyDescent="0.35">
      <c r="A9" s="56" t="s">
        <v>112</v>
      </c>
      <c r="B9" s="57" t="s">
        <v>105</v>
      </c>
      <c r="C9" s="56">
        <v>51</v>
      </c>
      <c r="D9" s="56" t="s">
        <v>113</v>
      </c>
      <c r="E9" s="58"/>
      <c r="F9" s="59"/>
      <c r="G9" s="56" t="s">
        <v>107</v>
      </c>
      <c r="H9" s="60">
        <f>Tariefopbouw1</f>
        <v>0</v>
      </c>
    </row>
    <row r="10" spans="1:8" x14ac:dyDescent="0.35">
      <c r="A10" s="56" t="s">
        <v>114</v>
      </c>
      <c r="B10" s="57" t="s">
        <v>105</v>
      </c>
      <c r="C10" s="56">
        <v>1</v>
      </c>
      <c r="D10" s="56" t="s">
        <v>115</v>
      </c>
      <c r="E10" s="58"/>
      <c r="F10" s="59"/>
      <c r="G10" s="56" t="s">
        <v>107</v>
      </c>
      <c r="H10" s="60">
        <f>Tariefopbouw1</f>
        <v>0</v>
      </c>
    </row>
    <row r="11" spans="1:8" x14ac:dyDescent="0.35">
      <c r="A11" s="56" t="s">
        <v>116</v>
      </c>
      <c r="B11" s="57" t="s">
        <v>105</v>
      </c>
      <c r="C11" s="56">
        <v>51</v>
      </c>
      <c r="D11" s="56" t="s">
        <v>117</v>
      </c>
      <c r="E11" s="58"/>
      <c r="F11" s="59"/>
      <c r="G11" s="56" t="s">
        <v>107</v>
      </c>
      <c r="H11" s="60">
        <f>Tariefopbouw1</f>
        <v>0</v>
      </c>
    </row>
    <row r="12" spans="1:8" x14ac:dyDescent="0.35">
      <c r="A12" s="56" t="s">
        <v>118</v>
      </c>
      <c r="B12" s="57" t="s">
        <v>119</v>
      </c>
      <c r="C12" s="56">
        <v>1</v>
      </c>
      <c r="D12" s="56" t="s">
        <v>120</v>
      </c>
      <c r="E12" s="58"/>
      <c r="F12" s="59"/>
      <c r="G12" s="56" t="s">
        <v>107</v>
      </c>
      <c r="H12" s="60">
        <f>Tariefopbouw1</f>
        <v>0</v>
      </c>
    </row>
    <row r="13" spans="1:8" x14ac:dyDescent="0.35">
      <c r="A13" s="56" t="s">
        <v>121</v>
      </c>
      <c r="B13" s="57" t="s">
        <v>119</v>
      </c>
      <c r="C13" s="56">
        <v>51</v>
      </c>
      <c r="D13" s="56" t="s">
        <v>122</v>
      </c>
      <c r="E13" s="58"/>
      <c r="F13" s="59"/>
      <c r="G13" s="56" t="s">
        <v>107</v>
      </c>
      <c r="H13" s="60">
        <f>Tariefopbouw1</f>
        <v>0</v>
      </c>
    </row>
    <row r="14" spans="1:8" x14ac:dyDescent="0.35">
      <c r="A14" s="56" t="s">
        <v>123</v>
      </c>
      <c r="B14" s="57" t="s">
        <v>119</v>
      </c>
      <c r="C14" s="56">
        <v>1</v>
      </c>
      <c r="D14" s="56" t="s">
        <v>124</v>
      </c>
      <c r="E14" s="58"/>
      <c r="F14" s="59"/>
      <c r="G14" s="56" t="s">
        <v>107</v>
      </c>
      <c r="H14" s="60">
        <f>Tariefopbouw1</f>
        <v>0</v>
      </c>
    </row>
    <row r="15" spans="1:8" x14ac:dyDescent="0.35">
      <c r="A15" s="56" t="s">
        <v>125</v>
      </c>
      <c r="B15" s="57" t="s">
        <v>119</v>
      </c>
      <c r="C15" s="56">
        <v>51</v>
      </c>
      <c r="D15" s="56" t="s">
        <v>126</v>
      </c>
      <c r="E15" s="58"/>
      <c r="F15" s="59"/>
      <c r="G15" s="56" t="s">
        <v>107</v>
      </c>
      <c r="H15" s="60">
        <f>Tariefopbouw1</f>
        <v>0</v>
      </c>
    </row>
    <row r="16" spans="1:8" x14ac:dyDescent="0.35">
      <c r="A16" s="56" t="s">
        <v>127</v>
      </c>
      <c r="B16" s="57" t="s">
        <v>128</v>
      </c>
      <c r="C16" s="56">
        <v>1</v>
      </c>
      <c r="D16" s="56" t="s">
        <v>129</v>
      </c>
      <c r="E16" s="58"/>
      <c r="F16" s="59"/>
      <c r="G16" s="56" t="s">
        <v>107</v>
      </c>
      <c r="H16" s="60">
        <f>Tariefopbouw1</f>
        <v>0</v>
      </c>
    </row>
    <row r="17" spans="1:8" x14ac:dyDescent="0.35">
      <c r="A17" s="56" t="s">
        <v>130</v>
      </c>
      <c r="B17" s="57" t="s">
        <v>128</v>
      </c>
      <c r="C17" s="56">
        <v>51</v>
      </c>
      <c r="D17" s="56" t="s">
        <v>131</v>
      </c>
      <c r="E17" s="58"/>
      <c r="F17" s="59"/>
      <c r="G17" s="56" t="s">
        <v>107</v>
      </c>
      <c r="H17" s="60">
        <f>Tariefopbouw1</f>
        <v>0</v>
      </c>
    </row>
    <row r="18" spans="1:8" x14ac:dyDescent="0.35">
      <c r="A18" s="56" t="s">
        <v>132</v>
      </c>
      <c r="B18" s="57" t="s">
        <v>128</v>
      </c>
      <c r="C18" s="56">
        <v>1</v>
      </c>
      <c r="D18" s="56" t="s">
        <v>133</v>
      </c>
      <c r="E18" s="58"/>
      <c r="F18" s="59"/>
      <c r="G18" s="56" t="s">
        <v>107</v>
      </c>
      <c r="H18" s="60">
        <f>Tariefopbouw1</f>
        <v>0</v>
      </c>
    </row>
    <row r="19" spans="1:8" x14ac:dyDescent="0.35">
      <c r="A19" s="56" t="s">
        <v>134</v>
      </c>
      <c r="B19" s="57" t="s">
        <v>128</v>
      </c>
      <c r="C19" s="56">
        <v>51</v>
      </c>
      <c r="D19" s="56" t="s">
        <v>135</v>
      </c>
      <c r="E19" s="58"/>
      <c r="F19" s="59"/>
      <c r="G19" s="56" t="s">
        <v>107</v>
      </c>
      <c r="H19" s="60">
        <f>Tariefopbouw1</f>
        <v>0</v>
      </c>
    </row>
    <row r="20" spans="1:8" x14ac:dyDescent="0.35">
      <c r="A20" s="56" t="s">
        <v>136</v>
      </c>
      <c r="B20" s="57" t="s">
        <v>128</v>
      </c>
      <c r="C20" s="56">
        <v>1</v>
      </c>
      <c r="D20" s="56" t="s">
        <v>137</v>
      </c>
      <c r="E20" s="58"/>
      <c r="F20" s="59"/>
      <c r="G20" s="56" t="s">
        <v>107</v>
      </c>
      <c r="H20" s="60">
        <f>Tariefopbouw1</f>
        <v>0</v>
      </c>
    </row>
    <row r="21" spans="1:8" x14ac:dyDescent="0.35">
      <c r="A21" s="56" t="s">
        <v>138</v>
      </c>
      <c r="B21" s="57" t="s">
        <v>128</v>
      </c>
      <c r="C21" s="56">
        <v>12</v>
      </c>
      <c r="D21" s="56" t="s">
        <v>139</v>
      </c>
      <c r="E21" s="58"/>
      <c r="F21" s="59"/>
      <c r="G21" s="56" t="s">
        <v>107</v>
      </c>
      <c r="H21" s="60">
        <f>Tariefopbouw1</f>
        <v>0</v>
      </c>
    </row>
    <row r="22" spans="1:8" x14ac:dyDescent="0.35">
      <c r="A22" s="56" t="s">
        <v>138</v>
      </c>
      <c r="B22" s="57" t="s">
        <v>128</v>
      </c>
      <c r="C22" s="56">
        <v>51</v>
      </c>
      <c r="D22" s="56" t="s">
        <v>139</v>
      </c>
      <c r="E22" s="58"/>
      <c r="F22" s="59"/>
      <c r="G22" s="56" t="s">
        <v>107</v>
      </c>
      <c r="H22" s="60">
        <f>Tariefopbouw1</f>
        <v>0</v>
      </c>
    </row>
    <row r="23" spans="1:8" x14ac:dyDescent="0.35">
      <c r="A23" s="56" t="s">
        <v>140</v>
      </c>
      <c r="B23" s="57" t="s">
        <v>128</v>
      </c>
      <c r="C23" s="56">
        <v>1</v>
      </c>
      <c r="D23" s="56" t="s">
        <v>141</v>
      </c>
      <c r="E23" s="58"/>
      <c r="F23" s="59"/>
      <c r="G23" s="56" t="s">
        <v>107</v>
      </c>
      <c r="H23" s="60">
        <f>Tariefopbouw1</f>
        <v>0</v>
      </c>
    </row>
    <row r="24" spans="1:8" x14ac:dyDescent="0.35">
      <c r="A24" s="56" t="s">
        <v>142</v>
      </c>
      <c r="B24" s="57" t="s">
        <v>128</v>
      </c>
      <c r="C24" s="56">
        <v>12</v>
      </c>
      <c r="D24" s="56" t="s">
        <v>143</v>
      </c>
      <c r="E24" s="58"/>
      <c r="F24" s="59"/>
      <c r="G24" s="56" t="s">
        <v>107</v>
      </c>
      <c r="H24" s="60">
        <f>Tariefopbouw1</f>
        <v>0</v>
      </c>
    </row>
    <row r="25" spans="1:8" x14ac:dyDescent="0.35">
      <c r="A25" s="56" t="s">
        <v>142</v>
      </c>
      <c r="B25" s="57" t="s">
        <v>128</v>
      </c>
      <c r="C25" s="56">
        <v>51</v>
      </c>
      <c r="D25" s="56" t="s">
        <v>143</v>
      </c>
      <c r="E25" s="58"/>
      <c r="F25" s="59"/>
      <c r="G25" s="56" t="s">
        <v>107</v>
      </c>
      <c r="H25" s="60">
        <f>Tariefopbouw1</f>
        <v>0</v>
      </c>
    </row>
    <row r="26" spans="1:8" x14ac:dyDescent="0.35">
      <c r="A26" s="56" t="s">
        <v>144</v>
      </c>
      <c r="B26" s="57" t="s">
        <v>128</v>
      </c>
      <c r="C26" s="56">
        <v>1</v>
      </c>
      <c r="D26" s="56" t="s">
        <v>145</v>
      </c>
      <c r="E26" s="58"/>
      <c r="F26" s="59"/>
      <c r="G26" s="56" t="s">
        <v>107</v>
      </c>
      <c r="H26" s="60">
        <f>Tariefopbouw1</f>
        <v>0</v>
      </c>
    </row>
    <row r="27" spans="1:8" x14ac:dyDescent="0.35">
      <c r="A27" s="56" t="s">
        <v>146</v>
      </c>
      <c r="B27" s="57" t="s">
        <v>128</v>
      </c>
      <c r="C27" s="56">
        <v>51</v>
      </c>
      <c r="D27" s="56" t="s">
        <v>147</v>
      </c>
      <c r="E27" s="58"/>
      <c r="F27" s="59"/>
      <c r="G27" s="56" t="s">
        <v>107</v>
      </c>
      <c r="H27" s="60">
        <f>Tariefopbouw1</f>
        <v>0</v>
      </c>
    </row>
    <row r="28" spans="1:8" x14ac:dyDescent="0.35">
      <c r="A28" s="56" t="s">
        <v>148</v>
      </c>
      <c r="B28" s="57" t="s">
        <v>128</v>
      </c>
      <c r="C28" s="56">
        <v>1</v>
      </c>
      <c r="D28" s="56" t="s">
        <v>149</v>
      </c>
      <c r="E28" s="58"/>
      <c r="F28" s="59"/>
      <c r="G28" s="56" t="s">
        <v>107</v>
      </c>
      <c r="H28" s="60">
        <f>Tariefopbouw1</f>
        <v>0</v>
      </c>
    </row>
    <row r="29" spans="1:8" x14ac:dyDescent="0.35">
      <c r="A29" s="56" t="s">
        <v>150</v>
      </c>
      <c r="B29" s="57" t="s">
        <v>128</v>
      </c>
      <c r="C29" s="56">
        <v>51</v>
      </c>
      <c r="D29" s="56" t="s">
        <v>151</v>
      </c>
      <c r="E29" s="58"/>
      <c r="F29" s="59"/>
      <c r="G29" s="56" t="s">
        <v>107</v>
      </c>
      <c r="H29" s="60">
        <f>Tariefopbouw1</f>
        <v>0</v>
      </c>
    </row>
    <row r="30" spans="1:8" x14ac:dyDescent="0.35">
      <c r="A30" s="56" t="s">
        <v>152</v>
      </c>
      <c r="B30" s="57" t="s">
        <v>128</v>
      </c>
      <c r="C30" s="56">
        <v>1</v>
      </c>
      <c r="D30" s="56" t="s">
        <v>153</v>
      </c>
      <c r="E30" s="58"/>
      <c r="F30" s="59"/>
      <c r="G30" s="56" t="s">
        <v>107</v>
      </c>
      <c r="H30" s="60">
        <f>Tariefopbouw1</f>
        <v>0</v>
      </c>
    </row>
    <row r="31" spans="1:8" x14ac:dyDescent="0.35">
      <c r="A31" s="56" t="s">
        <v>154</v>
      </c>
      <c r="B31" s="57" t="s">
        <v>128</v>
      </c>
      <c r="C31" s="56">
        <v>51</v>
      </c>
      <c r="D31" s="56" t="s">
        <v>155</v>
      </c>
      <c r="E31" s="58"/>
      <c r="F31" s="59"/>
      <c r="G31" s="56" t="s">
        <v>107</v>
      </c>
      <c r="H31" s="60">
        <f>Tariefopbouw1</f>
        <v>0</v>
      </c>
    </row>
    <row r="32" spans="1:8" x14ac:dyDescent="0.35">
      <c r="A32" s="56" t="s">
        <v>156</v>
      </c>
      <c r="B32" s="57" t="s">
        <v>128</v>
      </c>
      <c r="C32" s="56">
        <v>1</v>
      </c>
      <c r="D32" s="56" t="s">
        <v>157</v>
      </c>
      <c r="E32" s="58"/>
      <c r="F32" s="59"/>
      <c r="G32" s="56" t="s">
        <v>107</v>
      </c>
      <c r="H32" s="60">
        <f>Tariefopbouw1</f>
        <v>0</v>
      </c>
    </row>
    <row r="33" spans="1:8" x14ac:dyDescent="0.35">
      <c r="A33" s="56" t="s">
        <v>158</v>
      </c>
      <c r="B33" s="57" t="s">
        <v>128</v>
      </c>
      <c r="C33" s="56">
        <v>12</v>
      </c>
      <c r="D33" s="56" t="s">
        <v>159</v>
      </c>
      <c r="E33" s="58"/>
      <c r="F33" s="59"/>
      <c r="G33" s="56" t="s">
        <v>107</v>
      </c>
      <c r="H33" s="60">
        <f>Tariefopbouw1</f>
        <v>0</v>
      </c>
    </row>
    <row r="34" spans="1:8" x14ac:dyDescent="0.35">
      <c r="A34" s="56" t="s">
        <v>158</v>
      </c>
      <c r="B34" s="57" t="s">
        <v>128</v>
      </c>
      <c r="C34" s="56">
        <v>51</v>
      </c>
      <c r="D34" s="56" t="s">
        <v>159</v>
      </c>
      <c r="E34" s="58"/>
      <c r="F34" s="59"/>
      <c r="G34" s="56" t="s">
        <v>107</v>
      </c>
      <c r="H34" s="60">
        <f>Tariefopbouw1</f>
        <v>0</v>
      </c>
    </row>
    <row r="35" spans="1:8" x14ac:dyDescent="0.35">
      <c r="A35" s="56" t="s">
        <v>160</v>
      </c>
      <c r="B35" s="57" t="s">
        <v>128</v>
      </c>
      <c r="C35" s="56">
        <v>1</v>
      </c>
      <c r="D35" s="56" t="s">
        <v>161</v>
      </c>
      <c r="E35" s="58"/>
      <c r="F35" s="59"/>
      <c r="G35" s="56" t="s">
        <v>107</v>
      </c>
      <c r="H35" s="60">
        <f>Tariefopbouw1</f>
        <v>0</v>
      </c>
    </row>
    <row r="36" spans="1:8" x14ac:dyDescent="0.35">
      <c r="A36" s="56" t="s">
        <v>162</v>
      </c>
      <c r="B36" s="57" t="s">
        <v>128</v>
      </c>
      <c r="C36" s="56">
        <v>2</v>
      </c>
      <c r="D36" s="56" t="s">
        <v>163</v>
      </c>
      <c r="E36" s="58"/>
      <c r="F36" s="59"/>
      <c r="G36" s="56" t="s">
        <v>107</v>
      </c>
      <c r="H36" s="60">
        <f>Tariefopbouw1</f>
        <v>0</v>
      </c>
    </row>
    <row r="37" spans="1:8" x14ac:dyDescent="0.35">
      <c r="A37" s="56" t="s">
        <v>162</v>
      </c>
      <c r="B37" s="57" t="s">
        <v>128</v>
      </c>
      <c r="C37" s="56">
        <v>12</v>
      </c>
      <c r="D37" s="56" t="s">
        <v>163</v>
      </c>
      <c r="E37" s="58"/>
      <c r="F37" s="59"/>
      <c r="G37" s="56" t="s">
        <v>107</v>
      </c>
      <c r="H37" s="60">
        <f>Tariefopbouw1</f>
        <v>0</v>
      </c>
    </row>
    <row r="38" spans="1:8" x14ac:dyDescent="0.35">
      <c r="A38" s="56" t="s">
        <v>162</v>
      </c>
      <c r="B38" s="57" t="s">
        <v>128</v>
      </c>
      <c r="C38" s="56">
        <v>51</v>
      </c>
      <c r="D38" s="56" t="s">
        <v>163</v>
      </c>
      <c r="E38" s="58"/>
      <c r="F38" s="59"/>
      <c r="G38" s="56" t="s">
        <v>107</v>
      </c>
      <c r="H38" s="60">
        <f>Tariefopbouw1</f>
        <v>0</v>
      </c>
    </row>
    <row r="39" spans="1:8" x14ac:dyDescent="0.35">
      <c r="A39" s="56" t="s">
        <v>164</v>
      </c>
      <c r="B39" s="57" t="s">
        <v>165</v>
      </c>
      <c r="C39" s="56">
        <v>1</v>
      </c>
      <c r="D39" s="56" t="s">
        <v>166</v>
      </c>
      <c r="E39" s="58"/>
      <c r="F39" s="59"/>
      <c r="G39" s="56" t="s">
        <v>107</v>
      </c>
      <c r="H39" s="60">
        <f>Tariefopbouw1</f>
        <v>0</v>
      </c>
    </row>
    <row r="40" spans="1:8" x14ac:dyDescent="0.35">
      <c r="A40" s="56" t="s">
        <v>167</v>
      </c>
      <c r="B40" s="57" t="s">
        <v>165</v>
      </c>
      <c r="C40" s="56">
        <v>51</v>
      </c>
      <c r="D40" s="56" t="s">
        <v>168</v>
      </c>
      <c r="E40" s="58"/>
      <c r="F40" s="59"/>
      <c r="G40" s="56" t="s">
        <v>107</v>
      </c>
      <c r="H40" s="60">
        <f>Tariefopbouw1</f>
        <v>0</v>
      </c>
    </row>
    <row r="41" spans="1:8" x14ac:dyDescent="0.35">
      <c r="A41" s="56" t="s">
        <v>169</v>
      </c>
      <c r="B41" s="57" t="s">
        <v>165</v>
      </c>
      <c r="C41" s="56">
        <v>1</v>
      </c>
      <c r="D41" s="56" t="s">
        <v>170</v>
      </c>
      <c r="E41" s="58"/>
      <c r="F41" s="59"/>
      <c r="G41" s="56" t="s">
        <v>107</v>
      </c>
      <c r="H41" s="60">
        <f>Tariefopbouw1</f>
        <v>0</v>
      </c>
    </row>
    <row r="42" spans="1:8" x14ac:dyDescent="0.35">
      <c r="A42" s="56" t="s">
        <v>171</v>
      </c>
      <c r="B42" s="57" t="s">
        <v>165</v>
      </c>
      <c r="C42" s="56">
        <v>51</v>
      </c>
      <c r="D42" s="56" t="s">
        <v>172</v>
      </c>
      <c r="E42" s="58"/>
      <c r="F42" s="59"/>
      <c r="G42" s="56" t="s">
        <v>107</v>
      </c>
      <c r="H42" s="60">
        <f>Tariefopbouw1</f>
        <v>0</v>
      </c>
    </row>
    <row r="43" spans="1:8" x14ac:dyDescent="0.35">
      <c r="A43" s="56" t="s">
        <v>173</v>
      </c>
      <c r="B43" s="57" t="s">
        <v>165</v>
      </c>
      <c r="C43" s="56">
        <v>1</v>
      </c>
      <c r="D43" s="56" t="s">
        <v>174</v>
      </c>
      <c r="E43" s="58"/>
      <c r="F43" s="59"/>
      <c r="G43" s="56" t="s">
        <v>107</v>
      </c>
      <c r="H43" s="60">
        <f>Tariefopbouw1</f>
        <v>0</v>
      </c>
    </row>
    <row r="44" spans="1:8" x14ac:dyDescent="0.35">
      <c r="A44" s="56" t="s">
        <v>175</v>
      </c>
      <c r="B44" s="57" t="s">
        <v>165</v>
      </c>
      <c r="C44" s="56">
        <v>51</v>
      </c>
      <c r="D44" s="56" t="s">
        <v>176</v>
      </c>
      <c r="E44" s="58"/>
      <c r="F44" s="59"/>
      <c r="G44" s="56" t="s">
        <v>107</v>
      </c>
      <c r="H44" s="60">
        <f>Tariefopbouw1</f>
        <v>0</v>
      </c>
    </row>
    <row r="45" spans="1:8" x14ac:dyDescent="0.35">
      <c r="A45" s="56" t="s">
        <v>177</v>
      </c>
      <c r="B45" s="57" t="s">
        <v>165</v>
      </c>
      <c r="C45" s="56">
        <v>1</v>
      </c>
      <c r="D45" s="56" t="s">
        <v>178</v>
      </c>
      <c r="E45" s="58"/>
      <c r="F45" s="59"/>
      <c r="G45" s="56" t="s">
        <v>107</v>
      </c>
      <c r="H45" s="60">
        <f>Tariefopbouw1</f>
        <v>0</v>
      </c>
    </row>
    <row r="46" spans="1:8" x14ac:dyDescent="0.35">
      <c r="A46" s="56" t="s">
        <v>179</v>
      </c>
      <c r="B46" s="57" t="s">
        <v>165</v>
      </c>
      <c r="C46" s="56">
        <v>51</v>
      </c>
      <c r="D46" s="56" t="s">
        <v>180</v>
      </c>
      <c r="E46" s="58"/>
      <c r="F46" s="59"/>
      <c r="G46" s="56" t="s">
        <v>107</v>
      </c>
      <c r="H46" s="60">
        <f>Tariefopbouw1</f>
        <v>0</v>
      </c>
    </row>
    <row r="47" spans="1:8" x14ac:dyDescent="0.35">
      <c r="A47" s="56" t="s">
        <v>181</v>
      </c>
      <c r="B47" s="57" t="s">
        <v>165</v>
      </c>
      <c r="C47" s="56">
        <v>1</v>
      </c>
      <c r="D47" s="56" t="s">
        <v>182</v>
      </c>
      <c r="E47" s="58"/>
      <c r="F47" s="59"/>
      <c r="G47" s="56" t="s">
        <v>107</v>
      </c>
      <c r="H47" s="60">
        <f>Tariefopbouw1</f>
        <v>0</v>
      </c>
    </row>
    <row r="48" spans="1:8" x14ac:dyDescent="0.35">
      <c r="A48" s="56" t="s">
        <v>183</v>
      </c>
      <c r="B48" s="57" t="s">
        <v>165</v>
      </c>
      <c r="C48" s="56">
        <v>12</v>
      </c>
      <c r="D48" s="56" t="s">
        <v>184</v>
      </c>
      <c r="E48" s="58"/>
      <c r="F48" s="59"/>
      <c r="G48" s="56" t="s">
        <v>107</v>
      </c>
      <c r="H48" s="60">
        <f>Tariefopbouw1</f>
        <v>0</v>
      </c>
    </row>
    <row r="49" spans="1:8" x14ac:dyDescent="0.35">
      <c r="A49" s="61" t="s">
        <v>183</v>
      </c>
      <c r="B49" s="62" t="s">
        <v>165</v>
      </c>
      <c r="C49" s="61">
        <v>51</v>
      </c>
      <c r="D49" s="61" t="s">
        <v>184</v>
      </c>
      <c r="E49" s="63"/>
      <c r="F49" s="64"/>
      <c r="G49" s="61" t="s">
        <v>107</v>
      </c>
      <c r="H49" s="65">
        <f>Tariefopbouw1</f>
        <v>0</v>
      </c>
    </row>
    <row r="50" spans="1:8" x14ac:dyDescent="0.35">
      <c r="A50" s="45"/>
      <c r="B50" s="46"/>
      <c r="C50" s="46"/>
      <c r="D50" s="46"/>
      <c r="E50" s="46"/>
      <c r="F50" s="46"/>
      <c r="G50" s="46"/>
      <c r="H50" s="47"/>
    </row>
    <row r="51" spans="1:8" x14ac:dyDescent="0.35">
      <c r="A51" s="48" t="s">
        <v>185</v>
      </c>
      <c r="B51" s="49"/>
      <c r="C51" s="49"/>
      <c r="D51" s="49"/>
      <c r="E51" s="49"/>
      <c r="F51" s="49"/>
      <c r="G51" s="49"/>
      <c r="H51" s="50"/>
    </row>
    <row r="52" spans="1:8" x14ac:dyDescent="0.35">
      <c r="A52" s="51" t="s">
        <v>186</v>
      </c>
      <c r="B52" s="52" t="s">
        <v>105</v>
      </c>
      <c r="C52" s="51">
        <v>1</v>
      </c>
      <c r="D52" s="51" t="s">
        <v>187</v>
      </c>
      <c r="E52" s="53"/>
      <c r="F52" s="54"/>
      <c r="G52" s="51" t="s">
        <v>107</v>
      </c>
      <c r="H52" s="55">
        <f>Tariefopbouw6</f>
        <v>0</v>
      </c>
    </row>
    <row r="53" spans="1:8" x14ac:dyDescent="0.35">
      <c r="A53" s="56" t="s">
        <v>188</v>
      </c>
      <c r="B53" s="57" t="s">
        <v>105</v>
      </c>
      <c r="C53" s="56">
        <v>1</v>
      </c>
      <c r="D53" s="56" t="s">
        <v>189</v>
      </c>
      <c r="E53" s="58"/>
      <c r="F53" s="59"/>
      <c r="G53" s="56" t="s">
        <v>107</v>
      </c>
      <c r="H53" s="60">
        <f>Tariefopbouw6</f>
        <v>0</v>
      </c>
    </row>
    <row r="54" spans="1:8" x14ac:dyDescent="0.35">
      <c r="A54" s="56" t="s">
        <v>190</v>
      </c>
      <c r="B54" s="57" t="s">
        <v>119</v>
      </c>
      <c r="C54" s="56">
        <v>1</v>
      </c>
      <c r="D54" s="56" t="s">
        <v>124</v>
      </c>
      <c r="E54" s="58"/>
      <c r="F54" s="59"/>
      <c r="G54" s="56" t="s">
        <v>107</v>
      </c>
      <c r="H54" s="60">
        <f>Tariefopbouw6</f>
        <v>0</v>
      </c>
    </row>
    <row r="55" spans="1:8" x14ac:dyDescent="0.35">
      <c r="A55" s="56" t="s">
        <v>191</v>
      </c>
      <c r="B55" s="57" t="s">
        <v>128</v>
      </c>
      <c r="C55" s="56">
        <v>1</v>
      </c>
      <c r="D55" s="56" t="s">
        <v>129</v>
      </c>
      <c r="E55" s="58"/>
      <c r="F55" s="59"/>
      <c r="G55" s="56" t="s">
        <v>107</v>
      </c>
      <c r="H55" s="60">
        <f>Tariefopbouw6</f>
        <v>0</v>
      </c>
    </row>
    <row r="56" spans="1:8" x14ac:dyDescent="0.35">
      <c r="A56" s="56" t="s">
        <v>192</v>
      </c>
      <c r="B56" s="57" t="s">
        <v>128</v>
      </c>
      <c r="C56" s="56">
        <v>1</v>
      </c>
      <c r="D56" s="56" t="s">
        <v>133</v>
      </c>
      <c r="E56" s="58"/>
      <c r="F56" s="59"/>
      <c r="G56" s="56" t="s">
        <v>107</v>
      </c>
      <c r="H56" s="60">
        <f>Tariefopbouw6</f>
        <v>0</v>
      </c>
    </row>
    <row r="57" spans="1:8" x14ac:dyDescent="0.35">
      <c r="A57" s="56" t="s">
        <v>193</v>
      </c>
      <c r="B57" s="57" t="s">
        <v>128</v>
      </c>
      <c r="C57" s="56">
        <v>1</v>
      </c>
      <c r="D57" s="56" t="s">
        <v>141</v>
      </c>
      <c r="E57" s="58"/>
      <c r="F57" s="59"/>
      <c r="G57" s="56" t="s">
        <v>107</v>
      </c>
      <c r="H57" s="60">
        <f>Tariefopbouw6</f>
        <v>0</v>
      </c>
    </row>
    <row r="58" spans="1:8" x14ac:dyDescent="0.35">
      <c r="A58" s="56" t="s">
        <v>194</v>
      </c>
      <c r="B58" s="57" t="s">
        <v>128</v>
      </c>
      <c r="C58" s="56">
        <v>1</v>
      </c>
      <c r="D58" s="56" t="s">
        <v>149</v>
      </c>
      <c r="E58" s="58"/>
      <c r="F58" s="59"/>
      <c r="G58" s="56" t="s">
        <v>107</v>
      </c>
      <c r="H58" s="60">
        <f>Tariefopbouw6</f>
        <v>0</v>
      </c>
    </row>
    <row r="59" spans="1:8" x14ac:dyDescent="0.35">
      <c r="A59" s="56" t="s">
        <v>195</v>
      </c>
      <c r="B59" s="57" t="s">
        <v>128</v>
      </c>
      <c r="C59" s="56">
        <v>1</v>
      </c>
      <c r="D59" s="56" t="s">
        <v>153</v>
      </c>
      <c r="E59" s="58"/>
      <c r="F59" s="59"/>
      <c r="G59" s="56" t="s">
        <v>107</v>
      </c>
      <c r="H59" s="60">
        <f>Tariefopbouw6</f>
        <v>0</v>
      </c>
    </row>
    <row r="60" spans="1:8" x14ac:dyDescent="0.35">
      <c r="A60" s="56" t="s">
        <v>196</v>
      </c>
      <c r="B60" s="57" t="s">
        <v>128</v>
      </c>
      <c r="C60" s="56">
        <v>1</v>
      </c>
      <c r="D60" s="56" t="s">
        <v>157</v>
      </c>
      <c r="E60" s="58"/>
      <c r="F60" s="59"/>
      <c r="G60" s="56" t="s">
        <v>107</v>
      </c>
      <c r="H60" s="60">
        <f>Tariefopbouw6</f>
        <v>0</v>
      </c>
    </row>
    <row r="61" spans="1:8" x14ac:dyDescent="0.35">
      <c r="A61" s="61" t="s">
        <v>197</v>
      </c>
      <c r="B61" s="62" t="s">
        <v>128</v>
      </c>
      <c r="C61" s="61">
        <v>1</v>
      </c>
      <c r="D61" s="61" t="s">
        <v>161</v>
      </c>
      <c r="E61" s="63"/>
      <c r="F61" s="64"/>
      <c r="G61" s="61" t="s">
        <v>107</v>
      </c>
      <c r="H61" s="65">
        <f>Tariefopbouw6</f>
        <v>0</v>
      </c>
    </row>
    <row r="62" spans="1:8" x14ac:dyDescent="0.35">
      <c r="A62" s="45"/>
      <c r="B62" s="46"/>
      <c r="C62" s="46"/>
      <c r="D62" s="46"/>
      <c r="E62" s="46"/>
      <c r="F62" s="46"/>
      <c r="G62" s="46"/>
      <c r="H62" s="47"/>
    </row>
    <row r="63" spans="1:8" x14ac:dyDescent="0.35">
      <c r="A63" s="48" t="s">
        <v>198</v>
      </c>
      <c r="B63" s="49"/>
      <c r="C63" s="49"/>
      <c r="D63" s="49"/>
      <c r="E63" s="49"/>
      <c r="F63" s="49"/>
      <c r="G63" s="49"/>
      <c r="H63" s="50"/>
    </row>
    <row r="64" spans="1:8" x14ac:dyDescent="0.35">
      <c r="A64" s="51" t="s">
        <v>199</v>
      </c>
      <c r="B64" s="52" t="s">
        <v>105</v>
      </c>
      <c r="C64" s="51">
        <v>1</v>
      </c>
      <c r="D64" s="51" t="s">
        <v>187</v>
      </c>
      <c r="E64" s="53"/>
      <c r="F64" s="54"/>
      <c r="G64" s="51" t="s">
        <v>107</v>
      </c>
      <c r="H64" s="55">
        <f>Tariefopbouw7</f>
        <v>0</v>
      </c>
    </row>
    <row r="65" spans="1:8" x14ac:dyDescent="0.35">
      <c r="A65" s="56" t="s">
        <v>200</v>
      </c>
      <c r="B65" s="57" t="s">
        <v>105</v>
      </c>
      <c r="C65" s="56">
        <v>1</v>
      </c>
      <c r="D65" s="56" t="s">
        <v>189</v>
      </c>
      <c r="E65" s="58"/>
      <c r="F65" s="59"/>
      <c r="G65" s="56" t="s">
        <v>107</v>
      </c>
      <c r="H65" s="60">
        <f>Tariefopbouw7</f>
        <v>0</v>
      </c>
    </row>
    <row r="66" spans="1:8" x14ac:dyDescent="0.35">
      <c r="A66" s="56" t="s">
        <v>201</v>
      </c>
      <c r="B66" s="57" t="s">
        <v>119</v>
      </c>
      <c r="C66" s="56">
        <v>1</v>
      </c>
      <c r="D66" s="56" t="s">
        <v>124</v>
      </c>
      <c r="E66" s="58"/>
      <c r="F66" s="59"/>
      <c r="G66" s="56" t="s">
        <v>107</v>
      </c>
      <c r="H66" s="60">
        <f>Tariefopbouw7</f>
        <v>0</v>
      </c>
    </row>
    <row r="67" spans="1:8" x14ac:dyDescent="0.35">
      <c r="A67" s="56" t="s">
        <v>202</v>
      </c>
      <c r="B67" s="57" t="s">
        <v>128</v>
      </c>
      <c r="C67" s="56">
        <v>1</v>
      </c>
      <c r="D67" s="56" t="s">
        <v>129</v>
      </c>
      <c r="E67" s="58"/>
      <c r="F67" s="59"/>
      <c r="G67" s="56" t="s">
        <v>107</v>
      </c>
      <c r="H67" s="60">
        <f>Tariefopbouw7</f>
        <v>0</v>
      </c>
    </row>
    <row r="68" spans="1:8" x14ac:dyDescent="0.35">
      <c r="A68" s="56" t="s">
        <v>203</v>
      </c>
      <c r="B68" s="57" t="s">
        <v>128</v>
      </c>
      <c r="C68" s="56">
        <v>1</v>
      </c>
      <c r="D68" s="56" t="s">
        <v>133</v>
      </c>
      <c r="E68" s="58"/>
      <c r="F68" s="59"/>
      <c r="G68" s="56" t="s">
        <v>107</v>
      </c>
      <c r="H68" s="60">
        <f>Tariefopbouw7</f>
        <v>0</v>
      </c>
    </row>
    <row r="69" spans="1:8" x14ac:dyDescent="0.35">
      <c r="A69" s="56" t="s">
        <v>204</v>
      </c>
      <c r="B69" s="57" t="s">
        <v>128</v>
      </c>
      <c r="C69" s="56">
        <v>1</v>
      </c>
      <c r="D69" s="56" t="s">
        <v>141</v>
      </c>
      <c r="E69" s="58"/>
      <c r="F69" s="59"/>
      <c r="G69" s="56" t="s">
        <v>107</v>
      </c>
      <c r="H69" s="60">
        <f>Tariefopbouw7</f>
        <v>0</v>
      </c>
    </row>
    <row r="70" spans="1:8" x14ac:dyDescent="0.35">
      <c r="A70" s="56" t="s">
        <v>205</v>
      </c>
      <c r="B70" s="57" t="s">
        <v>128</v>
      </c>
      <c r="C70" s="56">
        <v>1</v>
      </c>
      <c r="D70" s="56" t="s">
        <v>149</v>
      </c>
      <c r="E70" s="58"/>
      <c r="F70" s="59"/>
      <c r="G70" s="56" t="s">
        <v>107</v>
      </c>
      <c r="H70" s="60">
        <f>Tariefopbouw7</f>
        <v>0</v>
      </c>
    </row>
    <row r="71" spans="1:8" x14ac:dyDescent="0.35">
      <c r="A71" s="56" t="s">
        <v>206</v>
      </c>
      <c r="B71" s="57" t="s">
        <v>128</v>
      </c>
      <c r="C71" s="56">
        <v>1</v>
      </c>
      <c r="D71" s="56" t="s">
        <v>153</v>
      </c>
      <c r="E71" s="58"/>
      <c r="F71" s="59"/>
      <c r="G71" s="56" t="s">
        <v>107</v>
      </c>
      <c r="H71" s="60">
        <f>Tariefopbouw7</f>
        <v>0</v>
      </c>
    </row>
    <row r="72" spans="1:8" x14ac:dyDescent="0.35">
      <c r="A72" s="56" t="s">
        <v>207</v>
      </c>
      <c r="B72" s="57" t="s">
        <v>128</v>
      </c>
      <c r="C72" s="56">
        <v>1</v>
      </c>
      <c r="D72" s="56" t="s">
        <v>157</v>
      </c>
      <c r="E72" s="58"/>
      <c r="F72" s="59"/>
      <c r="G72" s="56" t="s">
        <v>107</v>
      </c>
      <c r="H72" s="60">
        <f>Tariefopbouw7</f>
        <v>0</v>
      </c>
    </row>
    <row r="73" spans="1:8" x14ac:dyDescent="0.35">
      <c r="A73" s="61" t="s">
        <v>208</v>
      </c>
      <c r="B73" s="62" t="s">
        <v>128</v>
      </c>
      <c r="C73" s="61">
        <v>1</v>
      </c>
      <c r="D73" s="61" t="s">
        <v>161</v>
      </c>
      <c r="E73" s="63"/>
      <c r="F73" s="64"/>
      <c r="G73" s="61" t="s">
        <v>107</v>
      </c>
      <c r="H73" s="65">
        <f>Tariefopbouw7</f>
        <v>0</v>
      </c>
    </row>
  </sheetData>
  <sheetProtection algorithmName="SHA-512" hashValue="aS7zEu7gLU4V78/9+FytrCfawHMXZHDtJ/t/CGbgkUXad6b/+6abWaICbZV9GXeNBSiB8bBGl0AZayeaSr4dTw==" saltValue="MJ63pQRL0qdUi7fLiqozFg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D3F0A-9C82-442F-8BC0-5393B36EC5BA}">
  <dimension ref="A1:N85"/>
  <sheetViews>
    <sheetView workbookViewId="0"/>
  </sheetViews>
  <sheetFormatPr defaultRowHeight="14.5" x14ac:dyDescent="0.35"/>
  <cols>
    <col min="1" max="1" width="7.6328125" customWidth="1"/>
    <col min="2" max="2" width="6.6328125" customWidth="1"/>
    <col min="3" max="3" width="12.6328125" customWidth="1"/>
    <col min="4" max="4" width="35.6328125" customWidth="1"/>
    <col min="5" max="5" width="12.6328125" customWidth="1"/>
    <col min="6" max="8" width="11.6328125" customWidth="1"/>
    <col min="9" max="9" width="9.6328125" customWidth="1"/>
    <col min="10" max="12" width="11.6328125" customWidth="1"/>
    <col min="13" max="13" width="12.6328125" customWidth="1"/>
    <col min="14" max="14" width="14.6328125" customWidth="1"/>
  </cols>
  <sheetData>
    <row r="1" spans="1:14" x14ac:dyDescent="0.35">
      <c r="A1" s="1" t="str">
        <f>CONCATENATE("Bijlage 3.2: ",tabeltype," regulier werk")</f>
        <v>Bijlage 3.2: Invultabel regulier werk</v>
      </c>
    </row>
    <row r="3" spans="1:14" ht="43.5" x14ac:dyDescent="0.35">
      <c r="A3" s="44" t="s">
        <v>209</v>
      </c>
      <c r="B3" s="44" t="s">
        <v>7</v>
      </c>
      <c r="C3" s="44" t="s">
        <v>210</v>
      </c>
      <c r="D3" s="44" t="s">
        <v>98</v>
      </c>
      <c r="E3" s="44" t="s">
        <v>211</v>
      </c>
      <c r="F3" s="44" t="s">
        <v>212</v>
      </c>
      <c r="G3" s="44" t="s">
        <v>99</v>
      </c>
      <c r="H3" s="44" t="s">
        <v>100</v>
      </c>
      <c r="I3" s="44" t="s">
        <v>101</v>
      </c>
      <c r="J3" s="44" t="s">
        <v>102</v>
      </c>
      <c r="K3" s="44" t="s">
        <v>213</v>
      </c>
      <c r="L3" s="44" t="s">
        <v>214</v>
      </c>
      <c r="M3" s="44" t="s">
        <v>215</v>
      </c>
      <c r="N3" s="44" t="s">
        <v>216</v>
      </c>
    </row>
    <row r="4" spans="1:14" x14ac:dyDescent="0.3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35">
      <c r="A5" s="48" t="s">
        <v>103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x14ac:dyDescent="0.35">
      <c r="A6" s="51" t="s">
        <v>217</v>
      </c>
      <c r="B6" s="51" t="s">
        <v>14</v>
      </c>
      <c r="C6" s="51" t="s">
        <v>218</v>
      </c>
      <c r="D6" s="51" t="s">
        <v>219</v>
      </c>
      <c r="E6" s="66">
        <v>15</v>
      </c>
      <c r="F6" s="66">
        <f>E6*VLOOKUP(B6,dagsoorttabel1,2,FALSE)</f>
        <v>3</v>
      </c>
      <c r="G6" s="67">
        <f>IF(AND(catpn_1_BKHB_1&gt;0,catpn_1_BKHV_51&gt;0),(dagenperjaar1*VLOOKUP(B6,dagsoorttabel1,2,FALSE))/(((dagenperjaar1*VLOOKUP(B6,dagsoorttabel1,2,FALSE))-catfd_1_BKHV_51)/catpn_1_BKHB_1+catfd_1_BKHV_51/catpn_1_BKHV_51),0)</f>
        <v>0</v>
      </c>
      <c r="H6" s="68">
        <f>IF(AND(catpn_1_BKHB_1&gt;0,catpn_1_BKHV_51&gt;0),(catdw_1_BKHB_1*((dagenperjaar1*VLOOKUP(B6,dagsoorttabel1,2,FALSE))-catfd_1_BKHV_51)/catpn_1_BKHB_1+catdw_1_BKHV_51*catfd_1_BKHV_51/catpn_1_BKHV_51)/(((dagenperjaar1*VLOOKUP(B6,dagsoorttabel1,2,FALSE))-catfd_1_BKHV_51)/catpn_1_BKHB_1+catfd_1_BKHV_51/catpn_1_BKHV_51),0)</f>
        <v>0</v>
      </c>
      <c r="I6" s="51" t="s">
        <v>107</v>
      </c>
      <c r="J6" s="55">
        <f>IF(AND(catpn_1_BKHB_1&gt;0,catpn_1_BKHV_51&gt;0),(cattf_1_BKHB_1*((dagenperjaar1*VLOOKUP(B6,dagsoorttabel1,2,FALSE))-catfd_1_BKHV_51)/catpn_1_BKHB_1+cattf_1_BKHV_51*catfd_1_BKHV_51/catpn_1_BKHV_51)/(((dagenperjaar1*VLOOKUP(B6,dagsoorttabel1,2,FALSE))-catfd_1_BKHV_51)/catpn_1_BKHB_1+catfd_1_BKHV_51/catpn_1_BKHV_51),0)</f>
        <v>0</v>
      </c>
      <c r="K6" s="66">
        <f>IF(OR(ISBLANK(G6),G6=0),0,F6/ROUND(G6,4))</f>
        <v>0</v>
      </c>
      <c r="L6" s="55">
        <f>ROUND(J6,2)*K6</f>
        <v>0</v>
      </c>
      <c r="M6" s="66">
        <f>K6*dagenperjaar1</f>
        <v>0</v>
      </c>
      <c r="N6" s="55">
        <f>M6*ROUND(J6,2)</f>
        <v>0</v>
      </c>
    </row>
    <row r="7" spans="1:14" x14ac:dyDescent="0.35">
      <c r="A7" s="56" t="s">
        <v>217</v>
      </c>
      <c r="B7" s="56" t="s">
        <v>13</v>
      </c>
      <c r="C7" s="56" t="s">
        <v>218</v>
      </c>
      <c r="D7" s="56" t="s">
        <v>219</v>
      </c>
      <c r="E7" s="69">
        <v>7</v>
      </c>
      <c r="F7" s="69">
        <f>E7*VLOOKUP(B7,dagsoorttabel1,2,FALSE)</f>
        <v>2.8000000000000003</v>
      </c>
      <c r="G7" s="70">
        <f>IF(AND(catpn_1_BKHB_1&gt;0,catpn_1_BKHV_51&gt;0),(dagenperjaar1*VLOOKUP(B7,dagsoorttabel1,2,FALSE))/(((dagenperjaar1*VLOOKUP(B7,dagsoorttabel1,2,FALSE))-catfd_1_BKHV_51)/catpn_1_BKHB_1+catfd_1_BKHV_51/catpn_1_BKHV_51),0)</f>
        <v>0</v>
      </c>
      <c r="H7" s="71">
        <f>IF(AND(catpn_1_BKHB_1&gt;0,catpn_1_BKHV_51&gt;0),(catdw_1_BKHB_1*((dagenperjaar1*VLOOKUP(B7,dagsoorttabel1,2,FALSE))-catfd_1_BKHV_51)/catpn_1_BKHB_1+catdw_1_BKHV_51*catfd_1_BKHV_51/catpn_1_BKHV_51)/(((dagenperjaar1*VLOOKUP(B7,dagsoorttabel1,2,FALSE))-catfd_1_BKHV_51)/catpn_1_BKHB_1+catfd_1_BKHV_51/catpn_1_BKHV_51),0)</f>
        <v>0</v>
      </c>
      <c r="I7" s="56" t="s">
        <v>107</v>
      </c>
      <c r="J7" s="60">
        <f>IF(AND(catpn_1_BKHB_1&gt;0,catpn_1_BKHV_51&gt;0),(cattf_1_BKHB_1*((dagenperjaar1*VLOOKUP(B7,dagsoorttabel1,2,FALSE))-catfd_1_BKHV_51)/catpn_1_BKHB_1+cattf_1_BKHV_51*catfd_1_BKHV_51/catpn_1_BKHV_51)/(((dagenperjaar1*VLOOKUP(B7,dagsoorttabel1,2,FALSE))-catfd_1_BKHV_51)/catpn_1_BKHB_1+catfd_1_BKHV_51/catpn_1_BKHV_51),0)</f>
        <v>0</v>
      </c>
      <c r="K7" s="69">
        <f>IF(OR(ISBLANK(G7),G7=0),0,F7/ROUND(G7,4))</f>
        <v>0</v>
      </c>
      <c r="L7" s="60">
        <f>ROUND(J7,2)*K7</f>
        <v>0</v>
      </c>
      <c r="M7" s="69">
        <f>K7*dagenperjaar1</f>
        <v>0</v>
      </c>
      <c r="N7" s="60">
        <f>M7*ROUND(J7,2)</f>
        <v>0</v>
      </c>
    </row>
    <row r="8" spans="1:14" x14ac:dyDescent="0.35">
      <c r="A8" s="56" t="s">
        <v>217</v>
      </c>
      <c r="B8" s="56" t="s">
        <v>12</v>
      </c>
      <c r="C8" s="56" t="s">
        <v>218</v>
      </c>
      <c r="D8" s="56" t="s">
        <v>219</v>
      </c>
      <c r="E8" s="69">
        <v>91</v>
      </c>
      <c r="F8" s="69">
        <f>E8*VLOOKUP(B8,dagsoorttabel1,2,FALSE)</f>
        <v>54.6</v>
      </c>
      <c r="G8" s="70">
        <f>IF(AND(catpn_1_BKHB_1&gt;0,catpn_1_BKHV_51&gt;0),(dagenperjaar1*VLOOKUP(B8,dagsoorttabel1,2,FALSE))/(((dagenperjaar1*VLOOKUP(B8,dagsoorttabel1,2,FALSE))-catfd_1_BKHV_51)/catpn_1_BKHB_1+catfd_1_BKHV_51/catpn_1_BKHV_51),0)</f>
        <v>0</v>
      </c>
      <c r="H8" s="71">
        <f>IF(AND(catpn_1_BKHB_1&gt;0,catpn_1_BKHV_51&gt;0),(catdw_1_BKHB_1*((dagenperjaar1*VLOOKUP(B8,dagsoorttabel1,2,FALSE))-catfd_1_BKHV_51)/catpn_1_BKHB_1+catdw_1_BKHV_51*catfd_1_BKHV_51/catpn_1_BKHV_51)/(((dagenperjaar1*VLOOKUP(B8,dagsoorttabel1,2,FALSE))-catfd_1_BKHV_51)/catpn_1_BKHB_1+catfd_1_BKHV_51/catpn_1_BKHV_51),0)</f>
        <v>0</v>
      </c>
      <c r="I8" s="56" t="s">
        <v>107</v>
      </c>
      <c r="J8" s="60">
        <f>IF(AND(catpn_1_BKHB_1&gt;0,catpn_1_BKHV_51&gt;0),(cattf_1_BKHB_1*((dagenperjaar1*VLOOKUP(B8,dagsoorttabel1,2,FALSE))-catfd_1_BKHV_51)/catpn_1_BKHB_1+cattf_1_BKHV_51*catfd_1_BKHV_51/catpn_1_BKHV_51)/(((dagenperjaar1*VLOOKUP(B8,dagsoorttabel1,2,FALSE))-catfd_1_BKHV_51)/catpn_1_BKHB_1+catfd_1_BKHV_51/catpn_1_BKHV_51),0)</f>
        <v>0</v>
      </c>
      <c r="K8" s="69">
        <f>IF(OR(ISBLANK(G8),G8=0),0,F8/ROUND(G8,4))</f>
        <v>0</v>
      </c>
      <c r="L8" s="60">
        <f>ROUND(J8,2)*K8</f>
        <v>0</v>
      </c>
      <c r="M8" s="69">
        <f>K8*dagenperjaar1</f>
        <v>0</v>
      </c>
      <c r="N8" s="60">
        <f>M8*ROUND(J8,2)</f>
        <v>0</v>
      </c>
    </row>
    <row r="9" spans="1:14" x14ac:dyDescent="0.35">
      <c r="A9" s="56" t="s">
        <v>217</v>
      </c>
      <c r="B9" s="56" t="s">
        <v>10</v>
      </c>
      <c r="C9" s="56" t="s">
        <v>218</v>
      </c>
      <c r="D9" s="56" t="s">
        <v>219</v>
      </c>
      <c r="E9" s="69">
        <v>253</v>
      </c>
      <c r="F9" s="69">
        <f>E9*VLOOKUP(B9,dagsoorttabel1,2,FALSE)</f>
        <v>253</v>
      </c>
      <c r="G9" s="70">
        <f>IF(AND(catpn_1_BKHB_1&gt;0,catpn_1_BKHV_51&gt;0),(dagenperjaar1*VLOOKUP(B9,dagsoorttabel1,2,FALSE))/(((dagenperjaar1*VLOOKUP(B9,dagsoorttabel1,2,FALSE))-catfd_1_BKHV_51)/catpn_1_BKHB_1+catfd_1_BKHV_51/catpn_1_BKHV_51),0)</f>
        <v>0</v>
      </c>
      <c r="H9" s="71">
        <f>IF(AND(catpn_1_BKHB_1&gt;0,catpn_1_BKHV_51&gt;0),(catdw_1_BKHB_1*((dagenperjaar1*VLOOKUP(B9,dagsoorttabel1,2,FALSE))-catfd_1_BKHV_51)/catpn_1_BKHB_1+catdw_1_BKHV_51*catfd_1_BKHV_51/catpn_1_BKHV_51)/(((dagenperjaar1*VLOOKUP(B9,dagsoorttabel1,2,FALSE))-catfd_1_BKHV_51)/catpn_1_BKHB_1+catfd_1_BKHV_51/catpn_1_BKHV_51),0)</f>
        <v>0</v>
      </c>
      <c r="I9" s="56" t="s">
        <v>107</v>
      </c>
      <c r="J9" s="60">
        <f>IF(AND(catpn_1_BKHB_1&gt;0,catpn_1_BKHV_51&gt;0),(cattf_1_BKHB_1*((dagenperjaar1*VLOOKUP(B9,dagsoorttabel1,2,FALSE))-catfd_1_BKHV_51)/catpn_1_BKHB_1+cattf_1_BKHV_51*catfd_1_BKHV_51/catpn_1_BKHV_51)/(((dagenperjaar1*VLOOKUP(B9,dagsoorttabel1,2,FALSE))-catfd_1_BKHV_51)/catpn_1_BKHB_1+catfd_1_BKHV_51/catpn_1_BKHV_51),0)</f>
        <v>0</v>
      </c>
      <c r="K9" s="69">
        <f>IF(OR(ISBLANK(G9),G9=0),0,F9/ROUND(G9,4))</f>
        <v>0</v>
      </c>
      <c r="L9" s="60">
        <f>ROUND(J9,2)*K9</f>
        <v>0</v>
      </c>
      <c r="M9" s="69">
        <f>K9*dagenperjaar1</f>
        <v>0</v>
      </c>
      <c r="N9" s="60">
        <f>M9*ROUND(J9,2)</f>
        <v>0</v>
      </c>
    </row>
    <row r="10" spans="1:14" x14ac:dyDescent="0.35">
      <c r="A10" s="56" t="s">
        <v>220</v>
      </c>
      <c r="B10" s="56" t="s">
        <v>12</v>
      </c>
      <c r="C10" s="56" t="s">
        <v>218</v>
      </c>
      <c r="D10" s="56" t="s">
        <v>221</v>
      </c>
      <c r="E10" s="69">
        <v>954</v>
      </c>
      <c r="F10" s="69">
        <f>E10*VLOOKUP(B10,dagsoorttabel1,2,FALSE)</f>
        <v>572.4</v>
      </c>
      <c r="G10" s="70">
        <f>IF(AND(catpn_1_BKZB_1&gt;0,catpn_1_BKZV_51&gt;0),(dagenperjaar1*VLOOKUP(B10,dagsoorttabel1,2,FALSE))/(((dagenperjaar1*VLOOKUP(B10,dagsoorttabel1,2,FALSE))-catfd_1_BKZV_51)/catpn_1_BKZB_1+catfd_1_BKZV_51/catpn_1_BKZV_51),0)</f>
        <v>0</v>
      </c>
      <c r="H10" s="71">
        <f>IF(AND(catpn_1_BKZB_1&gt;0,catpn_1_BKZV_51&gt;0),(catdw_1_BKZB_1*((dagenperjaar1*VLOOKUP(B10,dagsoorttabel1,2,FALSE))-catfd_1_BKZV_51)/catpn_1_BKZB_1+catdw_1_BKZV_51*catfd_1_BKZV_51/catpn_1_BKZV_51)/(((dagenperjaar1*VLOOKUP(B10,dagsoorttabel1,2,FALSE))-catfd_1_BKZV_51)/catpn_1_BKZB_1+catfd_1_BKZV_51/catpn_1_BKZV_51),0)</f>
        <v>0</v>
      </c>
      <c r="I10" s="56" t="s">
        <v>107</v>
      </c>
      <c r="J10" s="60">
        <f>IF(AND(catpn_1_BKZB_1&gt;0,catpn_1_BKZV_51&gt;0),(cattf_1_BKZB_1*((dagenperjaar1*VLOOKUP(B10,dagsoorttabel1,2,FALSE))-catfd_1_BKZV_51)/catpn_1_BKZB_1+cattf_1_BKZV_51*catfd_1_BKZV_51/catpn_1_BKZV_51)/(((dagenperjaar1*VLOOKUP(B10,dagsoorttabel1,2,FALSE))-catfd_1_BKZV_51)/catpn_1_BKZB_1+catfd_1_BKZV_51/catpn_1_BKZV_51),0)</f>
        <v>0</v>
      </c>
      <c r="K10" s="69">
        <f>IF(OR(ISBLANK(G10),G10=0),0,F10/ROUND(G10,4))</f>
        <v>0</v>
      </c>
      <c r="L10" s="60">
        <f>ROUND(J10,2)*K10</f>
        <v>0</v>
      </c>
      <c r="M10" s="69">
        <f>K10*dagenperjaar1</f>
        <v>0</v>
      </c>
      <c r="N10" s="60">
        <f>M10*ROUND(J10,2)</f>
        <v>0</v>
      </c>
    </row>
    <row r="11" spans="1:14" x14ac:dyDescent="0.35">
      <c r="A11" s="56" t="s">
        <v>222</v>
      </c>
      <c r="B11" s="56" t="s">
        <v>10</v>
      </c>
      <c r="C11" s="56" t="s">
        <v>218</v>
      </c>
      <c r="D11" s="56" t="s">
        <v>223</v>
      </c>
      <c r="E11" s="69">
        <v>124</v>
      </c>
      <c r="F11" s="69">
        <f>E11*VLOOKUP(B11,dagsoorttabel1,2,FALSE)</f>
        <v>124</v>
      </c>
      <c r="G11" s="70">
        <f>IF(AND(catpn_1_BVHB_1&gt;0,catpn_1_BVHV_51&gt;0),(dagenperjaar1*VLOOKUP(B11,dagsoorttabel1,2,FALSE))/(((dagenperjaar1*VLOOKUP(B11,dagsoorttabel1,2,FALSE))-catfd_1_BVHV_51)/catpn_1_BVHB_1+catfd_1_BVHV_51/catpn_1_BVHV_51),0)</f>
        <v>0</v>
      </c>
      <c r="H11" s="71">
        <f>IF(AND(catpn_1_BVHB_1&gt;0,catpn_1_BVHV_51&gt;0),(catdw_1_BVHB_1*((dagenperjaar1*VLOOKUP(B11,dagsoorttabel1,2,FALSE))-catfd_1_BVHV_51)/catpn_1_BVHB_1+catdw_1_BVHV_51*catfd_1_BVHV_51/catpn_1_BVHV_51)/(((dagenperjaar1*VLOOKUP(B11,dagsoorttabel1,2,FALSE))-catfd_1_BVHV_51)/catpn_1_BVHB_1+catfd_1_BVHV_51/catpn_1_BVHV_51),0)</f>
        <v>0</v>
      </c>
      <c r="I11" s="56" t="s">
        <v>107</v>
      </c>
      <c r="J11" s="60">
        <f>IF(AND(catpn_1_BVHB_1&gt;0,catpn_1_BVHV_51&gt;0),(cattf_1_BVHB_1*((dagenperjaar1*VLOOKUP(B11,dagsoorttabel1,2,FALSE))-catfd_1_BVHV_51)/catpn_1_BVHB_1+cattf_1_BVHV_51*catfd_1_BVHV_51/catpn_1_BVHV_51)/(((dagenperjaar1*VLOOKUP(B11,dagsoorttabel1,2,FALSE))-catfd_1_BVHV_51)/catpn_1_BVHB_1+catfd_1_BVHV_51/catpn_1_BVHV_51),0)</f>
        <v>0</v>
      </c>
      <c r="K11" s="69">
        <f>IF(OR(ISBLANK(G11),G11=0),0,F11/ROUND(G11,4))</f>
        <v>0</v>
      </c>
      <c r="L11" s="60">
        <f>ROUND(J11,2)*K11</f>
        <v>0</v>
      </c>
      <c r="M11" s="69">
        <f>K11*dagenperjaar1</f>
        <v>0</v>
      </c>
      <c r="N11" s="60">
        <f>M11*ROUND(J11,2)</f>
        <v>0</v>
      </c>
    </row>
    <row r="12" spans="1:14" x14ac:dyDescent="0.35">
      <c r="A12" s="56" t="s">
        <v>224</v>
      </c>
      <c r="B12" s="56" t="s">
        <v>12</v>
      </c>
      <c r="C12" s="56" t="s">
        <v>218</v>
      </c>
      <c r="D12" s="56" t="s">
        <v>225</v>
      </c>
      <c r="E12" s="69">
        <v>117</v>
      </c>
      <c r="F12" s="69">
        <f>E12*VLOOKUP(B12,dagsoorttabel1,2,FALSE)</f>
        <v>70.2</v>
      </c>
      <c r="G12" s="70">
        <f>IF(AND(catpn_1_BVZB_1&gt;0,catpn_1_BVZV_51&gt;0),(dagenperjaar1*VLOOKUP(B12,dagsoorttabel1,2,FALSE))/(((dagenperjaar1*VLOOKUP(B12,dagsoorttabel1,2,FALSE))-catfd_1_BVZV_51)/catpn_1_BVZB_1+catfd_1_BVZV_51/catpn_1_BVZV_51),0)</f>
        <v>0</v>
      </c>
      <c r="H12" s="71">
        <f>IF(AND(catpn_1_BVZB_1&gt;0,catpn_1_BVZV_51&gt;0),(catdw_1_BVZB_1*((dagenperjaar1*VLOOKUP(B12,dagsoorttabel1,2,FALSE))-catfd_1_BVZV_51)/catpn_1_BVZB_1+catdw_1_BVZV_51*catfd_1_BVZV_51/catpn_1_BVZV_51)/(((dagenperjaar1*VLOOKUP(B12,dagsoorttabel1,2,FALSE))-catfd_1_BVZV_51)/catpn_1_BVZB_1+catfd_1_BVZV_51/catpn_1_BVZV_51),0)</f>
        <v>0</v>
      </c>
      <c r="I12" s="56" t="s">
        <v>107</v>
      </c>
      <c r="J12" s="60">
        <f>IF(AND(catpn_1_BVZB_1&gt;0,catpn_1_BVZV_51&gt;0),(cattf_1_BVZB_1*((dagenperjaar1*VLOOKUP(B12,dagsoorttabel1,2,FALSE))-catfd_1_BVZV_51)/catpn_1_BVZB_1+cattf_1_BVZV_51*catfd_1_BVZV_51/catpn_1_BVZV_51)/(((dagenperjaar1*VLOOKUP(B12,dagsoorttabel1,2,FALSE))-catfd_1_BVZV_51)/catpn_1_BVZB_1+catfd_1_BVZV_51/catpn_1_BVZV_51),0)</f>
        <v>0</v>
      </c>
      <c r="K12" s="69">
        <f>IF(OR(ISBLANK(G12),G12=0),0,F12/ROUND(G12,4))</f>
        <v>0</v>
      </c>
      <c r="L12" s="60">
        <f>ROUND(J12,2)*K12</f>
        <v>0</v>
      </c>
      <c r="M12" s="69">
        <f>K12*dagenperjaar1</f>
        <v>0</v>
      </c>
      <c r="N12" s="60">
        <f>M12*ROUND(J12,2)</f>
        <v>0</v>
      </c>
    </row>
    <row r="13" spans="1:14" x14ac:dyDescent="0.35">
      <c r="A13" s="56" t="s">
        <v>226</v>
      </c>
      <c r="B13" s="56" t="s">
        <v>10</v>
      </c>
      <c r="C13" s="56" t="s">
        <v>218</v>
      </c>
      <c r="D13" s="56" t="s">
        <v>227</v>
      </c>
      <c r="E13" s="69">
        <v>70</v>
      </c>
      <c r="F13" s="69">
        <f>E13*VLOOKUP(B13,dagsoorttabel1,2,FALSE)</f>
        <v>70</v>
      </c>
      <c r="G13" s="70">
        <f>IF(AND(catpn_1_KPHB_1&gt;0,catpn_1_KPHV_51&gt;0),(dagenperjaar1*VLOOKUP(B13,dagsoorttabel1,2,FALSE))/(((dagenperjaar1*VLOOKUP(B13,dagsoorttabel1,2,FALSE))-catfd_1_KPHV_51)/catpn_1_KPHB_1+catfd_1_KPHV_51/catpn_1_KPHV_51),0)</f>
        <v>0</v>
      </c>
      <c r="H13" s="71">
        <f>IF(AND(catpn_1_KPHB_1&gt;0,catpn_1_KPHV_51&gt;0),(catdw_1_KPHB_1*((dagenperjaar1*VLOOKUP(B13,dagsoorttabel1,2,FALSE))-catfd_1_KPHV_51)/catpn_1_KPHB_1+catdw_1_KPHV_51*catfd_1_KPHV_51/catpn_1_KPHV_51)/(((dagenperjaar1*VLOOKUP(B13,dagsoorttabel1,2,FALSE))-catfd_1_KPHV_51)/catpn_1_KPHB_1+catfd_1_KPHV_51/catpn_1_KPHV_51),0)</f>
        <v>0</v>
      </c>
      <c r="I13" s="56" t="s">
        <v>107</v>
      </c>
      <c r="J13" s="60">
        <f>IF(AND(catpn_1_KPHB_1&gt;0,catpn_1_KPHV_51&gt;0),(cattf_1_KPHB_1*((dagenperjaar1*VLOOKUP(B13,dagsoorttabel1,2,FALSE))-catfd_1_KPHV_51)/catpn_1_KPHB_1+cattf_1_KPHV_51*catfd_1_KPHV_51/catpn_1_KPHV_51)/(((dagenperjaar1*VLOOKUP(B13,dagsoorttabel1,2,FALSE))-catfd_1_KPHV_51)/catpn_1_KPHB_1+catfd_1_KPHV_51/catpn_1_KPHV_51),0)</f>
        <v>0</v>
      </c>
      <c r="K13" s="69">
        <f>IF(OR(ISBLANK(G13),G13=0),0,F13/ROUND(G13,4))</f>
        <v>0</v>
      </c>
      <c r="L13" s="60">
        <f>ROUND(J13,2)*K13</f>
        <v>0</v>
      </c>
      <c r="M13" s="69">
        <f>K13*dagenperjaar1</f>
        <v>0</v>
      </c>
      <c r="N13" s="60">
        <f>M13*ROUND(J13,2)</f>
        <v>0</v>
      </c>
    </row>
    <row r="14" spans="1:14" x14ac:dyDescent="0.35">
      <c r="A14" s="56" t="s">
        <v>228</v>
      </c>
      <c r="B14" s="56" t="s">
        <v>10</v>
      </c>
      <c r="C14" s="56" t="s">
        <v>218</v>
      </c>
      <c r="D14" s="56" t="s">
        <v>229</v>
      </c>
      <c r="E14" s="69">
        <v>226</v>
      </c>
      <c r="F14" s="69">
        <f>E14*VLOOKUP(B14,dagsoorttabel1,2,FALSE)</f>
        <v>226</v>
      </c>
      <c r="G14" s="70">
        <f>IF(AND(catpn_1_KRHB_1&gt;0,catpn_1_KRHV_51&gt;0),(dagenperjaar1*VLOOKUP(B14,dagsoorttabel1,2,FALSE))/(((dagenperjaar1*VLOOKUP(B14,dagsoorttabel1,2,FALSE))-catfd_1_KRHV_51)/catpn_1_KRHB_1+catfd_1_KRHV_51/catpn_1_KRHV_51),0)</f>
        <v>0</v>
      </c>
      <c r="H14" s="71">
        <f>IF(AND(catpn_1_KRHB_1&gt;0,catpn_1_KRHV_51&gt;0),(catdw_1_KRHB_1*((dagenperjaar1*VLOOKUP(B14,dagsoorttabel1,2,FALSE))-catfd_1_KRHV_51)/catpn_1_KRHB_1+catdw_1_KRHV_51*catfd_1_KRHV_51/catpn_1_KRHV_51)/(((dagenperjaar1*VLOOKUP(B14,dagsoorttabel1,2,FALSE))-catfd_1_KRHV_51)/catpn_1_KRHB_1+catfd_1_KRHV_51/catpn_1_KRHV_51),0)</f>
        <v>0</v>
      </c>
      <c r="I14" s="56" t="s">
        <v>107</v>
      </c>
      <c r="J14" s="60">
        <f>IF(AND(catpn_1_KRHB_1&gt;0,catpn_1_KRHV_51&gt;0),(cattf_1_KRHB_1*((dagenperjaar1*VLOOKUP(B14,dagsoorttabel1,2,FALSE))-catfd_1_KRHV_51)/catpn_1_KRHB_1+cattf_1_KRHV_51*catfd_1_KRHV_51/catpn_1_KRHV_51)/(((dagenperjaar1*VLOOKUP(B14,dagsoorttabel1,2,FALSE))-catfd_1_KRHV_51)/catpn_1_KRHB_1+catfd_1_KRHV_51/catpn_1_KRHV_51),0)</f>
        <v>0</v>
      </c>
      <c r="K14" s="69">
        <f>IF(OR(ISBLANK(G14),G14=0),0,F14/ROUND(G14,4))</f>
        <v>0</v>
      </c>
      <c r="L14" s="60">
        <f>ROUND(J14,2)*K14</f>
        <v>0</v>
      </c>
      <c r="M14" s="69">
        <f>K14*dagenperjaar1</f>
        <v>0</v>
      </c>
      <c r="N14" s="60">
        <f>M14*ROUND(J14,2)</f>
        <v>0</v>
      </c>
    </row>
    <row r="15" spans="1:14" x14ac:dyDescent="0.35">
      <c r="A15" s="56" t="s">
        <v>230</v>
      </c>
      <c r="B15" s="56" t="s">
        <v>13</v>
      </c>
      <c r="C15" s="56" t="s">
        <v>218</v>
      </c>
      <c r="D15" s="56" t="s">
        <v>231</v>
      </c>
      <c r="E15" s="69">
        <v>209</v>
      </c>
      <c r="F15" s="69">
        <f>E15*VLOOKUP(B15,dagsoorttabel1,2,FALSE)</f>
        <v>83.600000000000009</v>
      </c>
      <c r="G15" s="70">
        <f>IF(AND(catpn_1_LAHB_1&gt;0,catpn_1_LAHV_51&gt;0),(dagenperjaar1*VLOOKUP(B15,dagsoorttabel1,2,FALSE))/(((dagenperjaar1*VLOOKUP(B15,dagsoorttabel1,2,FALSE))-catfd_1_LAHV_51)/catpn_1_LAHB_1+catfd_1_LAHV_51/catpn_1_LAHV_51),0)</f>
        <v>0</v>
      </c>
      <c r="H15" s="71">
        <f>IF(AND(catpn_1_LAHB_1&gt;0,catpn_1_LAHV_51&gt;0),(catdw_1_LAHB_1*((dagenperjaar1*VLOOKUP(B15,dagsoorttabel1,2,FALSE))-catfd_1_LAHV_51)/catpn_1_LAHB_1+catdw_1_LAHV_51*catfd_1_LAHV_51/catpn_1_LAHV_51)/(((dagenperjaar1*VLOOKUP(B15,dagsoorttabel1,2,FALSE))-catfd_1_LAHV_51)/catpn_1_LAHB_1+catfd_1_LAHV_51/catpn_1_LAHV_51),0)</f>
        <v>0</v>
      </c>
      <c r="I15" s="56" t="s">
        <v>107</v>
      </c>
      <c r="J15" s="60">
        <f>IF(AND(catpn_1_LAHB_1&gt;0,catpn_1_LAHV_51&gt;0),(cattf_1_LAHB_1*((dagenperjaar1*VLOOKUP(B15,dagsoorttabel1,2,FALSE))-catfd_1_LAHV_51)/catpn_1_LAHB_1+cattf_1_LAHV_51*catfd_1_LAHV_51/catpn_1_LAHV_51)/(((dagenperjaar1*VLOOKUP(B15,dagsoorttabel1,2,FALSE))-catfd_1_LAHV_51)/catpn_1_LAHB_1+catfd_1_LAHV_51/catpn_1_LAHV_51),0)</f>
        <v>0</v>
      </c>
      <c r="K15" s="69">
        <f>IF(OR(ISBLANK(G15),G15=0),0,F15/ROUND(G15,4))</f>
        <v>0</v>
      </c>
      <c r="L15" s="60">
        <f>ROUND(J15,2)*K15</f>
        <v>0</v>
      </c>
      <c r="M15" s="69">
        <f>K15*dagenperjaar1</f>
        <v>0</v>
      </c>
      <c r="N15" s="60">
        <f>M15*ROUND(J15,2)</f>
        <v>0</v>
      </c>
    </row>
    <row r="16" spans="1:14" x14ac:dyDescent="0.35">
      <c r="A16" s="56" t="s">
        <v>232</v>
      </c>
      <c r="B16" s="56" t="s">
        <v>16</v>
      </c>
      <c r="C16" s="56" t="s">
        <v>218</v>
      </c>
      <c r="D16" s="56" t="s">
        <v>233</v>
      </c>
      <c r="E16" s="69">
        <v>34</v>
      </c>
      <c r="F16" s="69">
        <f>E16*VLOOKUP(B16,dagsoorttabel1,2,FALSE)</f>
        <v>1.6</v>
      </c>
      <c r="G16" s="70">
        <f>catpn_1_MAHV_12</f>
        <v>0</v>
      </c>
      <c r="H16" s="71">
        <f>catdw_1_MAHV_12</f>
        <v>0</v>
      </c>
      <c r="I16" s="56" t="s">
        <v>107</v>
      </c>
      <c r="J16" s="60">
        <f>cattf_1_MAHV_12</f>
        <v>0</v>
      </c>
      <c r="K16" s="69">
        <f>IF(OR(ISBLANK(G16),G16=0),0,F16/ROUND(G16,4))</f>
        <v>0</v>
      </c>
      <c r="L16" s="60">
        <f>ROUND(J16,2)*K16</f>
        <v>0</v>
      </c>
      <c r="M16" s="69">
        <f>K16*dagenperjaar1</f>
        <v>0</v>
      </c>
      <c r="N16" s="60">
        <f>M16*ROUND(J16,2)</f>
        <v>0</v>
      </c>
    </row>
    <row r="17" spans="1:14" x14ac:dyDescent="0.35">
      <c r="A17" s="56" t="s">
        <v>232</v>
      </c>
      <c r="B17" s="56" t="s">
        <v>13</v>
      </c>
      <c r="C17" s="56" t="s">
        <v>218</v>
      </c>
      <c r="D17" s="56" t="s">
        <v>233</v>
      </c>
      <c r="E17" s="69">
        <v>895</v>
      </c>
      <c r="F17" s="69">
        <f>E17*VLOOKUP(B17,dagsoorttabel1,2,FALSE)</f>
        <v>358</v>
      </c>
      <c r="G17" s="70">
        <f>IF(AND(catpn_1_MAHB_1&gt;0,catpn_1_MAHV_51&gt;0),(dagenperjaar1*VLOOKUP(B17,dagsoorttabel1,2,FALSE))/(((dagenperjaar1*VLOOKUP(B17,dagsoorttabel1,2,FALSE))-catfd_1_MAHV_51)/catpn_1_MAHB_1+catfd_1_MAHV_51/catpn_1_MAHV_51),0)</f>
        <v>0</v>
      </c>
      <c r="H17" s="71">
        <f>IF(AND(catpn_1_MAHB_1&gt;0,catpn_1_MAHV_51&gt;0),(catdw_1_MAHB_1*((dagenperjaar1*VLOOKUP(B17,dagsoorttabel1,2,FALSE))-catfd_1_MAHV_51)/catpn_1_MAHB_1+catdw_1_MAHV_51*catfd_1_MAHV_51/catpn_1_MAHV_51)/(((dagenperjaar1*VLOOKUP(B17,dagsoorttabel1,2,FALSE))-catfd_1_MAHV_51)/catpn_1_MAHB_1+catfd_1_MAHV_51/catpn_1_MAHV_51),0)</f>
        <v>0</v>
      </c>
      <c r="I17" s="56" t="s">
        <v>107</v>
      </c>
      <c r="J17" s="60">
        <f>IF(AND(catpn_1_MAHB_1&gt;0,catpn_1_MAHV_51&gt;0),(cattf_1_MAHB_1*((dagenperjaar1*VLOOKUP(B17,dagsoorttabel1,2,FALSE))-catfd_1_MAHV_51)/catpn_1_MAHB_1+cattf_1_MAHV_51*catfd_1_MAHV_51/catpn_1_MAHV_51)/(((dagenperjaar1*VLOOKUP(B17,dagsoorttabel1,2,FALSE))-catfd_1_MAHV_51)/catpn_1_MAHB_1+catfd_1_MAHV_51/catpn_1_MAHV_51),0)</f>
        <v>0</v>
      </c>
      <c r="K17" s="69">
        <f>IF(OR(ISBLANK(G17),G17=0),0,F17/ROUND(G17,4))</f>
        <v>0</v>
      </c>
      <c r="L17" s="60">
        <f>ROUND(J17,2)*K17</f>
        <v>0</v>
      </c>
      <c r="M17" s="69">
        <f>K17*dagenperjaar1</f>
        <v>0</v>
      </c>
      <c r="N17" s="60">
        <f>M17*ROUND(J17,2)</f>
        <v>0</v>
      </c>
    </row>
    <row r="18" spans="1:14" x14ac:dyDescent="0.35">
      <c r="A18" s="56" t="s">
        <v>234</v>
      </c>
      <c r="B18" s="56" t="s">
        <v>10</v>
      </c>
      <c r="C18" s="56" t="s">
        <v>218</v>
      </c>
      <c r="D18" s="56" t="s">
        <v>235</v>
      </c>
      <c r="E18" s="69">
        <v>6416</v>
      </c>
      <c r="F18" s="69">
        <f>E18*VLOOKUP(B18,dagsoorttabel1,2,FALSE)</f>
        <v>6416</v>
      </c>
      <c r="G18" s="70">
        <f>IF(AND(catpn_1_MEHB_1&gt;0,catpn_1_MEHV_51&gt;0),(dagenperjaar1*VLOOKUP(B18,dagsoorttabel1,2,FALSE))/(((dagenperjaar1*VLOOKUP(B18,dagsoorttabel1,2,FALSE))-catfd_1_MEHV_51)/catpn_1_MEHB_1+catfd_1_MEHV_51/catpn_1_MEHV_51),0)</f>
        <v>0</v>
      </c>
      <c r="H18" s="71">
        <f>IF(AND(catpn_1_MEHB_1&gt;0,catpn_1_MEHV_51&gt;0),(catdw_1_MEHB_1*((dagenperjaar1*VLOOKUP(B18,dagsoorttabel1,2,FALSE))-catfd_1_MEHV_51)/catpn_1_MEHB_1+catdw_1_MEHV_51*catfd_1_MEHV_51/catpn_1_MEHV_51)/(((dagenperjaar1*VLOOKUP(B18,dagsoorttabel1,2,FALSE))-catfd_1_MEHV_51)/catpn_1_MEHB_1+catfd_1_MEHV_51/catpn_1_MEHV_51),0)</f>
        <v>0</v>
      </c>
      <c r="I18" s="56" t="s">
        <v>107</v>
      </c>
      <c r="J18" s="60">
        <f>IF(AND(catpn_1_MEHB_1&gt;0,catpn_1_MEHV_51&gt;0),(cattf_1_MEHB_1*((dagenperjaar1*VLOOKUP(B18,dagsoorttabel1,2,FALSE))-catfd_1_MEHV_51)/catpn_1_MEHB_1+cattf_1_MEHV_51*catfd_1_MEHV_51/catpn_1_MEHV_51)/(((dagenperjaar1*VLOOKUP(B18,dagsoorttabel1,2,FALSE))-catfd_1_MEHV_51)/catpn_1_MEHB_1+catfd_1_MEHV_51/catpn_1_MEHV_51),0)</f>
        <v>0</v>
      </c>
      <c r="K18" s="69">
        <f>IF(OR(ISBLANK(G18),G18=0),0,F18/ROUND(G18,4))</f>
        <v>0</v>
      </c>
      <c r="L18" s="60">
        <f>ROUND(J18,2)*K18</f>
        <v>0</v>
      </c>
      <c r="M18" s="69">
        <f>K18*dagenperjaar1</f>
        <v>0</v>
      </c>
      <c r="N18" s="60">
        <f>M18*ROUND(J18,2)</f>
        <v>0</v>
      </c>
    </row>
    <row r="19" spans="1:14" x14ac:dyDescent="0.35">
      <c r="A19" s="56" t="s">
        <v>236</v>
      </c>
      <c r="B19" s="56" t="s">
        <v>16</v>
      </c>
      <c r="C19" s="56" t="s">
        <v>218</v>
      </c>
      <c r="D19" s="56" t="s">
        <v>237</v>
      </c>
      <c r="E19" s="69">
        <v>1159</v>
      </c>
      <c r="F19" s="69">
        <f>E19*VLOOKUP(B19,dagsoorttabel1,2,FALSE)</f>
        <v>54.541176470588233</v>
      </c>
      <c r="G19" s="70">
        <f>catpn_1_OAHV_12</f>
        <v>0</v>
      </c>
      <c r="H19" s="71">
        <f>catdw_1_OAHV_12</f>
        <v>0</v>
      </c>
      <c r="I19" s="56" t="s">
        <v>107</v>
      </c>
      <c r="J19" s="60">
        <f>cattf_1_OAHV_12</f>
        <v>0</v>
      </c>
      <c r="K19" s="69">
        <f>IF(OR(ISBLANK(G19),G19=0),0,F19/ROUND(G19,4))</f>
        <v>0</v>
      </c>
      <c r="L19" s="60">
        <f>ROUND(J19,2)*K19</f>
        <v>0</v>
      </c>
      <c r="M19" s="69">
        <f>K19*dagenperjaar1</f>
        <v>0</v>
      </c>
      <c r="N19" s="60">
        <f>M19*ROUND(J19,2)</f>
        <v>0</v>
      </c>
    </row>
    <row r="20" spans="1:14" x14ac:dyDescent="0.35">
      <c r="A20" s="56" t="s">
        <v>236</v>
      </c>
      <c r="B20" s="56" t="s">
        <v>13</v>
      </c>
      <c r="C20" s="56" t="s">
        <v>218</v>
      </c>
      <c r="D20" s="56" t="s">
        <v>237</v>
      </c>
      <c r="E20" s="69">
        <v>90</v>
      </c>
      <c r="F20" s="69">
        <f>E20*VLOOKUP(B20,dagsoorttabel1,2,FALSE)</f>
        <v>36</v>
      </c>
      <c r="G20" s="70">
        <f>IF(AND(catpn_1_OAHB_1&gt;0,catpn_1_OAHV_51&gt;0),(dagenperjaar1*VLOOKUP(B20,dagsoorttabel1,2,FALSE))/(((dagenperjaar1*VLOOKUP(B20,dagsoorttabel1,2,FALSE))-catfd_1_OAHV_51)/catpn_1_OAHB_1+catfd_1_OAHV_51/catpn_1_OAHV_51),0)</f>
        <v>0</v>
      </c>
      <c r="H20" s="71">
        <f>IF(AND(catpn_1_OAHB_1&gt;0,catpn_1_OAHV_51&gt;0),(catdw_1_OAHB_1*((dagenperjaar1*VLOOKUP(B20,dagsoorttabel1,2,FALSE))-catfd_1_OAHV_51)/catpn_1_OAHB_1+catdw_1_OAHV_51*catfd_1_OAHV_51/catpn_1_OAHV_51)/(((dagenperjaar1*VLOOKUP(B20,dagsoorttabel1,2,FALSE))-catfd_1_OAHV_51)/catpn_1_OAHB_1+catfd_1_OAHV_51/catpn_1_OAHV_51),0)</f>
        <v>0</v>
      </c>
      <c r="I20" s="56" t="s">
        <v>107</v>
      </c>
      <c r="J20" s="60">
        <f>IF(AND(catpn_1_OAHB_1&gt;0,catpn_1_OAHV_51&gt;0),(cattf_1_OAHB_1*((dagenperjaar1*VLOOKUP(B20,dagsoorttabel1,2,FALSE))-catfd_1_OAHV_51)/catpn_1_OAHB_1+cattf_1_OAHV_51*catfd_1_OAHV_51/catpn_1_OAHV_51)/(((dagenperjaar1*VLOOKUP(B20,dagsoorttabel1,2,FALSE))-catfd_1_OAHV_51)/catpn_1_OAHB_1+catfd_1_OAHV_51/catpn_1_OAHV_51),0)</f>
        <v>0</v>
      </c>
      <c r="K20" s="69">
        <f>IF(OR(ISBLANK(G20),G20=0),0,F20/ROUND(G20,4))</f>
        <v>0</v>
      </c>
      <c r="L20" s="60">
        <f>ROUND(J20,2)*K20</f>
        <v>0</v>
      </c>
      <c r="M20" s="69">
        <f>K20*dagenperjaar1</f>
        <v>0</v>
      </c>
      <c r="N20" s="60">
        <f>M20*ROUND(J20,2)</f>
        <v>0</v>
      </c>
    </row>
    <row r="21" spans="1:14" x14ac:dyDescent="0.35">
      <c r="A21" s="56" t="s">
        <v>238</v>
      </c>
      <c r="B21" s="56" t="s">
        <v>10</v>
      </c>
      <c r="C21" s="56" t="s">
        <v>218</v>
      </c>
      <c r="D21" s="56" t="s">
        <v>239</v>
      </c>
      <c r="E21" s="69">
        <v>24</v>
      </c>
      <c r="F21" s="69">
        <f>E21*VLOOKUP(B21,dagsoorttabel1,2,FALSE)</f>
        <v>24</v>
      </c>
      <c r="G21" s="70">
        <f>IF(AND(catpn_1_SDHB_1&gt;0,catpn_1_SDHV_51&gt;0),(dagenperjaar1*VLOOKUP(B21,dagsoorttabel1,2,FALSE))/(((dagenperjaar1*VLOOKUP(B21,dagsoorttabel1,2,FALSE))-catfd_1_SDHV_51)/catpn_1_SDHB_1+catfd_1_SDHV_51/catpn_1_SDHV_51),0)</f>
        <v>0</v>
      </c>
      <c r="H21" s="71">
        <f>IF(AND(catpn_1_SDHB_1&gt;0,catpn_1_SDHV_51&gt;0),(catdw_1_SDHB_1*((dagenperjaar1*VLOOKUP(B21,dagsoorttabel1,2,FALSE))-catfd_1_SDHV_51)/catpn_1_SDHB_1+catdw_1_SDHV_51*catfd_1_SDHV_51/catpn_1_SDHV_51)/(((dagenperjaar1*VLOOKUP(B21,dagsoorttabel1,2,FALSE))-catfd_1_SDHV_51)/catpn_1_SDHB_1+catfd_1_SDHV_51/catpn_1_SDHV_51),0)</f>
        <v>0</v>
      </c>
      <c r="I21" s="56" t="s">
        <v>107</v>
      </c>
      <c r="J21" s="60">
        <f>IF(AND(catpn_1_SDHB_1&gt;0,catpn_1_SDHV_51&gt;0),(cattf_1_SDHB_1*((dagenperjaar1*VLOOKUP(B21,dagsoorttabel1,2,FALSE))-catfd_1_SDHV_51)/catpn_1_SDHB_1+cattf_1_SDHV_51*catfd_1_SDHV_51/catpn_1_SDHV_51)/(((dagenperjaar1*VLOOKUP(B21,dagsoorttabel1,2,FALSE))-catfd_1_SDHV_51)/catpn_1_SDHB_1+catfd_1_SDHV_51/catpn_1_SDHV_51),0)</f>
        <v>0</v>
      </c>
      <c r="K21" s="69">
        <f>IF(OR(ISBLANK(G21),G21=0),0,F21/ROUND(G21,4))</f>
        <v>0</v>
      </c>
      <c r="L21" s="60">
        <f>ROUND(J21,2)*K21</f>
        <v>0</v>
      </c>
      <c r="M21" s="69">
        <f>K21*dagenperjaar1</f>
        <v>0</v>
      </c>
      <c r="N21" s="60">
        <f>M21*ROUND(J21,2)</f>
        <v>0</v>
      </c>
    </row>
    <row r="22" spans="1:14" x14ac:dyDescent="0.35">
      <c r="A22" s="56" t="s">
        <v>240</v>
      </c>
      <c r="B22" s="56" t="s">
        <v>14</v>
      </c>
      <c r="C22" s="56" t="s">
        <v>218</v>
      </c>
      <c r="D22" s="56" t="s">
        <v>241</v>
      </c>
      <c r="E22" s="69">
        <v>6</v>
      </c>
      <c r="F22" s="69">
        <f>E22*VLOOKUP(B22,dagsoorttabel1,2,FALSE)</f>
        <v>1.2000000000000002</v>
      </c>
      <c r="G22" s="70">
        <f>IF(AND(catpn_1_SKHB_1&gt;0,catpn_1_SKHV_51&gt;0),(dagenperjaar1*VLOOKUP(B22,dagsoorttabel1,2,FALSE))/(((dagenperjaar1*VLOOKUP(B22,dagsoorttabel1,2,FALSE))-catfd_1_SKHV_51)/catpn_1_SKHB_1+catfd_1_SKHV_51/catpn_1_SKHV_51),0)</f>
        <v>0</v>
      </c>
      <c r="H22" s="71">
        <f>IF(AND(catpn_1_SKHB_1&gt;0,catpn_1_SKHV_51&gt;0),(catdw_1_SKHB_1*((dagenperjaar1*VLOOKUP(B22,dagsoorttabel1,2,FALSE))-catfd_1_SKHV_51)/catpn_1_SKHB_1+catdw_1_SKHV_51*catfd_1_SKHV_51/catpn_1_SKHV_51)/(((dagenperjaar1*VLOOKUP(B22,dagsoorttabel1,2,FALSE))-catfd_1_SKHV_51)/catpn_1_SKHB_1+catfd_1_SKHV_51/catpn_1_SKHV_51),0)</f>
        <v>0</v>
      </c>
      <c r="I22" s="56" t="s">
        <v>107</v>
      </c>
      <c r="J22" s="60">
        <f>IF(AND(catpn_1_SKHB_1&gt;0,catpn_1_SKHV_51&gt;0),(cattf_1_SKHB_1*((dagenperjaar1*VLOOKUP(B22,dagsoorttabel1,2,FALSE))-catfd_1_SKHV_51)/catpn_1_SKHB_1+cattf_1_SKHV_51*catfd_1_SKHV_51/catpn_1_SKHV_51)/(((dagenperjaar1*VLOOKUP(B22,dagsoorttabel1,2,FALSE))-catfd_1_SKHV_51)/catpn_1_SKHB_1+catfd_1_SKHV_51/catpn_1_SKHV_51),0)</f>
        <v>0</v>
      </c>
      <c r="K22" s="69">
        <f>IF(OR(ISBLANK(G22),G22=0),0,F22/ROUND(G22,4))</f>
        <v>0</v>
      </c>
      <c r="L22" s="60">
        <f>ROUND(J22,2)*K22</f>
        <v>0</v>
      </c>
      <c r="M22" s="69">
        <f>K22*dagenperjaar1</f>
        <v>0</v>
      </c>
      <c r="N22" s="60">
        <f>M22*ROUND(J22,2)</f>
        <v>0</v>
      </c>
    </row>
    <row r="23" spans="1:14" x14ac:dyDescent="0.35">
      <c r="A23" s="56" t="s">
        <v>240</v>
      </c>
      <c r="B23" s="56" t="s">
        <v>10</v>
      </c>
      <c r="C23" s="56" t="s">
        <v>218</v>
      </c>
      <c r="D23" s="56" t="s">
        <v>241</v>
      </c>
      <c r="E23" s="69">
        <v>90</v>
      </c>
      <c r="F23" s="69">
        <f>E23*VLOOKUP(B23,dagsoorttabel1,2,FALSE)</f>
        <v>90</v>
      </c>
      <c r="G23" s="70">
        <f>IF(AND(catpn_1_SKHB_1&gt;0,catpn_1_SKHV_51&gt;0),(dagenperjaar1*VLOOKUP(B23,dagsoorttabel1,2,FALSE))/(((dagenperjaar1*VLOOKUP(B23,dagsoorttabel1,2,FALSE))-catfd_1_SKHV_51)/catpn_1_SKHB_1+catfd_1_SKHV_51/catpn_1_SKHV_51),0)</f>
        <v>0</v>
      </c>
      <c r="H23" s="71">
        <f>IF(AND(catpn_1_SKHB_1&gt;0,catpn_1_SKHV_51&gt;0),(catdw_1_SKHB_1*((dagenperjaar1*VLOOKUP(B23,dagsoorttabel1,2,FALSE))-catfd_1_SKHV_51)/catpn_1_SKHB_1+catdw_1_SKHV_51*catfd_1_SKHV_51/catpn_1_SKHV_51)/(((dagenperjaar1*VLOOKUP(B23,dagsoorttabel1,2,FALSE))-catfd_1_SKHV_51)/catpn_1_SKHB_1+catfd_1_SKHV_51/catpn_1_SKHV_51),0)</f>
        <v>0</v>
      </c>
      <c r="I23" s="56" t="s">
        <v>107</v>
      </c>
      <c r="J23" s="60">
        <f>IF(AND(catpn_1_SKHB_1&gt;0,catpn_1_SKHV_51&gt;0),(cattf_1_SKHB_1*((dagenperjaar1*VLOOKUP(B23,dagsoorttabel1,2,FALSE))-catfd_1_SKHV_51)/catpn_1_SKHB_1+cattf_1_SKHV_51*catfd_1_SKHV_51/catpn_1_SKHV_51)/(((dagenperjaar1*VLOOKUP(B23,dagsoorttabel1,2,FALSE))-catfd_1_SKHV_51)/catpn_1_SKHB_1+catfd_1_SKHV_51/catpn_1_SKHV_51),0)</f>
        <v>0</v>
      </c>
      <c r="K23" s="69">
        <f>IF(OR(ISBLANK(G23),G23=0),0,F23/ROUND(G23,4))</f>
        <v>0</v>
      </c>
      <c r="L23" s="60">
        <f>ROUND(J23,2)*K23</f>
        <v>0</v>
      </c>
      <c r="M23" s="69">
        <f>K23*dagenperjaar1</f>
        <v>0</v>
      </c>
      <c r="N23" s="60">
        <f>M23*ROUND(J23,2)</f>
        <v>0</v>
      </c>
    </row>
    <row r="24" spans="1:14" x14ac:dyDescent="0.35">
      <c r="A24" s="56" t="s">
        <v>242</v>
      </c>
      <c r="B24" s="56" t="s">
        <v>10</v>
      </c>
      <c r="C24" s="56" t="s">
        <v>218</v>
      </c>
      <c r="D24" s="56" t="s">
        <v>243</v>
      </c>
      <c r="E24" s="69">
        <v>206</v>
      </c>
      <c r="F24" s="69">
        <f>E24*VLOOKUP(B24,dagsoorttabel1,2,FALSE)</f>
        <v>206</v>
      </c>
      <c r="G24" s="70">
        <f>IF(AND(catpn_1_STHB_1&gt;0,catpn_1_STHV_51&gt;0),(dagenperjaar1*VLOOKUP(B24,dagsoorttabel1,2,FALSE))/(((dagenperjaar1*VLOOKUP(B24,dagsoorttabel1,2,FALSE))-catfd_1_STHV_51)/catpn_1_STHB_1+catfd_1_STHV_51/catpn_1_STHV_51),0)</f>
        <v>0</v>
      </c>
      <c r="H24" s="71">
        <f>IF(AND(catpn_1_STHB_1&gt;0,catpn_1_STHV_51&gt;0),(catdw_1_STHB_1*((dagenperjaar1*VLOOKUP(B24,dagsoorttabel1,2,FALSE))-catfd_1_STHV_51)/catpn_1_STHB_1+catdw_1_STHV_51*catfd_1_STHV_51/catpn_1_STHV_51)/(((dagenperjaar1*VLOOKUP(B24,dagsoorttabel1,2,FALSE))-catfd_1_STHV_51)/catpn_1_STHB_1+catfd_1_STHV_51/catpn_1_STHV_51),0)</f>
        <v>0</v>
      </c>
      <c r="I24" s="56" t="s">
        <v>107</v>
      </c>
      <c r="J24" s="60">
        <f>IF(AND(catpn_1_STHB_1&gt;0,catpn_1_STHV_51&gt;0),(cattf_1_STHB_1*((dagenperjaar1*VLOOKUP(B24,dagsoorttabel1,2,FALSE))-catfd_1_STHV_51)/catpn_1_STHB_1+cattf_1_STHV_51*catfd_1_STHV_51/catpn_1_STHV_51)/(((dagenperjaar1*VLOOKUP(B24,dagsoorttabel1,2,FALSE))-catfd_1_STHV_51)/catpn_1_STHB_1+catfd_1_STHV_51/catpn_1_STHV_51),0)</f>
        <v>0</v>
      </c>
      <c r="K24" s="69">
        <f>IF(OR(ISBLANK(G24),G24=0),0,F24/ROUND(G24,4))</f>
        <v>0</v>
      </c>
      <c r="L24" s="60">
        <f>ROUND(J24,2)*K24</f>
        <v>0</v>
      </c>
      <c r="M24" s="69">
        <f>K24*dagenperjaar1</f>
        <v>0</v>
      </c>
      <c r="N24" s="60">
        <f>M24*ROUND(J24,2)</f>
        <v>0</v>
      </c>
    </row>
    <row r="25" spans="1:14" x14ac:dyDescent="0.35">
      <c r="A25" s="56" t="s">
        <v>244</v>
      </c>
      <c r="B25" s="56" t="s">
        <v>9</v>
      </c>
      <c r="C25" s="56" t="s">
        <v>218</v>
      </c>
      <c r="D25" s="56" t="s">
        <v>245</v>
      </c>
      <c r="E25" s="69">
        <v>112</v>
      </c>
      <c r="F25" s="69">
        <f>E25*VLOOKUP(B25,dagsoorttabel1,2,FALSE)</f>
        <v>336</v>
      </c>
      <c r="G25" s="70">
        <f>catpn_1_STHB_1</f>
        <v>0</v>
      </c>
      <c r="H25" s="71">
        <f>catdw_1_STHB_1</f>
        <v>0</v>
      </c>
      <c r="I25" s="56" t="s">
        <v>107</v>
      </c>
      <c r="J25" s="60">
        <f>cattf_1_STHB_1</f>
        <v>0</v>
      </c>
      <c r="K25" s="69">
        <f>IF(OR(ISBLANK(G25),G25=0),0,F25/ROUND(G25,4))</f>
        <v>0</v>
      </c>
      <c r="L25" s="60">
        <f>ROUND(J25,2)*K25</f>
        <v>0</v>
      </c>
      <c r="M25" s="69">
        <f>K25*dagenperjaar1</f>
        <v>0</v>
      </c>
      <c r="N25" s="60">
        <f>M25*ROUND(J25,2)</f>
        <v>0</v>
      </c>
    </row>
    <row r="26" spans="1:14" x14ac:dyDescent="0.35">
      <c r="A26" s="56" t="s">
        <v>246</v>
      </c>
      <c r="B26" s="56" t="s">
        <v>16</v>
      </c>
      <c r="C26" s="56" t="s">
        <v>218</v>
      </c>
      <c r="D26" s="56" t="s">
        <v>247</v>
      </c>
      <c r="E26" s="69">
        <v>521</v>
      </c>
      <c r="F26" s="69">
        <f>E26*VLOOKUP(B26,dagsoorttabel1,2,FALSE)</f>
        <v>24.517647058823528</v>
      </c>
      <c r="G26" s="70">
        <f>catpn_1_VAHV_12</f>
        <v>0</v>
      </c>
      <c r="H26" s="71">
        <f>catdw_1_VAHV_12</f>
        <v>0</v>
      </c>
      <c r="I26" s="56" t="s">
        <v>107</v>
      </c>
      <c r="J26" s="60">
        <f>cattf_1_VAHV_12</f>
        <v>0</v>
      </c>
      <c r="K26" s="69">
        <f>IF(OR(ISBLANK(G26),G26=0),0,F26/ROUND(G26,4))</f>
        <v>0</v>
      </c>
      <c r="L26" s="60">
        <f>ROUND(J26,2)*K26</f>
        <v>0</v>
      </c>
      <c r="M26" s="69">
        <f>K26*dagenperjaar1</f>
        <v>0</v>
      </c>
      <c r="N26" s="60">
        <f>M26*ROUND(J26,2)</f>
        <v>0</v>
      </c>
    </row>
    <row r="27" spans="1:14" x14ac:dyDescent="0.35">
      <c r="A27" s="56" t="s">
        <v>246</v>
      </c>
      <c r="B27" s="56" t="s">
        <v>14</v>
      </c>
      <c r="C27" s="56" t="s">
        <v>218</v>
      </c>
      <c r="D27" s="56" t="s">
        <v>247</v>
      </c>
      <c r="E27" s="69">
        <v>620</v>
      </c>
      <c r="F27" s="69">
        <f>E27*VLOOKUP(B27,dagsoorttabel1,2,FALSE)</f>
        <v>124</v>
      </c>
      <c r="G27" s="70">
        <f>IF(AND(catpn_1_VAHB_1&gt;0,catpn_1_VAHV_51&gt;0),(dagenperjaar1*VLOOKUP(B27,dagsoorttabel1,2,FALSE))/(((dagenperjaar1*VLOOKUP(B27,dagsoorttabel1,2,FALSE))-catfd_1_VAHV_51)/catpn_1_VAHB_1+catfd_1_VAHV_51/catpn_1_VAHV_51),0)</f>
        <v>0</v>
      </c>
      <c r="H27" s="71">
        <f>IF(AND(catpn_1_VAHB_1&gt;0,catpn_1_VAHV_51&gt;0),(catdw_1_VAHB_1*((dagenperjaar1*VLOOKUP(B27,dagsoorttabel1,2,FALSE))-catfd_1_VAHV_51)/catpn_1_VAHB_1+catdw_1_VAHV_51*catfd_1_VAHV_51/catpn_1_VAHV_51)/(((dagenperjaar1*VLOOKUP(B27,dagsoorttabel1,2,FALSE))-catfd_1_VAHV_51)/catpn_1_VAHB_1+catfd_1_VAHV_51/catpn_1_VAHV_51),0)</f>
        <v>0</v>
      </c>
      <c r="I27" s="56" t="s">
        <v>107</v>
      </c>
      <c r="J27" s="60">
        <f>IF(AND(catpn_1_VAHB_1&gt;0,catpn_1_VAHV_51&gt;0),(cattf_1_VAHB_1*((dagenperjaar1*VLOOKUP(B27,dagsoorttabel1,2,FALSE))-catfd_1_VAHV_51)/catpn_1_VAHB_1+cattf_1_VAHV_51*catfd_1_VAHV_51/catpn_1_VAHV_51)/(((dagenperjaar1*VLOOKUP(B27,dagsoorttabel1,2,FALSE))-catfd_1_VAHV_51)/catpn_1_VAHB_1+catfd_1_VAHV_51/catpn_1_VAHV_51),0)</f>
        <v>0</v>
      </c>
      <c r="K27" s="69">
        <f>IF(OR(ISBLANK(G27),G27=0),0,F27/ROUND(G27,4))</f>
        <v>0</v>
      </c>
      <c r="L27" s="60">
        <f>ROUND(J27,2)*K27</f>
        <v>0</v>
      </c>
      <c r="M27" s="69">
        <f>K27*dagenperjaar1</f>
        <v>0</v>
      </c>
      <c r="N27" s="60">
        <f>M27*ROUND(J27,2)</f>
        <v>0</v>
      </c>
    </row>
    <row r="28" spans="1:14" x14ac:dyDescent="0.35">
      <c r="A28" s="56" t="s">
        <v>246</v>
      </c>
      <c r="B28" s="56" t="s">
        <v>13</v>
      </c>
      <c r="C28" s="56" t="s">
        <v>218</v>
      </c>
      <c r="D28" s="56" t="s">
        <v>247</v>
      </c>
      <c r="E28" s="69">
        <v>702</v>
      </c>
      <c r="F28" s="69">
        <f>E28*VLOOKUP(B28,dagsoorttabel1,2,FALSE)</f>
        <v>280.8</v>
      </c>
      <c r="G28" s="70">
        <f>IF(AND(catpn_1_VAHB_1&gt;0,catpn_1_VAHV_51&gt;0),(dagenperjaar1*VLOOKUP(B28,dagsoorttabel1,2,FALSE))/(((dagenperjaar1*VLOOKUP(B28,dagsoorttabel1,2,FALSE))-catfd_1_VAHV_51)/catpn_1_VAHB_1+catfd_1_VAHV_51/catpn_1_VAHV_51),0)</f>
        <v>0</v>
      </c>
      <c r="H28" s="71">
        <f>IF(AND(catpn_1_VAHB_1&gt;0,catpn_1_VAHV_51&gt;0),(catdw_1_VAHB_1*((dagenperjaar1*VLOOKUP(B28,dagsoorttabel1,2,FALSE))-catfd_1_VAHV_51)/catpn_1_VAHB_1+catdw_1_VAHV_51*catfd_1_VAHV_51/catpn_1_VAHV_51)/(((dagenperjaar1*VLOOKUP(B28,dagsoorttabel1,2,FALSE))-catfd_1_VAHV_51)/catpn_1_VAHB_1+catfd_1_VAHV_51/catpn_1_VAHV_51),0)</f>
        <v>0</v>
      </c>
      <c r="I28" s="56" t="s">
        <v>107</v>
      </c>
      <c r="J28" s="60">
        <f>IF(AND(catpn_1_VAHB_1&gt;0,catpn_1_VAHV_51&gt;0),(cattf_1_VAHB_1*((dagenperjaar1*VLOOKUP(B28,dagsoorttabel1,2,FALSE))-catfd_1_VAHV_51)/catpn_1_VAHB_1+cattf_1_VAHV_51*catfd_1_VAHV_51/catpn_1_VAHV_51)/(((dagenperjaar1*VLOOKUP(B28,dagsoorttabel1,2,FALSE))-catfd_1_VAHV_51)/catpn_1_VAHB_1+catfd_1_VAHV_51/catpn_1_VAHV_51),0)</f>
        <v>0</v>
      </c>
      <c r="K28" s="69">
        <f>IF(OR(ISBLANK(G28),G28=0),0,F28/ROUND(G28,4))</f>
        <v>0</v>
      </c>
      <c r="L28" s="60">
        <f>ROUND(J28,2)*K28</f>
        <v>0</v>
      </c>
      <c r="M28" s="69">
        <f>K28*dagenperjaar1</f>
        <v>0</v>
      </c>
      <c r="N28" s="60">
        <f>M28*ROUND(J28,2)</f>
        <v>0</v>
      </c>
    </row>
    <row r="29" spans="1:14" x14ac:dyDescent="0.35">
      <c r="A29" s="56" t="s">
        <v>246</v>
      </c>
      <c r="B29" s="56" t="s">
        <v>10</v>
      </c>
      <c r="C29" s="56" t="s">
        <v>218</v>
      </c>
      <c r="D29" s="56" t="s">
        <v>247</v>
      </c>
      <c r="E29" s="69">
        <v>2771</v>
      </c>
      <c r="F29" s="69">
        <f>E29*VLOOKUP(B29,dagsoorttabel1,2,FALSE)</f>
        <v>2771</v>
      </c>
      <c r="G29" s="70">
        <f>IF(AND(catpn_1_VAHB_1&gt;0,catpn_1_VAHV_51&gt;0),(dagenperjaar1*VLOOKUP(B29,dagsoorttabel1,2,FALSE))/(((dagenperjaar1*VLOOKUP(B29,dagsoorttabel1,2,FALSE))-catfd_1_VAHV_51)/catpn_1_VAHB_1+catfd_1_VAHV_51/catpn_1_VAHV_51),0)</f>
        <v>0</v>
      </c>
      <c r="H29" s="71">
        <f>IF(AND(catpn_1_VAHB_1&gt;0,catpn_1_VAHV_51&gt;0),(catdw_1_VAHB_1*((dagenperjaar1*VLOOKUP(B29,dagsoorttabel1,2,FALSE))-catfd_1_VAHV_51)/catpn_1_VAHB_1+catdw_1_VAHV_51*catfd_1_VAHV_51/catpn_1_VAHV_51)/(((dagenperjaar1*VLOOKUP(B29,dagsoorttabel1,2,FALSE))-catfd_1_VAHV_51)/catpn_1_VAHB_1+catfd_1_VAHV_51/catpn_1_VAHV_51),0)</f>
        <v>0</v>
      </c>
      <c r="I29" s="56" t="s">
        <v>107</v>
      </c>
      <c r="J29" s="60">
        <f>IF(AND(catpn_1_VAHB_1&gt;0,catpn_1_VAHV_51&gt;0),(cattf_1_VAHB_1*((dagenperjaar1*VLOOKUP(B29,dagsoorttabel1,2,FALSE))-catfd_1_VAHV_51)/catpn_1_VAHB_1+cattf_1_VAHV_51*catfd_1_VAHV_51/catpn_1_VAHV_51)/(((dagenperjaar1*VLOOKUP(B29,dagsoorttabel1,2,FALSE))-catfd_1_VAHV_51)/catpn_1_VAHB_1+catfd_1_VAHV_51/catpn_1_VAHV_51),0)</f>
        <v>0</v>
      </c>
      <c r="K29" s="69">
        <f>IF(OR(ISBLANK(G29),G29=0),0,F29/ROUND(G29,4))</f>
        <v>0</v>
      </c>
      <c r="L29" s="60">
        <f>ROUND(J29,2)*K29</f>
        <v>0</v>
      </c>
      <c r="M29" s="69">
        <f>K29*dagenperjaar1</f>
        <v>0</v>
      </c>
      <c r="N29" s="60">
        <f>M29*ROUND(J29,2)</f>
        <v>0</v>
      </c>
    </row>
    <row r="30" spans="1:14" x14ac:dyDescent="0.35">
      <c r="A30" s="56" t="s">
        <v>248</v>
      </c>
      <c r="B30" s="56" t="s">
        <v>12</v>
      </c>
      <c r="C30" s="56" t="s">
        <v>218</v>
      </c>
      <c r="D30" s="56" t="s">
        <v>249</v>
      </c>
      <c r="E30" s="69">
        <v>18</v>
      </c>
      <c r="F30" s="69">
        <f>E30*VLOOKUP(B30,dagsoorttabel1,2,FALSE)</f>
        <v>10.799999999999999</v>
      </c>
      <c r="G30" s="70">
        <f>IF(AND(catpn_1_VAZB_1&gt;0,catpn_1_VAZV_51&gt;0),(dagenperjaar1*VLOOKUP(B30,dagsoorttabel1,2,FALSE))/(((dagenperjaar1*VLOOKUP(B30,dagsoorttabel1,2,FALSE))-catfd_1_VAZV_51)/catpn_1_VAZB_1+catfd_1_VAZV_51/catpn_1_VAZV_51),0)</f>
        <v>0</v>
      </c>
      <c r="H30" s="71">
        <f>IF(AND(catpn_1_VAZB_1&gt;0,catpn_1_VAZV_51&gt;0),(catdw_1_VAZB_1*((dagenperjaar1*VLOOKUP(B30,dagsoorttabel1,2,FALSE))-catfd_1_VAZV_51)/catpn_1_VAZB_1+catdw_1_VAZV_51*catfd_1_VAZV_51/catpn_1_VAZV_51)/(((dagenperjaar1*VLOOKUP(B30,dagsoorttabel1,2,FALSE))-catfd_1_VAZV_51)/catpn_1_VAZB_1+catfd_1_VAZV_51/catpn_1_VAZV_51),0)</f>
        <v>0</v>
      </c>
      <c r="I30" s="56" t="s">
        <v>107</v>
      </c>
      <c r="J30" s="60">
        <f>IF(AND(catpn_1_VAZB_1&gt;0,catpn_1_VAZV_51&gt;0),(cattf_1_VAZB_1*((dagenperjaar1*VLOOKUP(B30,dagsoorttabel1,2,FALSE))-catfd_1_VAZV_51)/catpn_1_VAZB_1+cattf_1_VAZV_51*catfd_1_VAZV_51/catpn_1_VAZV_51)/(((dagenperjaar1*VLOOKUP(B30,dagsoorttabel1,2,FALSE))-catfd_1_VAZV_51)/catpn_1_VAZB_1+catfd_1_VAZV_51/catpn_1_VAZV_51),0)</f>
        <v>0</v>
      </c>
      <c r="K30" s="69">
        <f>IF(OR(ISBLANK(G30),G30=0),0,F30/ROUND(G30,4))</f>
        <v>0</v>
      </c>
      <c r="L30" s="60">
        <f>ROUND(J30,2)*K30</f>
        <v>0</v>
      </c>
      <c r="M30" s="69">
        <f>K30*dagenperjaar1</f>
        <v>0</v>
      </c>
      <c r="N30" s="60">
        <f>M30*ROUND(J30,2)</f>
        <v>0</v>
      </c>
    </row>
    <row r="31" spans="1:14" x14ac:dyDescent="0.35">
      <c r="A31" s="56" t="s">
        <v>250</v>
      </c>
      <c r="B31" s="56" t="s">
        <v>10</v>
      </c>
      <c r="C31" s="56" t="s">
        <v>218</v>
      </c>
      <c r="D31" s="56" t="s">
        <v>251</v>
      </c>
      <c r="E31" s="69">
        <v>47</v>
      </c>
      <c r="F31" s="69">
        <f>E31*VLOOKUP(B31,dagsoorttabel1,2,FALSE)</f>
        <v>47</v>
      </c>
      <c r="G31" s="70">
        <f>IF(AND(catpn_1_VEHB_1&gt;0,catpn_1_VEHV_51&gt;0),(dagenperjaar1*VLOOKUP(B31,dagsoorttabel1,2,FALSE))/(((dagenperjaar1*VLOOKUP(B31,dagsoorttabel1,2,FALSE))-catfd_1_VEHV_51)/catpn_1_VEHB_1+catfd_1_VEHV_51/catpn_1_VEHV_51),0)</f>
        <v>0</v>
      </c>
      <c r="H31" s="71">
        <f>IF(AND(catpn_1_VEHB_1&gt;0,catpn_1_VEHV_51&gt;0),(catdw_1_VEHB_1*((dagenperjaar1*VLOOKUP(B31,dagsoorttabel1,2,FALSE))-catfd_1_VEHV_51)/catpn_1_VEHB_1+catdw_1_VEHV_51*catfd_1_VEHV_51/catpn_1_VEHV_51)/(((dagenperjaar1*VLOOKUP(B31,dagsoorttabel1,2,FALSE))-catfd_1_VEHV_51)/catpn_1_VEHB_1+catfd_1_VEHV_51/catpn_1_VEHV_51),0)</f>
        <v>0</v>
      </c>
      <c r="I31" s="56" t="s">
        <v>107</v>
      </c>
      <c r="J31" s="60">
        <f>IF(AND(catpn_1_VEHB_1&gt;0,catpn_1_VEHV_51&gt;0),(cattf_1_VEHB_1*((dagenperjaar1*VLOOKUP(B31,dagsoorttabel1,2,FALSE))-catfd_1_VEHV_51)/catpn_1_VEHB_1+cattf_1_VEHV_51*catfd_1_VEHV_51/catpn_1_VEHV_51)/(((dagenperjaar1*VLOOKUP(B31,dagsoorttabel1,2,FALSE))-catfd_1_VEHV_51)/catpn_1_VEHB_1+catfd_1_VEHV_51/catpn_1_VEHV_51),0)</f>
        <v>0</v>
      </c>
      <c r="K31" s="69">
        <f>IF(OR(ISBLANK(G31),G31=0),0,F31/ROUND(G31,4))</f>
        <v>0</v>
      </c>
      <c r="L31" s="60">
        <f>ROUND(J31,2)*K31</f>
        <v>0</v>
      </c>
      <c r="M31" s="69">
        <f>K31*dagenperjaar1</f>
        <v>0</v>
      </c>
      <c r="N31" s="60">
        <f>M31*ROUND(J31,2)</f>
        <v>0</v>
      </c>
    </row>
    <row r="32" spans="1:14" x14ac:dyDescent="0.35">
      <c r="A32" s="56" t="s">
        <v>252</v>
      </c>
      <c r="B32" s="56" t="s">
        <v>10</v>
      </c>
      <c r="C32" s="56" t="s">
        <v>218</v>
      </c>
      <c r="D32" s="56" t="s">
        <v>253</v>
      </c>
      <c r="E32" s="69">
        <v>64</v>
      </c>
      <c r="F32" s="69">
        <f>E32*VLOOKUP(B32,dagsoorttabel1,2,FALSE)</f>
        <v>64</v>
      </c>
      <c r="G32" s="70">
        <f>IF(AND(catpn_1_VEZB_1&gt;0,catpn_1_VEZV_51&gt;0),(dagenperjaar1*VLOOKUP(B32,dagsoorttabel1,2,FALSE))/(((dagenperjaar1*VLOOKUP(B32,dagsoorttabel1,2,FALSE))-catfd_1_VEZV_51)/catpn_1_VEZB_1+catfd_1_VEZV_51/catpn_1_VEZV_51),0)</f>
        <v>0</v>
      </c>
      <c r="H32" s="71">
        <f>IF(AND(catpn_1_VEZB_1&gt;0,catpn_1_VEZV_51&gt;0),(catdw_1_VEZB_1*((dagenperjaar1*VLOOKUP(B32,dagsoorttabel1,2,FALSE))-catfd_1_VEZV_51)/catpn_1_VEZB_1+catdw_1_VEZV_51*catfd_1_VEZV_51/catpn_1_VEZV_51)/(((dagenperjaar1*VLOOKUP(B32,dagsoorttabel1,2,FALSE))-catfd_1_VEZV_51)/catpn_1_VEZB_1+catfd_1_VEZV_51/catpn_1_VEZV_51),0)</f>
        <v>0</v>
      </c>
      <c r="I32" s="56" t="s">
        <v>107</v>
      </c>
      <c r="J32" s="60">
        <f>IF(AND(catpn_1_VEZB_1&gt;0,catpn_1_VEZV_51&gt;0),(cattf_1_VEZB_1*((dagenperjaar1*VLOOKUP(B32,dagsoorttabel1,2,FALSE))-catfd_1_VEZV_51)/catpn_1_VEZB_1+cattf_1_VEZV_51*catfd_1_VEZV_51/catpn_1_VEZV_51)/(((dagenperjaar1*VLOOKUP(B32,dagsoorttabel1,2,FALSE))-catfd_1_VEZV_51)/catpn_1_VEZB_1+catfd_1_VEZV_51/catpn_1_VEZV_51),0)</f>
        <v>0</v>
      </c>
      <c r="K32" s="69">
        <f>IF(OR(ISBLANK(G32),G32=0),0,F32/ROUND(G32,4))</f>
        <v>0</v>
      </c>
      <c r="L32" s="60">
        <f>ROUND(J32,2)*K32</f>
        <v>0</v>
      </c>
      <c r="M32" s="69">
        <f>K32*dagenperjaar1</f>
        <v>0</v>
      </c>
      <c r="N32" s="60">
        <f>M32*ROUND(J32,2)</f>
        <v>0</v>
      </c>
    </row>
    <row r="33" spans="1:14" x14ac:dyDescent="0.35">
      <c r="A33" s="56" t="s">
        <v>254</v>
      </c>
      <c r="B33" s="56" t="s">
        <v>16</v>
      </c>
      <c r="C33" s="56" t="s">
        <v>218</v>
      </c>
      <c r="D33" s="56" t="s">
        <v>255</v>
      </c>
      <c r="E33" s="69">
        <v>51</v>
      </c>
      <c r="F33" s="69">
        <f>E33*VLOOKUP(B33,dagsoorttabel1,2,FALSE)</f>
        <v>2.4</v>
      </c>
      <c r="G33" s="70">
        <f>catpn_1_VLHV_12</f>
        <v>0</v>
      </c>
      <c r="H33" s="71">
        <f>catdw_1_VLHV_12</f>
        <v>0</v>
      </c>
      <c r="I33" s="56" t="s">
        <v>107</v>
      </c>
      <c r="J33" s="60">
        <f>cattf_1_VLHV_12</f>
        <v>0</v>
      </c>
      <c r="K33" s="69">
        <f>IF(OR(ISBLANK(G33),G33=0),0,F33/ROUND(G33,4))</f>
        <v>0</v>
      </c>
      <c r="L33" s="60">
        <f>ROUND(J33,2)*K33</f>
        <v>0</v>
      </c>
      <c r="M33" s="69">
        <f>K33*dagenperjaar1</f>
        <v>0</v>
      </c>
      <c r="N33" s="60">
        <f>M33*ROUND(J33,2)</f>
        <v>0</v>
      </c>
    </row>
    <row r="34" spans="1:14" x14ac:dyDescent="0.35">
      <c r="A34" s="56" t="s">
        <v>254</v>
      </c>
      <c r="B34" s="56" t="s">
        <v>14</v>
      </c>
      <c r="C34" s="56" t="s">
        <v>218</v>
      </c>
      <c r="D34" s="56" t="s">
        <v>255</v>
      </c>
      <c r="E34" s="69">
        <v>30</v>
      </c>
      <c r="F34" s="69">
        <f>E34*VLOOKUP(B34,dagsoorttabel1,2,FALSE)</f>
        <v>6</v>
      </c>
      <c r="G34" s="70">
        <f>IF(AND(catpn_1_VLHB_1&gt;0,catpn_1_VLHV_51&gt;0),(dagenperjaar1*VLOOKUP(B34,dagsoorttabel1,2,FALSE))/(((dagenperjaar1*VLOOKUP(B34,dagsoorttabel1,2,FALSE))-catfd_1_VLHV_51)/catpn_1_VLHB_1+catfd_1_VLHV_51/catpn_1_VLHV_51),0)</f>
        <v>0</v>
      </c>
      <c r="H34" s="71">
        <f>IF(AND(catpn_1_VLHB_1&gt;0,catpn_1_VLHV_51&gt;0),(catdw_1_VLHB_1*((dagenperjaar1*VLOOKUP(B34,dagsoorttabel1,2,FALSE))-catfd_1_VLHV_51)/catpn_1_VLHB_1+catdw_1_VLHV_51*catfd_1_VLHV_51/catpn_1_VLHV_51)/(((dagenperjaar1*VLOOKUP(B34,dagsoorttabel1,2,FALSE))-catfd_1_VLHV_51)/catpn_1_VLHB_1+catfd_1_VLHV_51/catpn_1_VLHV_51),0)</f>
        <v>0</v>
      </c>
      <c r="I34" s="56" t="s">
        <v>107</v>
      </c>
      <c r="J34" s="60">
        <f>IF(AND(catpn_1_VLHB_1&gt;0,catpn_1_VLHV_51&gt;0),(cattf_1_VLHB_1*((dagenperjaar1*VLOOKUP(B34,dagsoorttabel1,2,FALSE))-catfd_1_VLHV_51)/catpn_1_VLHB_1+cattf_1_VLHV_51*catfd_1_VLHV_51/catpn_1_VLHV_51)/(((dagenperjaar1*VLOOKUP(B34,dagsoorttabel1,2,FALSE))-catfd_1_VLHV_51)/catpn_1_VLHB_1+catfd_1_VLHV_51/catpn_1_VLHV_51),0)</f>
        <v>0</v>
      </c>
      <c r="K34" s="69">
        <f>IF(OR(ISBLANK(G34),G34=0),0,F34/ROUND(G34,4))</f>
        <v>0</v>
      </c>
      <c r="L34" s="60">
        <f>ROUND(J34,2)*K34</f>
        <v>0</v>
      </c>
      <c r="M34" s="69">
        <f>K34*dagenperjaar1</f>
        <v>0</v>
      </c>
      <c r="N34" s="60">
        <f>M34*ROUND(J34,2)</f>
        <v>0</v>
      </c>
    </row>
    <row r="35" spans="1:14" x14ac:dyDescent="0.35">
      <c r="A35" s="56" t="s">
        <v>254</v>
      </c>
      <c r="B35" s="56" t="s">
        <v>13</v>
      </c>
      <c r="C35" s="56" t="s">
        <v>218</v>
      </c>
      <c r="D35" s="56" t="s">
        <v>255</v>
      </c>
      <c r="E35" s="69">
        <v>6</v>
      </c>
      <c r="F35" s="69">
        <f>E35*VLOOKUP(B35,dagsoorttabel1,2,FALSE)</f>
        <v>2.4000000000000004</v>
      </c>
      <c r="G35" s="70">
        <f>IF(AND(catpn_1_VLHB_1&gt;0,catpn_1_VLHV_51&gt;0),(dagenperjaar1*VLOOKUP(B35,dagsoorttabel1,2,FALSE))/(((dagenperjaar1*VLOOKUP(B35,dagsoorttabel1,2,FALSE))-catfd_1_VLHV_51)/catpn_1_VLHB_1+catfd_1_VLHV_51/catpn_1_VLHV_51),0)</f>
        <v>0</v>
      </c>
      <c r="H35" s="71">
        <f>IF(AND(catpn_1_VLHB_1&gt;0,catpn_1_VLHV_51&gt;0),(catdw_1_VLHB_1*((dagenperjaar1*VLOOKUP(B35,dagsoorttabel1,2,FALSE))-catfd_1_VLHV_51)/catpn_1_VLHB_1+catdw_1_VLHV_51*catfd_1_VLHV_51/catpn_1_VLHV_51)/(((dagenperjaar1*VLOOKUP(B35,dagsoorttabel1,2,FALSE))-catfd_1_VLHV_51)/catpn_1_VLHB_1+catfd_1_VLHV_51/catpn_1_VLHV_51),0)</f>
        <v>0</v>
      </c>
      <c r="I35" s="56" t="s">
        <v>107</v>
      </c>
      <c r="J35" s="60">
        <f>IF(AND(catpn_1_VLHB_1&gt;0,catpn_1_VLHV_51&gt;0),(cattf_1_VLHB_1*((dagenperjaar1*VLOOKUP(B35,dagsoorttabel1,2,FALSE))-catfd_1_VLHV_51)/catpn_1_VLHB_1+cattf_1_VLHV_51*catfd_1_VLHV_51/catpn_1_VLHV_51)/(((dagenperjaar1*VLOOKUP(B35,dagsoorttabel1,2,FALSE))-catfd_1_VLHV_51)/catpn_1_VLHB_1+catfd_1_VLHV_51/catpn_1_VLHV_51),0)</f>
        <v>0</v>
      </c>
      <c r="K35" s="69">
        <f>IF(OR(ISBLANK(G35),G35=0),0,F35/ROUND(G35,4))</f>
        <v>0</v>
      </c>
      <c r="L35" s="60">
        <f>ROUND(J35,2)*K35</f>
        <v>0</v>
      </c>
      <c r="M35" s="69">
        <f>K35*dagenperjaar1</f>
        <v>0</v>
      </c>
      <c r="N35" s="60">
        <f>M35*ROUND(J35,2)</f>
        <v>0</v>
      </c>
    </row>
    <row r="36" spans="1:14" x14ac:dyDescent="0.35">
      <c r="A36" s="56" t="s">
        <v>254</v>
      </c>
      <c r="B36" s="56" t="s">
        <v>10</v>
      </c>
      <c r="C36" s="56" t="s">
        <v>218</v>
      </c>
      <c r="D36" s="56" t="s">
        <v>255</v>
      </c>
      <c r="E36" s="69">
        <v>10</v>
      </c>
      <c r="F36" s="69">
        <f>E36*VLOOKUP(B36,dagsoorttabel1,2,FALSE)</f>
        <v>10</v>
      </c>
      <c r="G36" s="70">
        <f>IF(AND(catpn_1_VLHB_1&gt;0,catpn_1_VLHV_51&gt;0),(dagenperjaar1*VLOOKUP(B36,dagsoorttabel1,2,FALSE))/(((dagenperjaar1*VLOOKUP(B36,dagsoorttabel1,2,FALSE))-catfd_1_VLHV_51)/catpn_1_VLHB_1+catfd_1_VLHV_51/catpn_1_VLHV_51),0)</f>
        <v>0</v>
      </c>
      <c r="H36" s="71">
        <f>IF(AND(catpn_1_VLHB_1&gt;0,catpn_1_VLHV_51&gt;0),(catdw_1_VLHB_1*((dagenperjaar1*VLOOKUP(B36,dagsoorttabel1,2,FALSE))-catfd_1_VLHV_51)/catpn_1_VLHB_1+catdw_1_VLHV_51*catfd_1_VLHV_51/catpn_1_VLHV_51)/(((dagenperjaar1*VLOOKUP(B36,dagsoorttabel1,2,FALSE))-catfd_1_VLHV_51)/catpn_1_VLHB_1+catfd_1_VLHV_51/catpn_1_VLHV_51),0)</f>
        <v>0</v>
      </c>
      <c r="I36" s="56" t="s">
        <v>107</v>
      </c>
      <c r="J36" s="60">
        <f>IF(AND(catpn_1_VLHB_1&gt;0,catpn_1_VLHV_51&gt;0),(cattf_1_VLHB_1*((dagenperjaar1*VLOOKUP(B36,dagsoorttabel1,2,FALSE))-catfd_1_VLHV_51)/catpn_1_VLHB_1+cattf_1_VLHV_51*catfd_1_VLHV_51/catpn_1_VLHV_51)/(((dagenperjaar1*VLOOKUP(B36,dagsoorttabel1,2,FALSE))-catfd_1_VLHV_51)/catpn_1_VLHB_1+catfd_1_VLHV_51/catpn_1_VLHV_51),0)</f>
        <v>0</v>
      </c>
      <c r="K36" s="69">
        <f>IF(OR(ISBLANK(G36),G36=0),0,F36/ROUND(G36,4))</f>
        <v>0</v>
      </c>
      <c r="L36" s="60">
        <f>ROUND(J36,2)*K36</f>
        <v>0</v>
      </c>
      <c r="M36" s="69">
        <f>K36*dagenperjaar1</f>
        <v>0</v>
      </c>
      <c r="N36" s="60">
        <f>M36*ROUND(J36,2)</f>
        <v>0</v>
      </c>
    </row>
    <row r="37" spans="1:14" x14ac:dyDescent="0.35">
      <c r="A37" s="56" t="s">
        <v>256</v>
      </c>
      <c r="B37" s="56" t="s">
        <v>16</v>
      </c>
      <c r="C37" s="56" t="s">
        <v>218</v>
      </c>
      <c r="D37" s="56" t="s">
        <v>257</v>
      </c>
      <c r="E37" s="69">
        <v>31</v>
      </c>
      <c r="F37" s="69">
        <f>E37*VLOOKUP(B37,dagsoorttabel1,2,FALSE)</f>
        <v>1.4588235294117646</v>
      </c>
      <c r="G37" s="70">
        <f>catpn_1_VTHV_12</f>
        <v>0</v>
      </c>
      <c r="H37" s="71">
        <f>catdw_1_VTHV_12</f>
        <v>0</v>
      </c>
      <c r="I37" s="56" t="s">
        <v>107</v>
      </c>
      <c r="J37" s="60">
        <f>cattf_1_VTHV_12</f>
        <v>0</v>
      </c>
      <c r="K37" s="69">
        <f>IF(OR(ISBLANK(G37),G37=0),0,F37/ROUND(G37,4))</f>
        <v>0</v>
      </c>
      <c r="L37" s="60">
        <f>ROUND(J37,2)*K37</f>
        <v>0</v>
      </c>
      <c r="M37" s="69">
        <f>K37*dagenperjaar1</f>
        <v>0</v>
      </c>
      <c r="N37" s="60">
        <f>M37*ROUND(J37,2)</f>
        <v>0</v>
      </c>
    </row>
    <row r="38" spans="1:14" x14ac:dyDescent="0.35">
      <c r="A38" s="56" t="s">
        <v>256</v>
      </c>
      <c r="B38" s="56" t="s">
        <v>14</v>
      </c>
      <c r="C38" s="56" t="s">
        <v>218</v>
      </c>
      <c r="D38" s="56" t="s">
        <v>257</v>
      </c>
      <c r="E38" s="69">
        <v>153</v>
      </c>
      <c r="F38" s="69">
        <f>E38*VLOOKUP(B38,dagsoorttabel1,2,FALSE)</f>
        <v>30.6</v>
      </c>
      <c r="G38" s="70">
        <f>IF(AND(catpn_1_VTHB_1&gt;0,catpn_1_VTHV_51&gt;0),(dagenperjaar1*VLOOKUP(B38,dagsoorttabel1,2,FALSE))/(((dagenperjaar1*VLOOKUP(B38,dagsoorttabel1,2,FALSE))-catfd_1_VTHV_51)/catpn_1_VTHB_1+catfd_1_VTHV_51/catpn_1_VTHV_51),0)</f>
        <v>0</v>
      </c>
      <c r="H38" s="71">
        <f>IF(AND(catpn_1_VTHB_1&gt;0,catpn_1_VTHV_51&gt;0),(catdw_1_VTHB_1*((dagenperjaar1*VLOOKUP(B38,dagsoorttabel1,2,FALSE))-catfd_1_VTHV_51)/catpn_1_VTHB_1+catdw_1_VTHV_51*catfd_1_VTHV_51/catpn_1_VTHV_51)/(((dagenperjaar1*VLOOKUP(B38,dagsoorttabel1,2,FALSE))-catfd_1_VTHV_51)/catpn_1_VTHB_1+catfd_1_VTHV_51/catpn_1_VTHV_51),0)</f>
        <v>0</v>
      </c>
      <c r="I38" s="56" t="s">
        <v>107</v>
      </c>
      <c r="J38" s="60">
        <f>IF(AND(catpn_1_VTHB_1&gt;0,catpn_1_VTHV_51&gt;0),(cattf_1_VTHB_1*((dagenperjaar1*VLOOKUP(B38,dagsoorttabel1,2,FALSE))-catfd_1_VTHV_51)/catpn_1_VTHB_1+cattf_1_VTHV_51*catfd_1_VTHV_51/catpn_1_VTHV_51)/(((dagenperjaar1*VLOOKUP(B38,dagsoorttabel1,2,FALSE))-catfd_1_VTHV_51)/catpn_1_VTHB_1+catfd_1_VTHV_51/catpn_1_VTHV_51),0)</f>
        <v>0</v>
      </c>
      <c r="K38" s="69">
        <f>IF(OR(ISBLANK(G38),G38=0),0,F38/ROUND(G38,4))</f>
        <v>0</v>
      </c>
      <c r="L38" s="60">
        <f>ROUND(J38,2)*K38</f>
        <v>0</v>
      </c>
      <c r="M38" s="69">
        <f>K38*dagenperjaar1</f>
        <v>0</v>
      </c>
      <c r="N38" s="60">
        <f>M38*ROUND(J38,2)</f>
        <v>0</v>
      </c>
    </row>
    <row r="39" spans="1:14" x14ac:dyDescent="0.35">
      <c r="A39" s="56" t="s">
        <v>256</v>
      </c>
      <c r="B39" s="56" t="s">
        <v>20</v>
      </c>
      <c r="C39" s="56" t="s">
        <v>218</v>
      </c>
      <c r="D39" s="56" t="s">
        <v>257</v>
      </c>
      <c r="E39" s="69">
        <v>58</v>
      </c>
      <c r="F39" s="69">
        <f>E39*VLOOKUP(B39,dagsoorttabel1,2,FALSE)</f>
        <v>0.45490196078431372</v>
      </c>
      <c r="G39" s="70">
        <f>catpn_1_VTHV_2</f>
        <v>0</v>
      </c>
      <c r="H39" s="71">
        <f>catdw_1_VTHV_2</f>
        <v>0</v>
      </c>
      <c r="I39" s="56" t="s">
        <v>107</v>
      </c>
      <c r="J39" s="60">
        <f>cattf_1_VTHV_2</f>
        <v>0</v>
      </c>
      <c r="K39" s="69">
        <f>IF(OR(ISBLANK(G39),G39=0),0,F39/ROUND(G39,4))</f>
        <v>0</v>
      </c>
      <c r="L39" s="60">
        <f>ROUND(J39,2)*K39</f>
        <v>0</v>
      </c>
      <c r="M39" s="69">
        <f>K39*dagenperjaar1</f>
        <v>0</v>
      </c>
      <c r="N39" s="60">
        <f>M39*ROUND(J39,2)</f>
        <v>0</v>
      </c>
    </row>
    <row r="40" spans="1:14" x14ac:dyDescent="0.35">
      <c r="A40" s="56" t="s">
        <v>256</v>
      </c>
      <c r="B40" s="56" t="s">
        <v>13</v>
      </c>
      <c r="C40" s="56" t="s">
        <v>218</v>
      </c>
      <c r="D40" s="56" t="s">
        <v>257</v>
      </c>
      <c r="E40" s="69">
        <v>214</v>
      </c>
      <c r="F40" s="69">
        <f>E40*VLOOKUP(B40,dagsoorttabel1,2,FALSE)</f>
        <v>85.600000000000009</v>
      </c>
      <c r="G40" s="70">
        <f>IF(AND(catpn_1_VTHB_1&gt;0,catpn_1_VTHV_51&gt;0),(dagenperjaar1*VLOOKUP(B40,dagsoorttabel1,2,FALSE))/(((dagenperjaar1*VLOOKUP(B40,dagsoorttabel1,2,FALSE))-catfd_1_VTHV_51)/catpn_1_VTHB_1+catfd_1_VTHV_51/catpn_1_VTHV_51),0)</f>
        <v>0</v>
      </c>
      <c r="H40" s="71">
        <f>IF(AND(catpn_1_VTHB_1&gt;0,catpn_1_VTHV_51&gt;0),(catdw_1_VTHB_1*((dagenperjaar1*VLOOKUP(B40,dagsoorttabel1,2,FALSE))-catfd_1_VTHV_51)/catpn_1_VTHB_1+catdw_1_VTHV_51*catfd_1_VTHV_51/catpn_1_VTHV_51)/(((dagenperjaar1*VLOOKUP(B40,dagsoorttabel1,2,FALSE))-catfd_1_VTHV_51)/catpn_1_VTHB_1+catfd_1_VTHV_51/catpn_1_VTHV_51),0)</f>
        <v>0</v>
      </c>
      <c r="I40" s="56" t="s">
        <v>107</v>
      </c>
      <c r="J40" s="60">
        <f>IF(AND(catpn_1_VTHB_1&gt;0,catpn_1_VTHV_51&gt;0),(cattf_1_VTHB_1*((dagenperjaar1*VLOOKUP(B40,dagsoorttabel1,2,FALSE))-catfd_1_VTHV_51)/catpn_1_VTHB_1+cattf_1_VTHV_51*catfd_1_VTHV_51/catpn_1_VTHV_51)/(((dagenperjaar1*VLOOKUP(B40,dagsoorttabel1,2,FALSE))-catfd_1_VTHV_51)/catpn_1_VTHB_1+catfd_1_VTHV_51/catpn_1_VTHV_51),0)</f>
        <v>0</v>
      </c>
      <c r="K40" s="69">
        <f>IF(OR(ISBLANK(G40),G40=0),0,F40/ROUND(G40,4))</f>
        <v>0</v>
      </c>
      <c r="L40" s="60">
        <f>ROUND(J40,2)*K40</f>
        <v>0</v>
      </c>
      <c r="M40" s="69">
        <f>K40*dagenperjaar1</f>
        <v>0</v>
      </c>
      <c r="N40" s="60">
        <f>M40*ROUND(J40,2)</f>
        <v>0</v>
      </c>
    </row>
    <row r="41" spans="1:14" x14ac:dyDescent="0.35">
      <c r="A41" s="56" t="s">
        <v>256</v>
      </c>
      <c r="B41" s="56" t="s">
        <v>10</v>
      </c>
      <c r="C41" s="56" t="s">
        <v>218</v>
      </c>
      <c r="D41" s="56" t="s">
        <v>257</v>
      </c>
      <c r="E41" s="69">
        <v>420.29999999999995</v>
      </c>
      <c r="F41" s="69">
        <f>E41*VLOOKUP(B41,dagsoorttabel1,2,FALSE)</f>
        <v>420.29999999999995</v>
      </c>
      <c r="G41" s="70">
        <f>IF(AND(catpn_1_VTHB_1&gt;0,catpn_1_VTHV_51&gt;0),(dagenperjaar1*VLOOKUP(B41,dagsoorttabel1,2,FALSE))/(((dagenperjaar1*VLOOKUP(B41,dagsoorttabel1,2,FALSE))-catfd_1_VTHV_51)/catpn_1_VTHB_1+catfd_1_VTHV_51/catpn_1_VTHV_51),0)</f>
        <v>0</v>
      </c>
      <c r="H41" s="71">
        <f>IF(AND(catpn_1_VTHB_1&gt;0,catpn_1_VTHV_51&gt;0),(catdw_1_VTHB_1*((dagenperjaar1*VLOOKUP(B41,dagsoorttabel1,2,FALSE))-catfd_1_VTHV_51)/catpn_1_VTHB_1+catdw_1_VTHV_51*catfd_1_VTHV_51/catpn_1_VTHV_51)/(((dagenperjaar1*VLOOKUP(B41,dagsoorttabel1,2,FALSE))-catfd_1_VTHV_51)/catpn_1_VTHB_1+catfd_1_VTHV_51/catpn_1_VTHV_51),0)</f>
        <v>0</v>
      </c>
      <c r="I41" s="56" t="s">
        <v>107</v>
      </c>
      <c r="J41" s="60">
        <f>IF(AND(catpn_1_VTHB_1&gt;0,catpn_1_VTHV_51&gt;0),(cattf_1_VTHB_1*((dagenperjaar1*VLOOKUP(B41,dagsoorttabel1,2,FALSE))-catfd_1_VTHV_51)/catpn_1_VTHB_1+cattf_1_VTHV_51*catfd_1_VTHV_51/catpn_1_VTHV_51)/(((dagenperjaar1*VLOOKUP(B41,dagsoorttabel1,2,FALSE))-catfd_1_VTHV_51)/catpn_1_VTHB_1+catfd_1_VTHV_51/catpn_1_VTHV_51),0)</f>
        <v>0</v>
      </c>
      <c r="K41" s="69">
        <f>IF(OR(ISBLANK(G41),G41=0),0,F41/ROUND(G41,4))</f>
        <v>0</v>
      </c>
      <c r="L41" s="60">
        <f>ROUND(J41,2)*K41</f>
        <v>0</v>
      </c>
      <c r="M41" s="69">
        <f>K41*dagenperjaar1</f>
        <v>0</v>
      </c>
      <c r="N41" s="60">
        <f>M41*ROUND(J41,2)</f>
        <v>0</v>
      </c>
    </row>
    <row r="42" spans="1:14" x14ac:dyDescent="0.35">
      <c r="A42" s="56" t="s">
        <v>258</v>
      </c>
      <c r="B42" s="56" t="s">
        <v>10</v>
      </c>
      <c r="C42" s="56" t="s">
        <v>259</v>
      </c>
      <c r="D42" s="56" t="s">
        <v>260</v>
      </c>
      <c r="E42" s="69">
        <v>4</v>
      </c>
      <c r="F42" s="69">
        <f>E42*VLOOKUP(B42,dagsoorttabel1,2,FALSE)</f>
        <v>4</v>
      </c>
      <c r="G42" s="70"/>
      <c r="H42" s="59"/>
      <c r="I42" s="56" t="s">
        <v>261</v>
      </c>
      <c r="J42" s="60">
        <f>Tariefopbouw1</f>
        <v>0</v>
      </c>
      <c r="K42" s="69">
        <f>F42</f>
        <v>4</v>
      </c>
      <c r="L42" s="60">
        <f>ROUND(J42,2)*K42</f>
        <v>0</v>
      </c>
      <c r="M42" s="69">
        <f>K42*dagenperjaar1</f>
        <v>1020</v>
      </c>
      <c r="N42" s="60">
        <f>M42*ROUND(J42,2)</f>
        <v>0</v>
      </c>
    </row>
    <row r="43" spans="1:14" x14ac:dyDescent="0.35">
      <c r="A43" s="61" t="s">
        <v>262</v>
      </c>
      <c r="B43" s="61" t="s">
        <v>10</v>
      </c>
      <c r="C43" s="61" t="s">
        <v>259</v>
      </c>
      <c r="D43" s="61" t="s">
        <v>263</v>
      </c>
      <c r="E43" s="72">
        <v>1.25</v>
      </c>
      <c r="F43" s="72">
        <f>E43*VLOOKUP(B43,dagsoorttabel1,2,FALSE)</f>
        <v>1.25</v>
      </c>
      <c r="G43" s="73"/>
      <c r="H43" s="64"/>
      <c r="I43" s="61" t="s">
        <v>261</v>
      </c>
      <c r="J43" s="65">
        <f>Tariefopbouw1</f>
        <v>0</v>
      </c>
      <c r="K43" s="72">
        <f>F43</f>
        <v>1.25</v>
      </c>
      <c r="L43" s="65">
        <f>ROUND(J43,2)*K43</f>
        <v>0</v>
      </c>
      <c r="M43" s="72">
        <f>K43*dagenperjaar1</f>
        <v>318.75</v>
      </c>
      <c r="N43" s="65">
        <f>M43*ROUND(J43,2)</f>
        <v>0</v>
      </c>
    </row>
    <row r="44" spans="1:14" x14ac:dyDescent="0.35">
      <c r="A44" s="75" t="s">
        <v>264</v>
      </c>
      <c r="B44" s="76"/>
      <c r="C44" s="76"/>
      <c r="D44" s="76"/>
      <c r="E44" s="76"/>
      <c r="F44" s="76"/>
      <c r="G44" s="76"/>
      <c r="H44" s="76"/>
      <c r="I44" s="76"/>
      <c r="J44" s="76"/>
      <c r="K44" s="77">
        <f>SUM(K6:K43)</f>
        <v>5.25</v>
      </c>
      <c r="L44" s="78">
        <f>SUM(L6:L43)</f>
        <v>0</v>
      </c>
      <c r="M44" s="77">
        <f>SUM(M6:M43)</f>
        <v>1338.75</v>
      </c>
      <c r="N44" s="79">
        <f>SUM(N6:N43)</f>
        <v>0</v>
      </c>
    </row>
    <row r="45" spans="1:14" x14ac:dyDescent="0.35">
      <c r="A45" s="80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81"/>
    </row>
    <row r="46" spans="1:14" x14ac:dyDescent="0.35">
      <c r="A46" s="75" t="s">
        <v>265</v>
      </c>
      <c r="B46" s="76"/>
      <c r="C46" s="76"/>
      <c r="D46" s="76"/>
      <c r="E46" s="76"/>
      <c r="F46" s="76"/>
      <c r="G46" s="76"/>
      <c r="H46" s="76"/>
      <c r="I46" s="76"/>
      <c r="J46" s="78">
        <f>IF(urenjaar1&gt;0,SUMIF(M6:M43,"&gt;0",N6:N43)/urenjaar1,0)</f>
        <v>0</v>
      </c>
      <c r="K46" s="76"/>
      <c r="L46" s="76"/>
      <c r="M46" s="76"/>
      <c r="N46" s="81"/>
    </row>
    <row r="47" spans="1:14" x14ac:dyDescent="0.35">
      <c r="A47" s="80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81"/>
    </row>
    <row r="48" spans="1:14" x14ac:dyDescent="0.35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</row>
    <row r="49" spans="1:14" x14ac:dyDescent="0.35">
      <c r="A49" s="48" t="s">
        <v>185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0"/>
    </row>
    <row r="50" spans="1:14" x14ac:dyDescent="0.35">
      <c r="A50" s="51" t="s">
        <v>266</v>
      </c>
      <c r="B50" s="51" t="s">
        <v>13</v>
      </c>
      <c r="C50" s="51" t="s">
        <v>218</v>
      </c>
      <c r="D50" s="51" t="s">
        <v>227</v>
      </c>
      <c r="E50" s="66">
        <v>8</v>
      </c>
      <c r="F50" s="66">
        <f>E50*VLOOKUP(B50,dagsoorttabel2,2,FALSE)</f>
        <v>8</v>
      </c>
      <c r="G50" s="67">
        <f>catpn_2_WKPHB_1</f>
        <v>0</v>
      </c>
      <c r="H50" s="68">
        <f>catdw_2_WKPHB_1</f>
        <v>0</v>
      </c>
      <c r="I50" s="51" t="s">
        <v>107</v>
      </c>
      <c r="J50" s="55">
        <f>cattf_2_WKPHB_1</f>
        <v>0</v>
      </c>
      <c r="K50" s="66">
        <f>IF(OR(ISBLANK(G50),G50=0),0,F50/ROUND(G50,4))</f>
        <v>0</v>
      </c>
      <c r="L50" s="55">
        <f>ROUND(J50,2)*K50</f>
        <v>0</v>
      </c>
      <c r="M50" s="66">
        <f>K50*dagenperjaar2</f>
        <v>0</v>
      </c>
      <c r="N50" s="55">
        <f>M50*ROUND(J50,2)</f>
        <v>0</v>
      </c>
    </row>
    <row r="51" spans="1:14" x14ac:dyDescent="0.35">
      <c r="A51" s="56" t="s">
        <v>267</v>
      </c>
      <c r="B51" s="56" t="s">
        <v>13</v>
      </c>
      <c r="C51" s="56" t="s">
        <v>218</v>
      </c>
      <c r="D51" s="56" t="s">
        <v>229</v>
      </c>
      <c r="E51" s="69">
        <v>78</v>
      </c>
      <c r="F51" s="69">
        <f>E51*VLOOKUP(B51,dagsoorttabel2,2,FALSE)</f>
        <v>78</v>
      </c>
      <c r="G51" s="70">
        <f>catpn_2_WKRHB_1</f>
        <v>0</v>
      </c>
      <c r="H51" s="71">
        <f>catdw_2_WKRHB_1</f>
        <v>0</v>
      </c>
      <c r="I51" s="56" t="s">
        <v>107</v>
      </c>
      <c r="J51" s="60">
        <f>cattf_2_WKRHB_1</f>
        <v>0</v>
      </c>
      <c r="K51" s="69">
        <f>IF(OR(ISBLANK(G51),G51=0),0,F51/ROUND(G51,4))</f>
        <v>0</v>
      </c>
      <c r="L51" s="60">
        <f>ROUND(J51,2)*K51</f>
        <v>0</v>
      </c>
      <c r="M51" s="69">
        <f>K51*dagenperjaar2</f>
        <v>0</v>
      </c>
      <c r="N51" s="60">
        <f>M51*ROUND(J51,2)</f>
        <v>0</v>
      </c>
    </row>
    <row r="52" spans="1:14" x14ac:dyDescent="0.35">
      <c r="A52" s="56" t="s">
        <v>268</v>
      </c>
      <c r="B52" s="56" t="s">
        <v>13</v>
      </c>
      <c r="C52" s="56" t="s">
        <v>218</v>
      </c>
      <c r="D52" s="56" t="s">
        <v>235</v>
      </c>
      <c r="E52" s="69">
        <v>6416</v>
      </c>
      <c r="F52" s="69">
        <f>E52*VLOOKUP(B52,dagsoorttabel2,2,FALSE)</f>
        <v>6416</v>
      </c>
      <c r="G52" s="70">
        <f>catpn_2_WMEHB_1</f>
        <v>0</v>
      </c>
      <c r="H52" s="71">
        <f>catdw_2_WMEHB_1</f>
        <v>0</v>
      </c>
      <c r="I52" s="56" t="s">
        <v>107</v>
      </c>
      <c r="J52" s="60">
        <f>cattf_2_WMEHB_1</f>
        <v>0</v>
      </c>
      <c r="K52" s="69">
        <f>IF(OR(ISBLANK(G52),G52=0),0,F52/ROUND(G52,4))</f>
        <v>0</v>
      </c>
      <c r="L52" s="60">
        <f>ROUND(J52,2)*K52</f>
        <v>0</v>
      </c>
      <c r="M52" s="69">
        <f>K52*dagenperjaar2</f>
        <v>0</v>
      </c>
      <c r="N52" s="60">
        <f>M52*ROUND(J52,2)</f>
        <v>0</v>
      </c>
    </row>
    <row r="53" spans="1:14" x14ac:dyDescent="0.35">
      <c r="A53" s="56" t="s">
        <v>269</v>
      </c>
      <c r="B53" s="56" t="s">
        <v>13</v>
      </c>
      <c r="C53" s="56" t="s">
        <v>218</v>
      </c>
      <c r="D53" s="56" t="s">
        <v>241</v>
      </c>
      <c r="E53" s="69">
        <v>70</v>
      </c>
      <c r="F53" s="69">
        <f>E53*VLOOKUP(B53,dagsoorttabel2,2,FALSE)</f>
        <v>70</v>
      </c>
      <c r="G53" s="70">
        <f>catpn_2_WSKHB_1</f>
        <v>0</v>
      </c>
      <c r="H53" s="71">
        <f>catdw_2_WSKHB_1</f>
        <v>0</v>
      </c>
      <c r="I53" s="56" t="s">
        <v>107</v>
      </c>
      <c r="J53" s="60">
        <f>cattf_2_WSKHB_1</f>
        <v>0</v>
      </c>
      <c r="K53" s="69">
        <f>IF(OR(ISBLANK(G53),G53=0),0,F53/ROUND(G53,4))</f>
        <v>0</v>
      </c>
      <c r="L53" s="60">
        <f>ROUND(J53,2)*K53</f>
        <v>0</v>
      </c>
      <c r="M53" s="69">
        <f>K53*dagenperjaar2</f>
        <v>0</v>
      </c>
      <c r="N53" s="60">
        <f>M53*ROUND(J53,2)</f>
        <v>0</v>
      </c>
    </row>
    <row r="54" spans="1:14" x14ac:dyDescent="0.35">
      <c r="A54" s="56" t="s">
        <v>270</v>
      </c>
      <c r="B54" s="56" t="s">
        <v>13</v>
      </c>
      <c r="C54" s="56" t="s">
        <v>218</v>
      </c>
      <c r="D54" s="56" t="s">
        <v>243</v>
      </c>
      <c r="E54" s="69">
        <v>112</v>
      </c>
      <c r="F54" s="69">
        <f>E54*VLOOKUP(B54,dagsoorttabel2,2,FALSE)</f>
        <v>112</v>
      </c>
      <c r="G54" s="70">
        <f>catpn_2_WSTHB_1</f>
        <v>0</v>
      </c>
      <c r="H54" s="71">
        <f>catdw_2_WSTHB_1</f>
        <v>0</v>
      </c>
      <c r="I54" s="56" t="s">
        <v>107</v>
      </c>
      <c r="J54" s="60">
        <f>cattf_2_WSTHB_1</f>
        <v>0</v>
      </c>
      <c r="K54" s="69">
        <f>IF(OR(ISBLANK(G54),G54=0),0,F54/ROUND(G54,4))</f>
        <v>0</v>
      </c>
      <c r="L54" s="60">
        <f>ROUND(J54,2)*K54</f>
        <v>0</v>
      </c>
      <c r="M54" s="69">
        <f>K54*dagenperjaar2</f>
        <v>0</v>
      </c>
      <c r="N54" s="60">
        <f>M54*ROUND(J54,2)</f>
        <v>0</v>
      </c>
    </row>
    <row r="55" spans="1:14" x14ac:dyDescent="0.35">
      <c r="A55" s="56" t="s">
        <v>271</v>
      </c>
      <c r="B55" s="56" t="s">
        <v>23</v>
      </c>
      <c r="C55" s="56" t="s">
        <v>218</v>
      </c>
      <c r="D55" s="56" t="s">
        <v>272</v>
      </c>
      <c r="E55" s="69">
        <v>90</v>
      </c>
      <c r="F55" s="69">
        <f>E55*VLOOKUP(B55,dagsoorttabel2,2,FALSE)</f>
        <v>270</v>
      </c>
      <c r="G55" s="70">
        <f>catpn_2_WSTHB_1</f>
        <v>0</v>
      </c>
      <c r="H55" s="71">
        <f>catdw_2_WSTHB_1</f>
        <v>0</v>
      </c>
      <c r="I55" s="56" t="s">
        <v>107</v>
      </c>
      <c r="J55" s="60">
        <f>cattf_2_WSTHB_1</f>
        <v>0</v>
      </c>
      <c r="K55" s="69">
        <f>IF(OR(ISBLANK(G55),G55=0),0,F55/ROUND(G55,4))</f>
        <v>0</v>
      </c>
      <c r="L55" s="60">
        <f>ROUND(J55,2)*K55</f>
        <v>0</v>
      </c>
      <c r="M55" s="69">
        <f>K55*dagenperjaar2</f>
        <v>0</v>
      </c>
      <c r="N55" s="60">
        <f>M55*ROUND(J55,2)</f>
        <v>0</v>
      </c>
    </row>
    <row r="56" spans="1:14" x14ac:dyDescent="0.35">
      <c r="A56" s="56" t="s">
        <v>273</v>
      </c>
      <c r="B56" s="56" t="s">
        <v>13</v>
      </c>
      <c r="C56" s="56" t="s">
        <v>218</v>
      </c>
      <c r="D56" s="56" t="s">
        <v>247</v>
      </c>
      <c r="E56" s="69">
        <v>1957</v>
      </c>
      <c r="F56" s="69">
        <f>E56*VLOOKUP(B56,dagsoorttabel2,2,FALSE)</f>
        <v>1957</v>
      </c>
      <c r="G56" s="70">
        <f>catpn_2_WVAHB_1</f>
        <v>0</v>
      </c>
      <c r="H56" s="71">
        <f>catdw_2_WVAHB_1</f>
        <v>0</v>
      </c>
      <c r="I56" s="56" t="s">
        <v>107</v>
      </c>
      <c r="J56" s="60">
        <f>cattf_2_WVAHB_1</f>
        <v>0</v>
      </c>
      <c r="K56" s="69">
        <f>IF(OR(ISBLANK(G56),G56=0),0,F56/ROUND(G56,4))</f>
        <v>0</v>
      </c>
      <c r="L56" s="60">
        <f>ROUND(J56,2)*K56</f>
        <v>0</v>
      </c>
      <c r="M56" s="69">
        <f>K56*dagenperjaar2</f>
        <v>0</v>
      </c>
      <c r="N56" s="60">
        <f>M56*ROUND(J56,2)</f>
        <v>0</v>
      </c>
    </row>
    <row r="57" spans="1:14" x14ac:dyDescent="0.35">
      <c r="A57" s="56" t="s">
        <v>274</v>
      </c>
      <c r="B57" s="56" t="s">
        <v>13</v>
      </c>
      <c r="C57" s="56" t="s">
        <v>218</v>
      </c>
      <c r="D57" s="56" t="s">
        <v>251</v>
      </c>
      <c r="E57" s="69">
        <v>47</v>
      </c>
      <c r="F57" s="69">
        <f>E57*VLOOKUP(B57,dagsoorttabel2,2,FALSE)</f>
        <v>47</v>
      </c>
      <c r="G57" s="70">
        <f>catpn_2_WVEHB_1</f>
        <v>0</v>
      </c>
      <c r="H57" s="71">
        <f>catdw_2_WVEHB_1</f>
        <v>0</v>
      </c>
      <c r="I57" s="56" t="s">
        <v>107</v>
      </c>
      <c r="J57" s="60">
        <f>cattf_2_WVEHB_1</f>
        <v>0</v>
      </c>
      <c r="K57" s="69">
        <f>IF(OR(ISBLANK(G57),G57=0),0,F57/ROUND(G57,4))</f>
        <v>0</v>
      </c>
      <c r="L57" s="60">
        <f>ROUND(J57,2)*K57</f>
        <v>0</v>
      </c>
      <c r="M57" s="69">
        <f>K57*dagenperjaar2</f>
        <v>0</v>
      </c>
      <c r="N57" s="60">
        <f>M57*ROUND(J57,2)</f>
        <v>0</v>
      </c>
    </row>
    <row r="58" spans="1:14" x14ac:dyDescent="0.35">
      <c r="A58" s="56" t="s">
        <v>275</v>
      </c>
      <c r="B58" s="56" t="s">
        <v>13</v>
      </c>
      <c r="C58" s="56" t="s">
        <v>218</v>
      </c>
      <c r="D58" s="56" t="s">
        <v>253</v>
      </c>
      <c r="E58" s="69">
        <v>59</v>
      </c>
      <c r="F58" s="69">
        <f>E58*VLOOKUP(B58,dagsoorttabel2,2,FALSE)</f>
        <v>59</v>
      </c>
      <c r="G58" s="70">
        <f>catpn_2_WVEZB_1</f>
        <v>0</v>
      </c>
      <c r="H58" s="71">
        <f>catdw_2_WVEZB_1</f>
        <v>0</v>
      </c>
      <c r="I58" s="56" t="s">
        <v>107</v>
      </c>
      <c r="J58" s="60">
        <f>cattf_2_WVEZB_1</f>
        <v>0</v>
      </c>
      <c r="K58" s="69">
        <f>IF(OR(ISBLANK(G58),G58=0),0,F58/ROUND(G58,4))</f>
        <v>0</v>
      </c>
      <c r="L58" s="60">
        <f>ROUND(J58,2)*K58</f>
        <v>0</v>
      </c>
      <c r="M58" s="69">
        <f>K58*dagenperjaar2</f>
        <v>0</v>
      </c>
      <c r="N58" s="60">
        <f>M58*ROUND(J58,2)</f>
        <v>0</v>
      </c>
    </row>
    <row r="59" spans="1:14" x14ac:dyDescent="0.35">
      <c r="A59" s="56" t="s">
        <v>276</v>
      </c>
      <c r="B59" s="56" t="s">
        <v>13</v>
      </c>
      <c r="C59" s="56" t="s">
        <v>218</v>
      </c>
      <c r="D59" s="56" t="s">
        <v>255</v>
      </c>
      <c r="E59" s="69">
        <v>4</v>
      </c>
      <c r="F59" s="69">
        <f>E59*VLOOKUP(B59,dagsoorttabel2,2,FALSE)</f>
        <v>4</v>
      </c>
      <c r="G59" s="70">
        <f>catpn_2_WVLHB_1</f>
        <v>0</v>
      </c>
      <c r="H59" s="71">
        <f>catdw_2_WVLHB_1</f>
        <v>0</v>
      </c>
      <c r="I59" s="56" t="s">
        <v>107</v>
      </c>
      <c r="J59" s="60">
        <f>cattf_2_WVLHB_1</f>
        <v>0</v>
      </c>
      <c r="K59" s="69">
        <f>IF(OR(ISBLANK(G59),G59=0),0,F59/ROUND(G59,4))</f>
        <v>0</v>
      </c>
      <c r="L59" s="60">
        <f>ROUND(J59,2)*K59</f>
        <v>0</v>
      </c>
      <c r="M59" s="69">
        <f>K59*dagenperjaar2</f>
        <v>0</v>
      </c>
      <c r="N59" s="60">
        <f>M59*ROUND(J59,2)</f>
        <v>0</v>
      </c>
    </row>
    <row r="60" spans="1:14" x14ac:dyDescent="0.35">
      <c r="A60" s="56" t="s">
        <v>277</v>
      </c>
      <c r="B60" s="56" t="s">
        <v>13</v>
      </c>
      <c r="C60" s="56" t="s">
        <v>218</v>
      </c>
      <c r="D60" s="56" t="s">
        <v>257</v>
      </c>
      <c r="E60" s="69">
        <v>372.29999999999995</v>
      </c>
      <c r="F60" s="69">
        <f>E60*VLOOKUP(B60,dagsoorttabel2,2,FALSE)</f>
        <v>372.29999999999995</v>
      </c>
      <c r="G60" s="70">
        <f>catpn_2_WVTHB_1</f>
        <v>0</v>
      </c>
      <c r="H60" s="71">
        <f>catdw_2_WVTHB_1</f>
        <v>0</v>
      </c>
      <c r="I60" s="56" t="s">
        <v>107</v>
      </c>
      <c r="J60" s="60">
        <f>cattf_2_WVTHB_1</f>
        <v>0</v>
      </c>
      <c r="K60" s="69">
        <f>IF(OR(ISBLANK(G60),G60=0),0,F60/ROUND(G60,4))</f>
        <v>0</v>
      </c>
      <c r="L60" s="60">
        <f>ROUND(J60,2)*K60</f>
        <v>0</v>
      </c>
      <c r="M60" s="69">
        <f>K60*dagenperjaar2</f>
        <v>0</v>
      </c>
      <c r="N60" s="60">
        <f>M60*ROUND(J60,2)</f>
        <v>0</v>
      </c>
    </row>
    <row r="61" spans="1:14" x14ac:dyDescent="0.35">
      <c r="A61" s="61" t="s">
        <v>278</v>
      </c>
      <c r="B61" s="61" t="s">
        <v>13</v>
      </c>
      <c r="C61" s="61" t="s">
        <v>259</v>
      </c>
      <c r="D61" s="61" t="s">
        <v>279</v>
      </c>
      <c r="E61" s="72">
        <v>1.25</v>
      </c>
      <c r="F61" s="72">
        <f>E61*VLOOKUP(B61,dagsoorttabel2,2,FALSE)</f>
        <v>1.25</v>
      </c>
      <c r="G61" s="73"/>
      <c r="H61" s="64"/>
      <c r="I61" s="61" t="s">
        <v>261</v>
      </c>
      <c r="J61" s="65">
        <f>Tariefopbouw6</f>
        <v>0</v>
      </c>
      <c r="K61" s="72">
        <f>F61</f>
        <v>1.25</v>
      </c>
      <c r="L61" s="65">
        <f>ROUND(J61,2)*K61</f>
        <v>0</v>
      </c>
      <c r="M61" s="72">
        <f>K61*dagenperjaar2</f>
        <v>126.25</v>
      </c>
      <c r="N61" s="65">
        <f>M61*ROUND(J61,2)</f>
        <v>0</v>
      </c>
    </row>
    <row r="62" spans="1:14" x14ac:dyDescent="0.35">
      <c r="A62" s="75" t="s">
        <v>280</v>
      </c>
      <c r="B62" s="76"/>
      <c r="C62" s="76"/>
      <c r="D62" s="76"/>
      <c r="E62" s="76"/>
      <c r="F62" s="76"/>
      <c r="G62" s="76"/>
      <c r="H62" s="76"/>
      <c r="I62" s="76"/>
      <c r="J62" s="76"/>
      <c r="K62" s="77">
        <f>SUM(K50:K61)</f>
        <v>1.25</v>
      </c>
      <c r="L62" s="78">
        <f>SUM(L50:L61)</f>
        <v>0</v>
      </c>
      <c r="M62" s="77">
        <f>SUM(M50:M61)</f>
        <v>126.25</v>
      </c>
      <c r="N62" s="79">
        <f>SUM(N50:N61)</f>
        <v>0</v>
      </c>
    </row>
    <row r="63" spans="1:14" x14ac:dyDescent="0.35">
      <c r="A63" s="80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81"/>
    </row>
    <row r="64" spans="1:14" x14ac:dyDescent="0.35">
      <c r="A64" s="75" t="s">
        <v>281</v>
      </c>
      <c r="B64" s="76"/>
      <c r="C64" s="76"/>
      <c r="D64" s="76"/>
      <c r="E64" s="76"/>
      <c r="F64" s="76"/>
      <c r="G64" s="76"/>
      <c r="H64" s="76"/>
      <c r="I64" s="76"/>
      <c r="J64" s="78">
        <f>IF(urenjaar2&gt;0,SUMIF(M50:M61,"&gt;0",N50:N61)/urenjaar2,0)</f>
        <v>0</v>
      </c>
      <c r="K64" s="76"/>
      <c r="L64" s="76"/>
      <c r="M64" s="76"/>
      <c r="N64" s="81"/>
    </row>
    <row r="65" spans="1:14" x14ac:dyDescent="0.35">
      <c r="A65" s="80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81"/>
    </row>
    <row r="66" spans="1:14" x14ac:dyDescent="0.35">
      <c r="A66" s="4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7"/>
    </row>
    <row r="67" spans="1:14" x14ac:dyDescent="0.35">
      <c r="A67" s="48" t="s">
        <v>198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0"/>
    </row>
    <row r="68" spans="1:14" x14ac:dyDescent="0.35">
      <c r="A68" s="51" t="s">
        <v>282</v>
      </c>
      <c r="B68" s="51" t="s">
        <v>26</v>
      </c>
      <c r="C68" s="51" t="s">
        <v>218</v>
      </c>
      <c r="D68" s="51" t="s">
        <v>227</v>
      </c>
      <c r="E68" s="66">
        <v>8</v>
      </c>
      <c r="F68" s="66">
        <f>E68*VLOOKUP(B68,dagsoorttabel3,2,FALSE)</f>
        <v>8</v>
      </c>
      <c r="G68" s="67">
        <f>catpn_3_XKPHB_1</f>
        <v>0</v>
      </c>
      <c r="H68" s="68">
        <f>catdw_3_XKPHB_1</f>
        <v>0</v>
      </c>
      <c r="I68" s="51" t="s">
        <v>107</v>
      </c>
      <c r="J68" s="55">
        <f>cattf_3_XKPHB_1</f>
        <v>0</v>
      </c>
      <c r="K68" s="66">
        <f>IF(OR(ISBLANK(G68),G68=0),0,F68/ROUND(G68,4))</f>
        <v>0</v>
      </c>
      <c r="L68" s="55">
        <f>ROUND(J68,2)*K68</f>
        <v>0</v>
      </c>
      <c r="M68" s="66">
        <f>K68*dagenperjaar3</f>
        <v>0</v>
      </c>
      <c r="N68" s="55">
        <f>M68*ROUND(J68,2)</f>
        <v>0</v>
      </c>
    </row>
    <row r="69" spans="1:14" x14ac:dyDescent="0.35">
      <c r="A69" s="56" t="s">
        <v>283</v>
      </c>
      <c r="B69" s="56" t="s">
        <v>26</v>
      </c>
      <c r="C69" s="56" t="s">
        <v>218</v>
      </c>
      <c r="D69" s="56" t="s">
        <v>229</v>
      </c>
      <c r="E69" s="69">
        <v>78</v>
      </c>
      <c r="F69" s="69">
        <f>E69*VLOOKUP(B69,dagsoorttabel3,2,FALSE)</f>
        <v>78</v>
      </c>
      <c r="G69" s="70">
        <f>catpn_3_XKRHB_1</f>
        <v>0</v>
      </c>
      <c r="H69" s="71">
        <f>catdw_3_XKRHB_1</f>
        <v>0</v>
      </c>
      <c r="I69" s="56" t="s">
        <v>107</v>
      </c>
      <c r="J69" s="60">
        <f>cattf_3_XKRHB_1</f>
        <v>0</v>
      </c>
      <c r="K69" s="69">
        <f>IF(OR(ISBLANK(G69),G69=0),0,F69/ROUND(G69,4))</f>
        <v>0</v>
      </c>
      <c r="L69" s="60">
        <f>ROUND(J69,2)*K69</f>
        <v>0</v>
      </c>
      <c r="M69" s="69">
        <f>K69*dagenperjaar3</f>
        <v>0</v>
      </c>
      <c r="N69" s="60">
        <f>M69*ROUND(J69,2)</f>
        <v>0</v>
      </c>
    </row>
    <row r="70" spans="1:14" x14ac:dyDescent="0.35">
      <c r="A70" s="56" t="s">
        <v>284</v>
      </c>
      <c r="B70" s="56" t="s">
        <v>26</v>
      </c>
      <c r="C70" s="56" t="s">
        <v>218</v>
      </c>
      <c r="D70" s="56" t="s">
        <v>235</v>
      </c>
      <c r="E70" s="69">
        <v>6416</v>
      </c>
      <c r="F70" s="69">
        <f>E70*VLOOKUP(B70,dagsoorttabel3,2,FALSE)</f>
        <v>6416</v>
      </c>
      <c r="G70" s="70">
        <f>catpn_3_XMEHB_1</f>
        <v>0</v>
      </c>
      <c r="H70" s="71">
        <f>catdw_3_XMEHB_1</f>
        <v>0</v>
      </c>
      <c r="I70" s="56" t="s">
        <v>107</v>
      </c>
      <c r="J70" s="60">
        <f>cattf_3_XMEHB_1</f>
        <v>0</v>
      </c>
      <c r="K70" s="69">
        <f>IF(OR(ISBLANK(G70),G70=0),0,F70/ROUND(G70,4))</f>
        <v>0</v>
      </c>
      <c r="L70" s="60">
        <f>ROUND(J70,2)*K70</f>
        <v>0</v>
      </c>
      <c r="M70" s="69">
        <f>K70*dagenperjaar3</f>
        <v>0</v>
      </c>
      <c r="N70" s="60">
        <f>M70*ROUND(J70,2)</f>
        <v>0</v>
      </c>
    </row>
    <row r="71" spans="1:14" x14ac:dyDescent="0.35">
      <c r="A71" s="56" t="s">
        <v>285</v>
      </c>
      <c r="B71" s="56" t="s">
        <v>26</v>
      </c>
      <c r="C71" s="56" t="s">
        <v>218</v>
      </c>
      <c r="D71" s="56" t="s">
        <v>241</v>
      </c>
      <c r="E71" s="69">
        <v>70</v>
      </c>
      <c r="F71" s="69">
        <f>E71*VLOOKUP(B71,dagsoorttabel3,2,FALSE)</f>
        <v>70</v>
      </c>
      <c r="G71" s="70">
        <f>catpn_3_XSKHB_1</f>
        <v>0</v>
      </c>
      <c r="H71" s="71">
        <f>catdw_3_XSKHB_1</f>
        <v>0</v>
      </c>
      <c r="I71" s="56" t="s">
        <v>107</v>
      </c>
      <c r="J71" s="60">
        <f>cattf_3_XSKHB_1</f>
        <v>0</v>
      </c>
      <c r="K71" s="69">
        <f>IF(OR(ISBLANK(G71),G71=0),0,F71/ROUND(G71,4))</f>
        <v>0</v>
      </c>
      <c r="L71" s="60">
        <f>ROUND(J71,2)*K71</f>
        <v>0</v>
      </c>
      <c r="M71" s="69">
        <f>K71*dagenperjaar3</f>
        <v>0</v>
      </c>
      <c r="N71" s="60">
        <f>M71*ROUND(J71,2)</f>
        <v>0</v>
      </c>
    </row>
    <row r="72" spans="1:14" x14ac:dyDescent="0.35">
      <c r="A72" s="56" t="s">
        <v>286</v>
      </c>
      <c r="B72" s="56" t="s">
        <v>26</v>
      </c>
      <c r="C72" s="56" t="s">
        <v>218</v>
      </c>
      <c r="D72" s="56" t="s">
        <v>243</v>
      </c>
      <c r="E72" s="69">
        <v>112</v>
      </c>
      <c r="F72" s="69">
        <f>E72*VLOOKUP(B72,dagsoorttabel3,2,FALSE)</f>
        <v>112</v>
      </c>
      <c r="G72" s="70">
        <f>catpn_3_XSTHB_1</f>
        <v>0</v>
      </c>
      <c r="H72" s="71">
        <f>catdw_3_XSTHB_1</f>
        <v>0</v>
      </c>
      <c r="I72" s="56" t="s">
        <v>107</v>
      </c>
      <c r="J72" s="60">
        <f>cattf_3_XSTHB_1</f>
        <v>0</v>
      </c>
      <c r="K72" s="69">
        <f>IF(OR(ISBLANK(G72),G72=0),0,F72/ROUND(G72,4))</f>
        <v>0</v>
      </c>
      <c r="L72" s="60">
        <f>ROUND(J72,2)*K72</f>
        <v>0</v>
      </c>
      <c r="M72" s="69">
        <f>K72*dagenperjaar3</f>
        <v>0</v>
      </c>
      <c r="N72" s="60">
        <f>M72*ROUND(J72,2)</f>
        <v>0</v>
      </c>
    </row>
    <row r="73" spans="1:14" x14ac:dyDescent="0.35">
      <c r="A73" s="56" t="s">
        <v>287</v>
      </c>
      <c r="B73" s="56" t="s">
        <v>25</v>
      </c>
      <c r="C73" s="56" t="s">
        <v>218</v>
      </c>
      <c r="D73" s="56" t="s">
        <v>245</v>
      </c>
      <c r="E73" s="69">
        <v>112</v>
      </c>
      <c r="F73" s="69">
        <f>E73*VLOOKUP(B73,dagsoorttabel3,2,FALSE)</f>
        <v>336</v>
      </c>
      <c r="G73" s="70">
        <f>catpn_3_XSTHB_1</f>
        <v>0</v>
      </c>
      <c r="H73" s="71">
        <f>catdw_3_XSTHB_1</f>
        <v>0</v>
      </c>
      <c r="I73" s="56" t="s">
        <v>107</v>
      </c>
      <c r="J73" s="60">
        <f>cattf_3_XSTHB_1</f>
        <v>0</v>
      </c>
      <c r="K73" s="69">
        <f>IF(OR(ISBLANK(G73),G73=0),0,F73/ROUND(G73,4))</f>
        <v>0</v>
      </c>
      <c r="L73" s="60">
        <f>ROUND(J73,2)*K73</f>
        <v>0</v>
      </c>
      <c r="M73" s="69">
        <f>K73*dagenperjaar3</f>
        <v>0</v>
      </c>
      <c r="N73" s="60">
        <f>M73*ROUND(J73,2)</f>
        <v>0</v>
      </c>
    </row>
    <row r="74" spans="1:14" x14ac:dyDescent="0.35">
      <c r="A74" s="56" t="s">
        <v>288</v>
      </c>
      <c r="B74" s="56" t="s">
        <v>26</v>
      </c>
      <c r="C74" s="56" t="s">
        <v>218</v>
      </c>
      <c r="D74" s="56" t="s">
        <v>247</v>
      </c>
      <c r="E74" s="69">
        <v>1957</v>
      </c>
      <c r="F74" s="69">
        <f>E74*VLOOKUP(B74,dagsoorttabel3,2,FALSE)</f>
        <v>1957</v>
      </c>
      <c r="G74" s="70">
        <f>catpn_3_XVAHB_1</f>
        <v>0</v>
      </c>
      <c r="H74" s="71">
        <f>catdw_3_XVAHB_1</f>
        <v>0</v>
      </c>
      <c r="I74" s="56" t="s">
        <v>107</v>
      </c>
      <c r="J74" s="60">
        <f>cattf_3_XVAHB_1</f>
        <v>0</v>
      </c>
      <c r="K74" s="69">
        <f>IF(OR(ISBLANK(G74),G74=0),0,F74/ROUND(G74,4))</f>
        <v>0</v>
      </c>
      <c r="L74" s="60">
        <f>ROUND(J74,2)*K74</f>
        <v>0</v>
      </c>
      <c r="M74" s="69">
        <f>K74*dagenperjaar3</f>
        <v>0</v>
      </c>
      <c r="N74" s="60">
        <f>M74*ROUND(J74,2)</f>
        <v>0</v>
      </c>
    </row>
    <row r="75" spans="1:14" x14ac:dyDescent="0.35">
      <c r="A75" s="56" t="s">
        <v>289</v>
      </c>
      <c r="B75" s="56" t="s">
        <v>26</v>
      </c>
      <c r="C75" s="56" t="s">
        <v>218</v>
      </c>
      <c r="D75" s="56" t="s">
        <v>251</v>
      </c>
      <c r="E75" s="69">
        <v>47</v>
      </c>
      <c r="F75" s="69">
        <f>E75*VLOOKUP(B75,dagsoorttabel3,2,FALSE)</f>
        <v>47</v>
      </c>
      <c r="G75" s="70">
        <f>catpn_3_XVEHB_1</f>
        <v>0</v>
      </c>
      <c r="H75" s="71">
        <f>catdw_3_XVEHB_1</f>
        <v>0</v>
      </c>
      <c r="I75" s="56" t="s">
        <v>107</v>
      </c>
      <c r="J75" s="60">
        <f>cattf_3_XVEHB_1</f>
        <v>0</v>
      </c>
      <c r="K75" s="69">
        <f>IF(OR(ISBLANK(G75),G75=0),0,F75/ROUND(G75,4))</f>
        <v>0</v>
      </c>
      <c r="L75" s="60">
        <f>ROUND(J75,2)*K75</f>
        <v>0</v>
      </c>
      <c r="M75" s="69">
        <f>K75*dagenperjaar3</f>
        <v>0</v>
      </c>
      <c r="N75" s="60">
        <f>M75*ROUND(J75,2)</f>
        <v>0</v>
      </c>
    </row>
    <row r="76" spans="1:14" x14ac:dyDescent="0.35">
      <c r="A76" s="56" t="s">
        <v>290</v>
      </c>
      <c r="B76" s="56" t="s">
        <v>26</v>
      </c>
      <c r="C76" s="56" t="s">
        <v>218</v>
      </c>
      <c r="D76" s="56" t="s">
        <v>253</v>
      </c>
      <c r="E76" s="69">
        <v>59</v>
      </c>
      <c r="F76" s="69">
        <f>E76*VLOOKUP(B76,dagsoorttabel3,2,FALSE)</f>
        <v>59</v>
      </c>
      <c r="G76" s="70">
        <f>catpn_3_XVEZB_1</f>
        <v>0</v>
      </c>
      <c r="H76" s="71">
        <f>catdw_3_XVEZB_1</f>
        <v>0</v>
      </c>
      <c r="I76" s="56" t="s">
        <v>107</v>
      </c>
      <c r="J76" s="60">
        <f>cattf_3_XVEZB_1</f>
        <v>0</v>
      </c>
      <c r="K76" s="69">
        <f>IF(OR(ISBLANK(G76),G76=0),0,F76/ROUND(G76,4))</f>
        <v>0</v>
      </c>
      <c r="L76" s="60">
        <f>ROUND(J76,2)*K76</f>
        <v>0</v>
      </c>
      <c r="M76" s="69">
        <f>K76*dagenperjaar3</f>
        <v>0</v>
      </c>
      <c r="N76" s="60">
        <f>M76*ROUND(J76,2)</f>
        <v>0</v>
      </c>
    </row>
    <row r="77" spans="1:14" x14ac:dyDescent="0.35">
      <c r="A77" s="56" t="s">
        <v>291</v>
      </c>
      <c r="B77" s="56" t="s">
        <v>26</v>
      </c>
      <c r="C77" s="56" t="s">
        <v>218</v>
      </c>
      <c r="D77" s="56" t="s">
        <v>255</v>
      </c>
      <c r="E77" s="69">
        <v>4</v>
      </c>
      <c r="F77" s="69">
        <f>E77*VLOOKUP(B77,dagsoorttabel3,2,FALSE)</f>
        <v>4</v>
      </c>
      <c r="G77" s="70">
        <f>catpn_3_XVLHB_1</f>
        <v>0</v>
      </c>
      <c r="H77" s="71">
        <f>catdw_3_XVLHB_1</f>
        <v>0</v>
      </c>
      <c r="I77" s="56" t="s">
        <v>107</v>
      </c>
      <c r="J77" s="60">
        <f>cattf_3_XVLHB_1</f>
        <v>0</v>
      </c>
      <c r="K77" s="69">
        <f>IF(OR(ISBLANK(G77),G77=0),0,F77/ROUND(G77,4))</f>
        <v>0</v>
      </c>
      <c r="L77" s="60">
        <f>ROUND(J77,2)*K77</f>
        <v>0</v>
      </c>
      <c r="M77" s="69">
        <f>K77*dagenperjaar3</f>
        <v>0</v>
      </c>
      <c r="N77" s="60">
        <f>M77*ROUND(J77,2)</f>
        <v>0</v>
      </c>
    </row>
    <row r="78" spans="1:14" x14ac:dyDescent="0.35">
      <c r="A78" s="56" t="s">
        <v>292</v>
      </c>
      <c r="B78" s="56" t="s">
        <v>26</v>
      </c>
      <c r="C78" s="56" t="s">
        <v>218</v>
      </c>
      <c r="D78" s="56" t="s">
        <v>257</v>
      </c>
      <c r="E78" s="69">
        <v>372.29999999999995</v>
      </c>
      <c r="F78" s="69">
        <f>E78*VLOOKUP(B78,dagsoorttabel3,2,FALSE)</f>
        <v>372.29999999999995</v>
      </c>
      <c r="G78" s="70">
        <f>catpn_3_XVTHB_1</f>
        <v>0</v>
      </c>
      <c r="H78" s="71">
        <f>catdw_3_XVTHB_1</f>
        <v>0</v>
      </c>
      <c r="I78" s="56" t="s">
        <v>107</v>
      </c>
      <c r="J78" s="60">
        <f>cattf_3_XVTHB_1</f>
        <v>0</v>
      </c>
      <c r="K78" s="69">
        <f>IF(OR(ISBLANK(G78),G78=0),0,F78/ROUND(G78,4))</f>
        <v>0</v>
      </c>
      <c r="L78" s="60">
        <f>ROUND(J78,2)*K78</f>
        <v>0</v>
      </c>
      <c r="M78" s="69">
        <f>K78*dagenperjaar3</f>
        <v>0</v>
      </c>
      <c r="N78" s="60">
        <f>M78*ROUND(J78,2)</f>
        <v>0</v>
      </c>
    </row>
    <row r="79" spans="1:14" x14ac:dyDescent="0.35">
      <c r="A79" s="61" t="s">
        <v>293</v>
      </c>
      <c r="B79" s="61" t="s">
        <v>26</v>
      </c>
      <c r="C79" s="61" t="s">
        <v>259</v>
      </c>
      <c r="D79" s="61" t="s">
        <v>294</v>
      </c>
      <c r="E79" s="72">
        <v>1.25</v>
      </c>
      <c r="F79" s="72">
        <f>E79*VLOOKUP(B79,dagsoorttabel3,2,FALSE)</f>
        <v>1.25</v>
      </c>
      <c r="G79" s="73"/>
      <c r="H79" s="64"/>
      <c r="I79" s="61" t="s">
        <v>261</v>
      </c>
      <c r="J79" s="65">
        <f>Tariefopbouw7</f>
        <v>0</v>
      </c>
      <c r="K79" s="72">
        <f>F79</f>
        <v>1.25</v>
      </c>
      <c r="L79" s="65">
        <f>ROUND(J79,2)*K79</f>
        <v>0</v>
      </c>
      <c r="M79" s="72">
        <f>K79*dagenperjaar3</f>
        <v>11.25</v>
      </c>
      <c r="N79" s="65">
        <f>M79*ROUND(J79,2)</f>
        <v>0</v>
      </c>
    </row>
    <row r="80" spans="1:14" x14ac:dyDescent="0.35">
      <c r="A80" s="75" t="s">
        <v>295</v>
      </c>
      <c r="B80" s="76"/>
      <c r="C80" s="76"/>
      <c r="D80" s="76"/>
      <c r="E80" s="76"/>
      <c r="F80" s="76"/>
      <c r="G80" s="76"/>
      <c r="H80" s="76"/>
      <c r="I80" s="76"/>
      <c r="J80" s="76"/>
      <c r="K80" s="77">
        <f>SUM(K68:K79)</f>
        <v>1.25</v>
      </c>
      <c r="L80" s="78">
        <f>SUM(L68:L79)</f>
        <v>0</v>
      </c>
      <c r="M80" s="77">
        <f>SUM(M68:M79)</f>
        <v>11.25</v>
      </c>
      <c r="N80" s="79">
        <f>SUM(N68:N79)</f>
        <v>0</v>
      </c>
    </row>
    <row r="81" spans="1:14" x14ac:dyDescent="0.35">
      <c r="A81" s="80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81"/>
    </row>
    <row r="82" spans="1:14" x14ac:dyDescent="0.35">
      <c r="A82" s="75" t="s">
        <v>296</v>
      </c>
      <c r="B82" s="76"/>
      <c r="C82" s="76"/>
      <c r="D82" s="76"/>
      <c r="E82" s="76"/>
      <c r="F82" s="76"/>
      <c r="G82" s="76"/>
      <c r="H82" s="76"/>
      <c r="I82" s="76"/>
      <c r="J82" s="78">
        <f>IF(urenjaar3&gt;0,SUMIF(M68:M79,"&gt;0",N68:N79)/urenjaar3,0)</f>
        <v>0</v>
      </c>
      <c r="K82" s="76"/>
      <c r="L82" s="76"/>
      <c r="M82" s="76"/>
      <c r="N82" s="81"/>
    </row>
    <row r="83" spans="1:14" x14ac:dyDescent="0.35">
      <c r="A83" s="80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81"/>
    </row>
    <row r="85" spans="1:14" x14ac:dyDescent="0.35">
      <c r="A85" s="75" t="s">
        <v>297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7">
        <f>urenjaar1+urenjaar2+urenjaar3</f>
        <v>1476.25</v>
      </c>
      <c r="N85" s="78">
        <f>prijsjaar1+prijsjaar2+prijsjaar3</f>
        <v>0</v>
      </c>
    </row>
  </sheetData>
  <sheetProtection algorithmName="SHA-512" hashValue="oHtDE68FlFAGKiNdlWdt00Q9UF/9JFiyH+bTtiPhjdwSNhqHifFrVcbXrIX/PbVoiSuLC/AedrC/rxaKGi9Y9g==" saltValue="1vROM3b1kwOtNzXztlK2wA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481E-F676-47DE-B6F1-F82E46050DC1}">
  <dimension ref="A1:V532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5" x14ac:dyDescent="0.35"/>
  <cols>
    <col min="1" max="1" width="8.6328125" customWidth="1"/>
    <col min="2" max="3" width="7.6328125" customWidth="1"/>
    <col min="4" max="5" width="10.6328125" customWidth="1"/>
    <col min="6" max="6" width="25.6328125" customWidth="1"/>
    <col min="7" max="7" width="11.6328125" customWidth="1"/>
    <col min="8" max="8" width="7.6328125" customWidth="1"/>
    <col min="9" max="9" width="6.6328125" customWidth="1"/>
    <col min="10" max="10" width="8.6328125" customWidth="1"/>
    <col min="11" max="11" width="40.6328125" customWidth="1"/>
    <col min="12" max="13" width="10.6328125" customWidth="1"/>
    <col min="14" max="15" width="11.6328125" customWidth="1"/>
    <col min="16" max="16" width="9.6328125" customWidth="1"/>
    <col min="17" max="20" width="11.6328125" customWidth="1"/>
    <col min="21" max="21" width="12.6328125" customWidth="1"/>
    <col min="22" max="22" width="14.6328125" customWidth="1"/>
  </cols>
  <sheetData>
    <row r="1" spans="1:22" x14ac:dyDescent="0.35">
      <c r="A1" s="1" t="str">
        <f>CONCATENATE("Bijlage 3.3: ",tabeltype," ruimten werkdag")</f>
        <v>Bijlage 3.3: Invultabel ruimten werkdag</v>
      </c>
    </row>
    <row r="3" spans="1:22" ht="43.5" x14ac:dyDescent="0.35">
      <c r="A3" s="82" t="s">
        <v>298</v>
      </c>
      <c r="B3" s="44" t="s">
        <v>299</v>
      </c>
      <c r="C3" s="44" t="s">
        <v>300</v>
      </c>
      <c r="D3" s="44" t="s">
        <v>301</v>
      </c>
      <c r="E3" s="44" t="s">
        <v>302</v>
      </c>
      <c r="F3" s="44" t="s">
        <v>303</v>
      </c>
      <c r="G3" s="44" t="s">
        <v>304</v>
      </c>
      <c r="H3" s="44" t="s">
        <v>209</v>
      </c>
      <c r="I3" s="44" t="s">
        <v>7</v>
      </c>
      <c r="J3" s="44" t="s">
        <v>305</v>
      </c>
      <c r="K3" s="44" t="s">
        <v>306</v>
      </c>
      <c r="L3" s="44" t="s">
        <v>211</v>
      </c>
      <c r="M3" s="44" t="s">
        <v>212</v>
      </c>
      <c r="N3" s="44" t="s">
        <v>99</v>
      </c>
      <c r="O3" s="44" t="s">
        <v>100</v>
      </c>
      <c r="P3" s="44" t="s">
        <v>101</v>
      </c>
      <c r="Q3" s="44" t="s">
        <v>102</v>
      </c>
      <c r="R3" s="44" t="s">
        <v>213</v>
      </c>
      <c r="S3" s="44" t="s">
        <v>307</v>
      </c>
      <c r="T3" s="44" t="s">
        <v>214</v>
      </c>
      <c r="U3" s="44" t="s">
        <v>215</v>
      </c>
      <c r="V3" s="83" t="s">
        <v>216</v>
      </c>
    </row>
    <row r="4" spans="1:22" x14ac:dyDescent="0.35">
      <c r="A4" s="84" t="s">
        <v>308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74"/>
    </row>
    <row r="5" spans="1:22" x14ac:dyDescent="0.35">
      <c r="A5" s="85" t="s">
        <v>258</v>
      </c>
      <c r="B5" s="86" t="s">
        <v>40</v>
      </c>
      <c r="C5" s="86" t="s">
        <v>309</v>
      </c>
      <c r="D5" s="86" t="s">
        <v>310</v>
      </c>
      <c r="E5" s="86" t="s">
        <v>40</v>
      </c>
      <c r="F5" s="87" t="s">
        <v>311</v>
      </c>
      <c r="G5" s="86" t="s">
        <v>312</v>
      </c>
      <c r="H5" s="86" t="s">
        <v>256</v>
      </c>
      <c r="I5" s="86" t="s">
        <v>20</v>
      </c>
      <c r="J5" s="86" t="s">
        <v>218</v>
      </c>
      <c r="K5" s="87" t="s">
        <v>257</v>
      </c>
      <c r="L5" s="88">
        <v>14</v>
      </c>
      <c r="M5" s="88">
        <f>L5*VLOOKUP(I5,dagsoorttabel1,2,FALSE)</f>
        <v>0.10980392156862745</v>
      </c>
      <c r="N5" s="89">
        <f>prodnorm36</f>
        <v>0</v>
      </c>
      <c r="O5" s="90">
        <f>dagwerk36</f>
        <v>0</v>
      </c>
      <c r="P5" s="86" t="s">
        <v>107</v>
      </c>
      <c r="Q5" s="91">
        <f>uurtarief36</f>
        <v>0</v>
      </c>
      <c r="R5" s="88" t="e">
        <f>IF(ISBLANK(N5),0,M5/ROUND(N5,4))</f>
        <v>#DIV/0!</v>
      </c>
      <c r="S5" s="88" t="e">
        <f>IF(ISBLANK(N5),0,R5*ROUND(O5,2))</f>
        <v>#DIV/0!</v>
      </c>
      <c r="T5" s="91" t="e">
        <f>ROUND(Q5,2)*R5</f>
        <v>#DIV/0!</v>
      </c>
      <c r="U5" s="88" t="e">
        <f>R5*dagenperjaar1</f>
        <v>#DIV/0!</v>
      </c>
      <c r="V5" s="92" t="e">
        <f>U5*ROUND(Q5,2)</f>
        <v>#DIV/0!</v>
      </c>
    </row>
    <row r="6" spans="1:22" x14ac:dyDescent="0.35">
      <c r="A6" s="93" t="s">
        <v>258</v>
      </c>
      <c r="B6" s="94" t="s">
        <v>40</v>
      </c>
      <c r="C6" s="94" t="s">
        <v>309</v>
      </c>
      <c r="D6" s="94" t="s">
        <v>313</v>
      </c>
      <c r="E6" s="94" t="s">
        <v>40</v>
      </c>
      <c r="F6" s="95" t="s">
        <v>311</v>
      </c>
      <c r="G6" s="94" t="s">
        <v>312</v>
      </c>
      <c r="H6" s="94" t="s">
        <v>256</v>
      </c>
      <c r="I6" s="94" t="s">
        <v>20</v>
      </c>
      <c r="J6" s="94" t="s">
        <v>218</v>
      </c>
      <c r="K6" s="95" t="s">
        <v>257</v>
      </c>
      <c r="L6" s="96">
        <v>8</v>
      </c>
      <c r="M6" s="96">
        <f>L6*VLOOKUP(I6,dagsoorttabel1,2,FALSE)</f>
        <v>6.2745098039215685E-2</v>
      </c>
      <c r="N6" s="97">
        <f>prodnorm36</f>
        <v>0</v>
      </c>
      <c r="O6" s="41">
        <f>dagwerk36</f>
        <v>0</v>
      </c>
      <c r="P6" s="94" t="s">
        <v>107</v>
      </c>
      <c r="Q6" s="26">
        <f>uurtarief36</f>
        <v>0</v>
      </c>
      <c r="R6" s="96" t="e">
        <f>IF(ISBLANK(N6),0,M6/ROUND(N6,4))</f>
        <v>#DIV/0!</v>
      </c>
      <c r="S6" s="96" t="e">
        <f>IF(ISBLANK(N6),0,R6*ROUND(O6,2))</f>
        <v>#DIV/0!</v>
      </c>
      <c r="T6" s="26" t="e">
        <f>ROUND(Q6,2)*R6</f>
        <v>#DIV/0!</v>
      </c>
      <c r="U6" s="96" t="e">
        <f>R6*dagenperjaar1</f>
        <v>#DIV/0!</v>
      </c>
      <c r="V6" s="27" t="e">
        <f>U6*ROUND(Q6,2)</f>
        <v>#DIV/0!</v>
      </c>
    </row>
    <row r="7" spans="1:22" x14ac:dyDescent="0.35">
      <c r="A7" s="93" t="s">
        <v>258</v>
      </c>
      <c r="B7" s="94" t="s">
        <v>40</v>
      </c>
      <c r="C7" s="94" t="s">
        <v>309</v>
      </c>
      <c r="D7" s="94" t="s">
        <v>314</v>
      </c>
      <c r="E7" s="94" t="s">
        <v>40</v>
      </c>
      <c r="F7" s="95" t="s">
        <v>315</v>
      </c>
      <c r="G7" s="94" t="s">
        <v>40</v>
      </c>
      <c r="H7" s="94" t="s">
        <v>316</v>
      </c>
      <c r="I7" s="94"/>
      <c r="J7" s="94"/>
      <c r="K7" s="94"/>
      <c r="L7" s="96">
        <v>10</v>
      </c>
      <c r="M7" s="96"/>
      <c r="N7" s="97"/>
      <c r="O7" s="41"/>
      <c r="P7" s="94"/>
      <c r="Q7" s="26"/>
      <c r="R7" s="96"/>
      <c r="S7" s="96"/>
      <c r="T7" s="26"/>
      <c r="U7" s="98"/>
      <c r="V7" s="27"/>
    </row>
    <row r="8" spans="1:22" x14ac:dyDescent="0.35">
      <c r="A8" s="93" t="s">
        <v>258</v>
      </c>
      <c r="B8" s="94" t="s">
        <v>40</v>
      </c>
      <c r="C8" s="94" t="s">
        <v>309</v>
      </c>
      <c r="D8" s="94" t="s">
        <v>317</v>
      </c>
      <c r="E8" s="94" t="s">
        <v>40</v>
      </c>
      <c r="F8" s="95" t="s">
        <v>318</v>
      </c>
      <c r="G8" s="94" t="s">
        <v>40</v>
      </c>
      <c r="H8" s="94" t="s">
        <v>316</v>
      </c>
      <c r="I8" s="94"/>
      <c r="J8" s="94"/>
      <c r="K8" s="94"/>
      <c r="L8" s="96">
        <v>0</v>
      </c>
      <c r="M8" s="96"/>
      <c r="N8" s="97"/>
      <c r="O8" s="41"/>
      <c r="P8" s="94"/>
      <c r="Q8" s="26"/>
      <c r="R8" s="96"/>
      <c r="S8" s="96"/>
      <c r="T8" s="26"/>
      <c r="U8" s="98"/>
      <c r="V8" s="27"/>
    </row>
    <row r="9" spans="1:22" x14ac:dyDescent="0.35">
      <c r="A9" s="93" t="s">
        <v>258</v>
      </c>
      <c r="B9" s="94" t="s">
        <v>40</v>
      </c>
      <c r="C9" s="94" t="s">
        <v>309</v>
      </c>
      <c r="D9" s="94" t="s">
        <v>319</v>
      </c>
      <c r="E9" s="94" t="s">
        <v>40</v>
      </c>
      <c r="F9" s="95" t="s">
        <v>320</v>
      </c>
      <c r="G9" s="94" t="s">
        <v>321</v>
      </c>
      <c r="H9" s="94" t="s">
        <v>242</v>
      </c>
      <c r="I9" s="94" t="s">
        <v>10</v>
      </c>
      <c r="J9" s="94" t="s">
        <v>218</v>
      </c>
      <c r="K9" s="95" t="s">
        <v>243</v>
      </c>
      <c r="L9" s="96">
        <v>4</v>
      </c>
      <c r="M9" s="96">
        <f>L9*VLOOKUP(I9,dagsoorttabel1,2,FALSE)</f>
        <v>4</v>
      </c>
      <c r="N9" s="97">
        <f>prodnorm21</f>
        <v>0</v>
      </c>
      <c r="O9" s="41">
        <f>dagwerk21</f>
        <v>0</v>
      </c>
      <c r="P9" s="94" t="s">
        <v>107</v>
      </c>
      <c r="Q9" s="26">
        <f>uurtarief21</f>
        <v>0</v>
      </c>
      <c r="R9" s="96" t="e">
        <f>IF(ISBLANK(N9),0,M9/ROUND(N9,4))</f>
        <v>#DIV/0!</v>
      </c>
      <c r="S9" s="96" t="e">
        <f>IF(ISBLANK(N9),0,R9*ROUND(O9,2))</f>
        <v>#DIV/0!</v>
      </c>
      <c r="T9" s="26" t="e">
        <f>ROUND(Q9,2)*R9</f>
        <v>#DIV/0!</v>
      </c>
      <c r="U9" s="96" t="e">
        <f>R9*dagenperjaar1</f>
        <v>#DIV/0!</v>
      </c>
      <c r="V9" s="27" t="e">
        <f>U9*ROUND(Q9,2)</f>
        <v>#DIV/0!</v>
      </c>
    </row>
    <row r="10" spans="1:22" x14ac:dyDescent="0.35">
      <c r="A10" s="93" t="s">
        <v>258</v>
      </c>
      <c r="B10" s="94" t="s">
        <v>40</v>
      </c>
      <c r="C10" s="94" t="s">
        <v>309</v>
      </c>
      <c r="D10" s="94" t="s">
        <v>322</v>
      </c>
      <c r="E10" s="94" t="s">
        <v>40</v>
      </c>
      <c r="F10" s="95" t="s">
        <v>323</v>
      </c>
      <c r="G10" s="94" t="s">
        <v>321</v>
      </c>
      <c r="H10" s="94" t="s">
        <v>242</v>
      </c>
      <c r="I10" s="94" t="s">
        <v>10</v>
      </c>
      <c r="J10" s="94" t="s">
        <v>218</v>
      </c>
      <c r="K10" s="95" t="s">
        <v>243</v>
      </c>
      <c r="L10" s="96">
        <v>4</v>
      </c>
      <c r="M10" s="96">
        <f>L10*VLOOKUP(I10,dagsoorttabel1,2,FALSE)</f>
        <v>4</v>
      </c>
      <c r="N10" s="97">
        <f>prodnorm21</f>
        <v>0</v>
      </c>
      <c r="O10" s="41">
        <f>dagwerk21</f>
        <v>0</v>
      </c>
      <c r="P10" s="94" t="s">
        <v>107</v>
      </c>
      <c r="Q10" s="26">
        <f>uurtarief21</f>
        <v>0</v>
      </c>
      <c r="R10" s="96" t="e">
        <f>IF(ISBLANK(N10),0,M10/ROUND(N10,4))</f>
        <v>#DIV/0!</v>
      </c>
      <c r="S10" s="96" t="e">
        <f>IF(ISBLANK(N10),0,R10*ROUND(O10,2))</f>
        <v>#DIV/0!</v>
      </c>
      <c r="T10" s="26" t="e">
        <f>ROUND(Q10,2)*R10</f>
        <v>#DIV/0!</v>
      </c>
      <c r="U10" s="96" t="e">
        <f>R10*dagenperjaar1</f>
        <v>#DIV/0!</v>
      </c>
      <c r="V10" s="27" t="e">
        <f>U10*ROUND(Q10,2)</f>
        <v>#DIV/0!</v>
      </c>
    </row>
    <row r="11" spans="1:22" x14ac:dyDescent="0.35">
      <c r="A11" s="93" t="s">
        <v>258</v>
      </c>
      <c r="B11" s="94" t="s">
        <v>40</v>
      </c>
      <c r="C11" s="94" t="s">
        <v>309</v>
      </c>
      <c r="D11" s="94" t="s">
        <v>324</v>
      </c>
      <c r="E11" s="94" t="s">
        <v>40</v>
      </c>
      <c r="F11" s="95" t="s">
        <v>325</v>
      </c>
      <c r="G11" s="94" t="s">
        <v>326</v>
      </c>
      <c r="H11" s="94" t="s">
        <v>256</v>
      </c>
      <c r="I11" s="94" t="s">
        <v>10</v>
      </c>
      <c r="J11" s="94" t="s">
        <v>218</v>
      </c>
      <c r="K11" s="95" t="s">
        <v>257</v>
      </c>
      <c r="L11" s="96">
        <v>16</v>
      </c>
      <c r="M11" s="96">
        <f>L11*VLOOKUP(I11,dagsoorttabel1,2,FALSE)</f>
        <v>16</v>
      </c>
      <c r="N11" s="97">
        <f>prodnorm38</f>
        <v>0</v>
      </c>
      <c r="O11" s="41">
        <f>dagwerk38</f>
        <v>0</v>
      </c>
      <c r="P11" s="94" t="s">
        <v>107</v>
      </c>
      <c r="Q11" s="26">
        <f>uurtarief38</f>
        <v>0</v>
      </c>
      <c r="R11" s="96" t="e">
        <f>IF(ISBLANK(N11),0,M11/ROUND(N11,4))</f>
        <v>#DIV/0!</v>
      </c>
      <c r="S11" s="96" t="e">
        <f>IF(ISBLANK(N11),0,R11*ROUND(O11,2))</f>
        <v>#DIV/0!</v>
      </c>
      <c r="T11" s="26" t="e">
        <f>ROUND(Q11,2)*R11</f>
        <v>#DIV/0!</v>
      </c>
      <c r="U11" s="96" t="e">
        <f>R11*dagenperjaar1</f>
        <v>#DIV/0!</v>
      </c>
      <c r="V11" s="27" t="e">
        <f>U11*ROUND(Q11,2)</f>
        <v>#DIV/0!</v>
      </c>
    </row>
    <row r="12" spans="1:22" x14ac:dyDescent="0.35">
      <c r="A12" s="93" t="s">
        <v>258</v>
      </c>
      <c r="B12" s="94" t="s">
        <v>40</v>
      </c>
      <c r="C12" s="94" t="s">
        <v>309</v>
      </c>
      <c r="D12" s="94" t="s">
        <v>327</v>
      </c>
      <c r="E12" s="94" t="s">
        <v>40</v>
      </c>
      <c r="F12" s="95" t="s">
        <v>328</v>
      </c>
      <c r="G12" s="94" t="s">
        <v>40</v>
      </c>
      <c r="H12" s="94" t="s">
        <v>316</v>
      </c>
      <c r="I12" s="94"/>
      <c r="J12" s="94"/>
      <c r="K12" s="94"/>
      <c r="L12" s="96">
        <v>6</v>
      </c>
      <c r="M12" s="96"/>
      <c r="N12" s="97"/>
      <c r="O12" s="41"/>
      <c r="P12" s="94"/>
      <c r="Q12" s="26"/>
      <c r="R12" s="96"/>
      <c r="S12" s="96"/>
      <c r="T12" s="26"/>
      <c r="U12" s="98"/>
      <c r="V12" s="27"/>
    </row>
    <row r="13" spans="1:22" x14ac:dyDescent="0.35">
      <c r="A13" s="93" t="s">
        <v>258</v>
      </c>
      <c r="B13" s="94" t="s">
        <v>40</v>
      </c>
      <c r="C13" s="94" t="s">
        <v>309</v>
      </c>
      <c r="D13" s="94" t="s">
        <v>329</v>
      </c>
      <c r="E13" s="94" t="s">
        <v>40</v>
      </c>
      <c r="F13" s="95" t="s">
        <v>330</v>
      </c>
      <c r="G13" s="94" t="s">
        <v>40</v>
      </c>
      <c r="H13" s="94" t="s">
        <v>316</v>
      </c>
      <c r="I13" s="94"/>
      <c r="J13" s="94"/>
      <c r="K13" s="94"/>
      <c r="L13" s="96">
        <v>13</v>
      </c>
      <c r="M13" s="96"/>
      <c r="N13" s="97"/>
      <c r="O13" s="41"/>
      <c r="P13" s="94"/>
      <c r="Q13" s="26"/>
      <c r="R13" s="96"/>
      <c r="S13" s="96"/>
      <c r="T13" s="26"/>
      <c r="U13" s="98"/>
      <c r="V13" s="27"/>
    </row>
    <row r="14" spans="1:22" x14ac:dyDescent="0.35">
      <c r="A14" s="93" t="s">
        <v>258</v>
      </c>
      <c r="B14" s="94" t="s">
        <v>40</v>
      </c>
      <c r="C14" s="94" t="s">
        <v>309</v>
      </c>
      <c r="D14" s="94" t="s">
        <v>331</v>
      </c>
      <c r="E14" s="94" t="s">
        <v>40</v>
      </c>
      <c r="F14" s="95" t="s">
        <v>332</v>
      </c>
      <c r="G14" s="94" t="s">
        <v>40</v>
      </c>
      <c r="H14" s="94" t="s">
        <v>316</v>
      </c>
      <c r="I14" s="94"/>
      <c r="J14" s="94"/>
      <c r="K14" s="94"/>
      <c r="L14" s="96">
        <v>22</v>
      </c>
      <c r="M14" s="96"/>
      <c r="N14" s="97"/>
      <c r="O14" s="41"/>
      <c r="P14" s="94"/>
      <c r="Q14" s="26"/>
      <c r="R14" s="96"/>
      <c r="S14" s="96"/>
      <c r="T14" s="26"/>
      <c r="U14" s="98"/>
      <c r="V14" s="27"/>
    </row>
    <row r="15" spans="1:22" x14ac:dyDescent="0.35">
      <c r="A15" s="93" t="s">
        <v>258</v>
      </c>
      <c r="B15" s="94" t="s">
        <v>40</v>
      </c>
      <c r="C15" s="94" t="s">
        <v>309</v>
      </c>
      <c r="D15" s="94" t="s">
        <v>333</v>
      </c>
      <c r="E15" s="94" t="s">
        <v>40</v>
      </c>
      <c r="F15" s="95" t="s">
        <v>334</v>
      </c>
      <c r="G15" s="94" t="s">
        <v>335</v>
      </c>
      <c r="H15" s="94" t="s">
        <v>232</v>
      </c>
      <c r="I15" s="94" t="s">
        <v>13</v>
      </c>
      <c r="J15" s="94" t="s">
        <v>218</v>
      </c>
      <c r="K15" s="95" t="s">
        <v>233</v>
      </c>
      <c r="L15" s="96">
        <v>143</v>
      </c>
      <c r="M15" s="96">
        <f>L15*VLOOKUP(I15,dagsoorttabel1,2,FALSE)</f>
        <v>57.2</v>
      </c>
      <c r="N15" s="97">
        <f>prodnorm14</f>
        <v>0</v>
      </c>
      <c r="O15" s="41">
        <f>dagwerk14</f>
        <v>0</v>
      </c>
      <c r="P15" s="94" t="s">
        <v>107</v>
      </c>
      <c r="Q15" s="26">
        <f>uurtarief14</f>
        <v>0</v>
      </c>
      <c r="R15" s="96" t="e">
        <f>IF(ISBLANK(N15),0,M15/ROUND(N15,4))</f>
        <v>#DIV/0!</v>
      </c>
      <c r="S15" s="96" t="e">
        <f>IF(ISBLANK(N15),0,R15*ROUND(O15,2))</f>
        <v>#DIV/0!</v>
      </c>
      <c r="T15" s="26" t="e">
        <f>ROUND(Q15,2)*R15</f>
        <v>#DIV/0!</v>
      </c>
      <c r="U15" s="96" t="e">
        <f>R15*dagenperjaar1</f>
        <v>#DIV/0!</v>
      </c>
      <c r="V15" s="27" t="e">
        <f>U15*ROUND(Q15,2)</f>
        <v>#DIV/0!</v>
      </c>
    </row>
    <row r="16" spans="1:22" x14ac:dyDescent="0.35">
      <c r="A16" s="93" t="s">
        <v>258</v>
      </c>
      <c r="B16" s="94" t="s">
        <v>40</v>
      </c>
      <c r="C16" s="94" t="s">
        <v>309</v>
      </c>
      <c r="D16" s="94" t="s">
        <v>336</v>
      </c>
      <c r="E16" s="94" t="s">
        <v>40</v>
      </c>
      <c r="F16" s="95" t="s">
        <v>337</v>
      </c>
      <c r="G16" s="94" t="s">
        <v>335</v>
      </c>
      <c r="H16" s="94" t="s">
        <v>232</v>
      </c>
      <c r="I16" s="94" t="s">
        <v>13</v>
      </c>
      <c r="J16" s="94" t="s">
        <v>218</v>
      </c>
      <c r="K16" s="95" t="s">
        <v>233</v>
      </c>
      <c r="L16" s="96">
        <v>61</v>
      </c>
      <c r="M16" s="96">
        <f>L16*VLOOKUP(I16,dagsoorttabel1,2,FALSE)</f>
        <v>24.400000000000002</v>
      </c>
      <c r="N16" s="97">
        <f>prodnorm14</f>
        <v>0</v>
      </c>
      <c r="O16" s="41">
        <f>dagwerk14</f>
        <v>0</v>
      </c>
      <c r="P16" s="94" t="s">
        <v>107</v>
      </c>
      <c r="Q16" s="26">
        <f>uurtarief14</f>
        <v>0</v>
      </c>
      <c r="R16" s="96" t="e">
        <f>IF(ISBLANK(N16),0,M16/ROUND(N16,4))</f>
        <v>#DIV/0!</v>
      </c>
      <c r="S16" s="96" t="e">
        <f>IF(ISBLANK(N16),0,R16*ROUND(O16,2))</f>
        <v>#DIV/0!</v>
      </c>
      <c r="T16" s="26" t="e">
        <f>ROUND(Q16,2)*R16</f>
        <v>#DIV/0!</v>
      </c>
      <c r="U16" s="96" t="e">
        <f>R16*dagenperjaar1</f>
        <v>#DIV/0!</v>
      </c>
      <c r="V16" s="27" t="e">
        <f>U16*ROUND(Q16,2)</f>
        <v>#DIV/0!</v>
      </c>
    </row>
    <row r="17" spans="1:22" x14ac:dyDescent="0.35">
      <c r="A17" s="93" t="s">
        <v>258</v>
      </c>
      <c r="B17" s="94" t="s">
        <v>40</v>
      </c>
      <c r="C17" s="94" t="s">
        <v>309</v>
      </c>
      <c r="D17" s="94" t="s">
        <v>338</v>
      </c>
      <c r="E17" s="94" t="s">
        <v>40</v>
      </c>
      <c r="F17" s="95" t="s">
        <v>339</v>
      </c>
      <c r="G17" s="94" t="s">
        <v>40</v>
      </c>
      <c r="H17" s="94" t="s">
        <v>316</v>
      </c>
      <c r="I17" s="94"/>
      <c r="J17" s="94"/>
      <c r="K17" s="94"/>
      <c r="L17" s="96">
        <v>517</v>
      </c>
      <c r="M17" s="96"/>
      <c r="N17" s="97"/>
      <c r="O17" s="41"/>
      <c r="P17" s="94"/>
      <c r="Q17" s="26"/>
      <c r="R17" s="96"/>
      <c r="S17" s="96"/>
      <c r="T17" s="26"/>
      <c r="U17" s="98"/>
      <c r="V17" s="27"/>
    </row>
    <row r="18" spans="1:22" x14ac:dyDescent="0.35">
      <c r="A18" s="93" t="s">
        <v>258</v>
      </c>
      <c r="B18" s="94" t="s">
        <v>40</v>
      </c>
      <c r="C18" s="94" t="s">
        <v>309</v>
      </c>
      <c r="D18" s="94" t="s">
        <v>340</v>
      </c>
      <c r="E18" s="94" t="s">
        <v>40</v>
      </c>
      <c r="F18" s="95" t="s">
        <v>341</v>
      </c>
      <c r="G18" s="94" t="s">
        <v>40</v>
      </c>
      <c r="H18" s="94" t="s">
        <v>316</v>
      </c>
      <c r="I18" s="94"/>
      <c r="J18" s="94"/>
      <c r="K18" s="94"/>
      <c r="L18" s="96">
        <v>240</v>
      </c>
      <c r="M18" s="96"/>
      <c r="N18" s="97"/>
      <c r="O18" s="41"/>
      <c r="P18" s="94"/>
      <c r="Q18" s="26"/>
      <c r="R18" s="96"/>
      <c r="S18" s="96"/>
      <c r="T18" s="26"/>
      <c r="U18" s="98"/>
      <c r="V18" s="27"/>
    </row>
    <row r="19" spans="1:22" x14ac:dyDescent="0.35">
      <c r="A19" s="93" t="s">
        <v>258</v>
      </c>
      <c r="B19" s="94" t="s">
        <v>40</v>
      </c>
      <c r="C19" s="94" t="s">
        <v>309</v>
      </c>
      <c r="D19" s="94" t="s">
        <v>342</v>
      </c>
      <c r="E19" s="94" t="s">
        <v>40</v>
      </c>
      <c r="F19" s="95" t="s">
        <v>343</v>
      </c>
      <c r="G19" s="94" t="s">
        <v>40</v>
      </c>
      <c r="H19" s="94" t="s">
        <v>316</v>
      </c>
      <c r="I19" s="94"/>
      <c r="J19" s="94"/>
      <c r="K19" s="94"/>
      <c r="L19" s="96">
        <v>466</v>
      </c>
      <c r="M19" s="96"/>
      <c r="N19" s="97"/>
      <c r="O19" s="41"/>
      <c r="P19" s="94"/>
      <c r="Q19" s="26"/>
      <c r="R19" s="96"/>
      <c r="S19" s="96"/>
      <c r="T19" s="26"/>
      <c r="U19" s="98"/>
      <c r="V19" s="27"/>
    </row>
    <row r="20" spans="1:22" x14ac:dyDescent="0.35">
      <c r="A20" s="93" t="s">
        <v>258</v>
      </c>
      <c r="B20" s="94" t="s">
        <v>40</v>
      </c>
      <c r="C20" s="94" t="s">
        <v>309</v>
      </c>
      <c r="D20" s="94" t="s">
        <v>344</v>
      </c>
      <c r="E20" s="94" t="s">
        <v>40</v>
      </c>
      <c r="F20" s="95" t="s">
        <v>345</v>
      </c>
      <c r="G20" s="94" t="s">
        <v>40</v>
      </c>
      <c r="H20" s="94" t="s">
        <v>316</v>
      </c>
      <c r="I20" s="94"/>
      <c r="J20" s="94"/>
      <c r="K20" s="94"/>
      <c r="L20" s="96">
        <v>352</v>
      </c>
      <c r="M20" s="96"/>
      <c r="N20" s="97"/>
      <c r="O20" s="41"/>
      <c r="P20" s="94"/>
      <c r="Q20" s="26"/>
      <c r="R20" s="96"/>
      <c r="S20" s="96"/>
      <c r="T20" s="26"/>
      <c r="U20" s="98"/>
      <c r="V20" s="27"/>
    </row>
    <row r="21" spans="1:22" x14ac:dyDescent="0.35">
      <c r="A21" s="93" t="s">
        <v>258</v>
      </c>
      <c r="B21" s="94" t="s">
        <v>40</v>
      </c>
      <c r="C21" s="94" t="s">
        <v>309</v>
      </c>
      <c r="D21" s="94" t="s">
        <v>346</v>
      </c>
      <c r="E21" s="94" t="s">
        <v>40</v>
      </c>
      <c r="F21" s="95" t="s">
        <v>347</v>
      </c>
      <c r="G21" s="94" t="s">
        <v>40</v>
      </c>
      <c r="H21" s="94" t="s">
        <v>316</v>
      </c>
      <c r="I21" s="94"/>
      <c r="J21" s="94"/>
      <c r="K21" s="94"/>
      <c r="L21" s="96">
        <v>73</v>
      </c>
      <c r="M21" s="96"/>
      <c r="N21" s="97"/>
      <c r="O21" s="41"/>
      <c r="P21" s="94"/>
      <c r="Q21" s="26"/>
      <c r="R21" s="96"/>
      <c r="S21" s="96"/>
      <c r="T21" s="26"/>
      <c r="U21" s="98"/>
      <c r="V21" s="27"/>
    </row>
    <row r="22" spans="1:22" x14ac:dyDescent="0.35">
      <c r="A22" s="93" t="s">
        <v>258</v>
      </c>
      <c r="B22" s="94" t="s">
        <v>40</v>
      </c>
      <c r="C22" s="94" t="s">
        <v>309</v>
      </c>
      <c r="D22" s="94" t="s">
        <v>348</v>
      </c>
      <c r="E22" s="94" t="s">
        <v>40</v>
      </c>
      <c r="F22" s="95" t="s">
        <v>349</v>
      </c>
      <c r="G22" s="94" t="s">
        <v>40</v>
      </c>
      <c r="H22" s="94" t="s">
        <v>316</v>
      </c>
      <c r="I22" s="94"/>
      <c r="J22" s="94"/>
      <c r="K22" s="94"/>
      <c r="L22" s="96">
        <v>21</v>
      </c>
      <c r="M22" s="96"/>
      <c r="N22" s="97"/>
      <c r="O22" s="41"/>
      <c r="P22" s="94"/>
      <c r="Q22" s="26"/>
      <c r="R22" s="96"/>
      <c r="S22" s="96"/>
      <c r="T22" s="26"/>
      <c r="U22" s="98"/>
      <c r="V22" s="27"/>
    </row>
    <row r="23" spans="1:22" x14ac:dyDescent="0.35">
      <c r="A23" s="93" t="s">
        <v>258</v>
      </c>
      <c r="B23" s="94" t="s">
        <v>40</v>
      </c>
      <c r="C23" s="94" t="s">
        <v>309</v>
      </c>
      <c r="D23" s="94" t="s">
        <v>350</v>
      </c>
      <c r="E23" s="94" t="s">
        <v>40</v>
      </c>
      <c r="F23" s="95" t="s">
        <v>351</v>
      </c>
      <c r="G23" s="94" t="s">
        <v>40</v>
      </c>
      <c r="H23" s="94" t="s">
        <v>316</v>
      </c>
      <c r="I23" s="94"/>
      <c r="J23" s="94"/>
      <c r="K23" s="94"/>
      <c r="L23" s="96">
        <v>18</v>
      </c>
      <c r="M23" s="96"/>
      <c r="N23" s="97"/>
      <c r="O23" s="41"/>
      <c r="P23" s="94"/>
      <c r="Q23" s="26"/>
      <c r="R23" s="96"/>
      <c r="S23" s="96"/>
      <c r="T23" s="26"/>
      <c r="U23" s="98"/>
      <c r="V23" s="27"/>
    </row>
    <row r="24" spans="1:22" x14ac:dyDescent="0.35">
      <c r="A24" s="93" t="s">
        <v>258</v>
      </c>
      <c r="B24" s="94" t="s">
        <v>40</v>
      </c>
      <c r="C24" s="94" t="s">
        <v>309</v>
      </c>
      <c r="D24" s="94" t="s">
        <v>352</v>
      </c>
      <c r="E24" s="94" t="s">
        <v>40</v>
      </c>
      <c r="F24" s="95" t="s">
        <v>353</v>
      </c>
      <c r="G24" s="94" t="s">
        <v>40</v>
      </c>
      <c r="H24" s="94" t="s">
        <v>316</v>
      </c>
      <c r="I24" s="94"/>
      <c r="J24" s="94"/>
      <c r="K24" s="94"/>
      <c r="L24" s="96">
        <v>14</v>
      </c>
      <c r="M24" s="96"/>
      <c r="N24" s="97"/>
      <c r="O24" s="41"/>
      <c r="P24" s="94"/>
      <c r="Q24" s="26"/>
      <c r="R24" s="96"/>
      <c r="S24" s="96"/>
      <c r="T24" s="26"/>
      <c r="U24" s="98"/>
      <c r="V24" s="27"/>
    </row>
    <row r="25" spans="1:22" x14ac:dyDescent="0.35">
      <c r="A25" s="93" t="s">
        <v>258</v>
      </c>
      <c r="B25" s="94" t="s">
        <v>40</v>
      </c>
      <c r="C25" s="94" t="s">
        <v>309</v>
      </c>
      <c r="D25" s="94" t="s">
        <v>354</v>
      </c>
      <c r="E25" s="94" t="s">
        <v>40</v>
      </c>
      <c r="F25" s="95" t="s">
        <v>355</v>
      </c>
      <c r="G25" s="94" t="s">
        <v>40</v>
      </c>
      <c r="H25" s="94" t="s">
        <v>316</v>
      </c>
      <c r="I25" s="94"/>
      <c r="J25" s="94"/>
      <c r="K25" s="94"/>
      <c r="L25" s="96">
        <v>10</v>
      </c>
      <c r="M25" s="96"/>
      <c r="N25" s="97"/>
      <c r="O25" s="41"/>
      <c r="P25" s="94"/>
      <c r="Q25" s="26"/>
      <c r="R25" s="96"/>
      <c r="S25" s="96"/>
      <c r="T25" s="26"/>
      <c r="U25" s="98"/>
      <c r="V25" s="27"/>
    </row>
    <row r="26" spans="1:22" x14ac:dyDescent="0.35">
      <c r="A26" s="93" t="s">
        <v>258</v>
      </c>
      <c r="B26" s="94" t="s">
        <v>40</v>
      </c>
      <c r="C26" s="94" t="s">
        <v>309</v>
      </c>
      <c r="D26" s="94" t="s">
        <v>356</v>
      </c>
      <c r="E26" s="94" t="s">
        <v>40</v>
      </c>
      <c r="F26" s="95" t="s">
        <v>357</v>
      </c>
      <c r="G26" s="94" t="s">
        <v>40</v>
      </c>
      <c r="H26" s="94" t="s">
        <v>316</v>
      </c>
      <c r="I26" s="94"/>
      <c r="J26" s="94"/>
      <c r="K26" s="94"/>
      <c r="L26" s="96">
        <v>7</v>
      </c>
      <c r="M26" s="96"/>
      <c r="N26" s="97"/>
      <c r="O26" s="41"/>
      <c r="P26" s="94"/>
      <c r="Q26" s="26"/>
      <c r="R26" s="96"/>
      <c r="S26" s="96"/>
      <c r="T26" s="26"/>
      <c r="U26" s="98"/>
      <c r="V26" s="27"/>
    </row>
    <row r="27" spans="1:22" x14ac:dyDescent="0.35">
      <c r="A27" s="93" t="s">
        <v>258</v>
      </c>
      <c r="B27" s="94" t="s">
        <v>40</v>
      </c>
      <c r="C27" s="94" t="s">
        <v>309</v>
      </c>
      <c r="D27" s="94" t="s">
        <v>358</v>
      </c>
      <c r="E27" s="94" t="s">
        <v>40</v>
      </c>
      <c r="F27" s="95" t="s">
        <v>359</v>
      </c>
      <c r="G27" s="94" t="s">
        <v>40</v>
      </c>
      <c r="H27" s="94" t="s">
        <v>316</v>
      </c>
      <c r="I27" s="94"/>
      <c r="J27" s="94"/>
      <c r="K27" s="94"/>
      <c r="L27" s="96">
        <v>3</v>
      </c>
      <c r="M27" s="96"/>
      <c r="N27" s="97"/>
      <c r="O27" s="41"/>
      <c r="P27" s="94"/>
      <c r="Q27" s="26"/>
      <c r="R27" s="96"/>
      <c r="S27" s="96"/>
      <c r="T27" s="26"/>
      <c r="U27" s="98"/>
      <c r="V27" s="27"/>
    </row>
    <row r="28" spans="1:22" x14ac:dyDescent="0.35">
      <c r="A28" s="93" t="s">
        <v>258</v>
      </c>
      <c r="B28" s="94" t="s">
        <v>40</v>
      </c>
      <c r="C28" s="94" t="s">
        <v>309</v>
      </c>
      <c r="D28" s="94" t="s">
        <v>360</v>
      </c>
      <c r="E28" s="94" t="s">
        <v>40</v>
      </c>
      <c r="F28" s="95" t="s">
        <v>361</v>
      </c>
      <c r="G28" s="94" t="s">
        <v>40</v>
      </c>
      <c r="H28" s="94" t="s">
        <v>316</v>
      </c>
      <c r="I28" s="94"/>
      <c r="J28" s="94"/>
      <c r="K28" s="94"/>
      <c r="L28" s="96">
        <v>192</v>
      </c>
      <c r="M28" s="96"/>
      <c r="N28" s="97"/>
      <c r="O28" s="41"/>
      <c r="P28" s="94"/>
      <c r="Q28" s="26"/>
      <c r="R28" s="96"/>
      <c r="S28" s="96"/>
      <c r="T28" s="26"/>
      <c r="U28" s="98"/>
      <c r="V28" s="27"/>
    </row>
    <row r="29" spans="1:22" x14ac:dyDescent="0.35">
      <c r="A29" s="93" t="s">
        <v>258</v>
      </c>
      <c r="B29" s="94" t="s">
        <v>40</v>
      </c>
      <c r="C29" s="94" t="s">
        <v>309</v>
      </c>
      <c r="D29" s="94" t="s">
        <v>362</v>
      </c>
      <c r="E29" s="94" t="s">
        <v>40</v>
      </c>
      <c r="F29" s="95" t="s">
        <v>363</v>
      </c>
      <c r="G29" s="94" t="s">
        <v>40</v>
      </c>
      <c r="H29" s="94" t="s">
        <v>316</v>
      </c>
      <c r="I29" s="94"/>
      <c r="J29" s="94"/>
      <c r="K29" s="94"/>
      <c r="L29" s="96">
        <v>57</v>
      </c>
      <c r="M29" s="96"/>
      <c r="N29" s="97"/>
      <c r="O29" s="41"/>
      <c r="P29" s="94"/>
      <c r="Q29" s="26"/>
      <c r="R29" s="96"/>
      <c r="S29" s="96"/>
      <c r="T29" s="26"/>
      <c r="U29" s="98"/>
      <c r="V29" s="27"/>
    </row>
    <row r="30" spans="1:22" x14ac:dyDescent="0.35">
      <c r="A30" s="93" t="s">
        <v>258</v>
      </c>
      <c r="B30" s="94" t="s">
        <v>40</v>
      </c>
      <c r="C30" s="94" t="s">
        <v>309</v>
      </c>
      <c r="D30" s="94" t="s">
        <v>364</v>
      </c>
      <c r="E30" s="94" t="s">
        <v>40</v>
      </c>
      <c r="F30" s="95" t="s">
        <v>365</v>
      </c>
      <c r="G30" s="94" t="s">
        <v>366</v>
      </c>
      <c r="H30" s="94" t="s">
        <v>246</v>
      </c>
      <c r="I30" s="94" t="s">
        <v>16</v>
      </c>
      <c r="J30" s="94" t="s">
        <v>218</v>
      </c>
      <c r="K30" s="95" t="s">
        <v>247</v>
      </c>
      <c r="L30" s="96">
        <v>152</v>
      </c>
      <c r="M30" s="96">
        <f>L30*VLOOKUP(I30,dagsoorttabel1,2,FALSE)</f>
        <v>7.1529411764705877</v>
      </c>
      <c r="N30" s="97">
        <f>prodnorm23</f>
        <v>0</v>
      </c>
      <c r="O30" s="41">
        <f>dagwerk23</f>
        <v>0</v>
      </c>
      <c r="P30" s="94" t="s">
        <v>107</v>
      </c>
      <c r="Q30" s="26">
        <f>uurtarief23</f>
        <v>0</v>
      </c>
      <c r="R30" s="96" t="e">
        <f>IF(ISBLANK(N30),0,M30/ROUND(N30,4))</f>
        <v>#DIV/0!</v>
      </c>
      <c r="S30" s="96" t="e">
        <f>IF(ISBLANK(N30),0,R30*ROUND(O30,2))</f>
        <v>#DIV/0!</v>
      </c>
      <c r="T30" s="26" t="e">
        <f>ROUND(Q30,2)*R30</f>
        <v>#DIV/0!</v>
      </c>
      <c r="U30" s="96" t="e">
        <f>R30*dagenperjaar1</f>
        <v>#DIV/0!</v>
      </c>
      <c r="V30" s="27" t="e">
        <f>U30*ROUND(Q30,2)</f>
        <v>#DIV/0!</v>
      </c>
    </row>
    <row r="31" spans="1:22" x14ac:dyDescent="0.35">
      <c r="A31" s="93" t="s">
        <v>258</v>
      </c>
      <c r="B31" s="94" t="s">
        <v>40</v>
      </c>
      <c r="C31" s="94" t="s">
        <v>309</v>
      </c>
      <c r="D31" s="94" t="s">
        <v>367</v>
      </c>
      <c r="E31" s="94" t="s">
        <v>40</v>
      </c>
      <c r="F31" s="95" t="s">
        <v>368</v>
      </c>
      <c r="G31" s="94" t="s">
        <v>312</v>
      </c>
      <c r="H31" s="94" t="s">
        <v>246</v>
      </c>
      <c r="I31" s="94" t="s">
        <v>16</v>
      </c>
      <c r="J31" s="94" t="s">
        <v>218</v>
      </c>
      <c r="K31" s="95" t="s">
        <v>247</v>
      </c>
      <c r="L31" s="96">
        <v>123</v>
      </c>
      <c r="M31" s="96">
        <f>L31*VLOOKUP(I31,dagsoorttabel1,2,FALSE)</f>
        <v>5.7882352941176469</v>
      </c>
      <c r="N31" s="97">
        <f>prodnorm23</f>
        <v>0</v>
      </c>
      <c r="O31" s="41">
        <f>dagwerk23</f>
        <v>0</v>
      </c>
      <c r="P31" s="94" t="s">
        <v>107</v>
      </c>
      <c r="Q31" s="26">
        <f>uurtarief23</f>
        <v>0</v>
      </c>
      <c r="R31" s="96" t="e">
        <f>IF(ISBLANK(N31),0,M31/ROUND(N31,4))</f>
        <v>#DIV/0!</v>
      </c>
      <c r="S31" s="96" t="e">
        <f>IF(ISBLANK(N31),0,R31*ROUND(O31,2))</f>
        <v>#DIV/0!</v>
      </c>
      <c r="T31" s="26" t="e">
        <f>ROUND(Q31,2)*R31</f>
        <v>#DIV/0!</v>
      </c>
      <c r="U31" s="96" t="e">
        <f>R31*dagenperjaar1</f>
        <v>#DIV/0!</v>
      </c>
      <c r="V31" s="27" t="e">
        <f>U31*ROUND(Q31,2)</f>
        <v>#DIV/0!</v>
      </c>
    </row>
    <row r="32" spans="1:22" x14ac:dyDescent="0.35">
      <c r="A32" s="93" t="s">
        <v>258</v>
      </c>
      <c r="B32" s="94" t="s">
        <v>40</v>
      </c>
      <c r="C32" s="94" t="s">
        <v>309</v>
      </c>
      <c r="D32" s="94" t="s">
        <v>369</v>
      </c>
      <c r="E32" s="94" t="s">
        <v>40</v>
      </c>
      <c r="F32" s="95" t="s">
        <v>370</v>
      </c>
      <c r="G32" s="94" t="s">
        <v>40</v>
      </c>
      <c r="H32" s="94" t="s">
        <v>316</v>
      </c>
      <c r="I32" s="94"/>
      <c r="J32" s="94"/>
      <c r="K32" s="94"/>
      <c r="L32" s="96">
        <v>167</v>
      </c>
      <c r="M32" s="96"/>
      <c r="N32" s="97"/>
      <c r="O32" s="41"/>
      <c r="P32" s="94"/>
      <c r="Q32" s="26"/>
      <c r="R32" s="96"/>
      <c r="S32" s="96"/>
      <c r="T32" s="26"/>
      <c r="U32" s="98"/>
      <c r="V32" s="27"/>
    </row>
    <row r="33" spans="1:22" x14ac:dyDescent="0.35">
      <c r="A33" s="93" t="s">
        <v>258</v>
      </c>
      <c r="B33" s="94" t="s">
        <v>40</v>
      </c>
      <c r="C33" s="94" t="s">
        <v>309</v>
      </c>
      <c r="D33" s="94" t="s">
        <v>371</v>
      </c>
      <c r="E33" s="94" t="s">
        <v>40</v>
      </c>
      <c r="F33" s="95" t="s">
        <v>372</v>
      </c>
      <c r="G33" s="94" t="s">
        <v>40</v>
      </c>
      <c r="H33" s="94" t="s">
        <v>316</v>
      </c>
      <c r="I33" s="94"/>
      <c r="J33" s="94"/>
      <c r="K33" s="94"/>
      <c r="L33" s="96">
        <v>20</v>
      </c>
      <c r="M33" s="96"/>
      <c r="N33" s="97"/>
      <c r="O33" s="41"/>
      <c r="P33" s="94"/>
      <c r="Q33" s="26"/>
      <c r="R33" s="96"/>
      <c r="S33" s="96"/>
      <c r="T33" s="26"/>
      <c r="U33" s="98"/>
      <c r="V33" s="27"/>
    </row>
    <row r="34" spans="1:22" x14ac:dyDescent="0.35">
      <c r="A34" s="93" t="s">
        <v>258</v>
      </c>
      <c r="B34" s="94" t="s">
        <v>40</v>
      </c>
      <c r="C34" s="94" t="s">
        <v>309</v>
      </c>
      <c r="D34" s="94" t="s">
        <v>373</v>
      </c>
      <c r="E34" s="94" t="s">
        <v>40</v>
      </c>
      <c r="F34" s="95" t="s">
        <v>374</v>
      </c>
      <c r="G34" s="94" t="s">
        <v>40</v>
      </c>
      <c r="H34" s="94" t="s">
        <v>316</v>
      </c>
      <c r="I34" s="94"/>
      <c r="J34" s="94"/>
      <c r="K34" s="94"/>
      <c r="L34" s="96">
        <v>8</v>
      </c>
      <c r="M34" s="96"/>
      <c r="N34" s="97"/>
      <c r="O34" s="41"/>
      <c r="P34" s="94"/>
      <c r="Q34" s="26"/>
      <c r="R34" s="96"/>
      <c r="S34" s="96"/>
      <c r="T34" s="26"/>
      <c r="U34" s="98"/>
      <c r="V34" s="27"/>
    </row>
    <row r="35" spans="1:22" x14ac:dyDescent="0.35">
      <c r="A35" s="93" t="s">
        <v>258</v>
      </c>
      <c r="B35" s="94" t="s">
        <v>40</v>
      </c>
      <c r="C35" s="94" t="s">
        <v>309</v>
      </c>
      <c r="D35" s="94" t="s">
        <v>375</v>
      </c>
      <c r="E35" s="94" t="s">
        <v>40</v>
      </c>
      <c r="F35" s="95" t="s">
        <v>376</v>
      </c>
      <c r="G35" s="94" t="s">
        <v>40</v>
      </c>
      <c r="H35" s="94" t="s">
        <v>316</v>
      </c>
      <c r="I35" s="94"/>
      <c r="J35" s="94"/>
      <c r="K35" s="94"/>
      <c r="L35" s="96">
        <v>16</v>
      </c>
      <c r="M35" s="96"/>
      <c r="N35" s="97"/>
      <c r="O35" s="41"/>
      <c r="P35" s="94"/>
      <c r="Q35" s="26"/>
      <c r="R35" s="96"/>
      <c r="S35" s="96"/>
      <c r="T35" s="26"/>
      <c r="U35" s="98"/>
      <c r="V35" s="27"/>
    </row>
    <row r="36" spans="1:22" x14ac:dyDescent="0.35">
      <c r="A36" s="93" t="s">
        <v>258</v>
      </c>
      <c r="B36" s="94" t="s">
        <v>40</v>
      </c>
      <c r="C36" s="94" t="s">
        <v>309</v>
      </c>
      <c r="D36" s="94" t="s">
        <v>377</v>
      </c>
      <c r="E36" s="94" t="s">
        <v>40</v>
      </c>
      <c r="F36" s="95" t="s">
        <v>378</v>
      </c>
      <c r="G36" s="94" t="s">
        <v>335</v>
      </c>
      <c r="H36" s="94" t="s">
        <v>217</v>
      </c>
      <c r="I36" s="94" t="s">
        <v>10</v>
      </c>
      <c r="J36" s="94" t="s">
        <v>218</v>
      </c>
      <c r="K36" s="95" t="s">
        <v>219</v>
      </c>
      <c r="L36" s="96">
        <v>15</v>
      </c>
      <c r="M36" s="96">
        <f>L36*VLOOKUP(I36,dagsoorttabel1,2,FALSE)</f>
        <v>15</v>
      </c>
      <c r="N36" s="97">
        <f>prodnorm6</f>
        <v>0</v>
      </c>
      <c r="O36" s="41">
        <f>dagwerk6</f>
        <v>0</v>
      </c>
      <c r="P36" s="94" t="s">
        <v>107</v>
      </c>
      <c r="Q36" s="26">
        <f>uurtarief6</f>
        <v>0</v>
      </c>
      <c r="R36" s="96" t="e">
        <f>IF(ISBLANK(N36),0,M36/ROUND(N36,4))</f>
        <v>#DIV/0!</v>
      </c>
      <c r="S36" s="96" t="e">
        <f>IF(ISBLANK(N36),0,R36*ROUND(O36,2))</f>
        <v>#DIV/0!</v>
      </c>
      <c r="T36" s="26" t="e">
        <f>ROUND(Q36,2)*R36</f>
        <v>#DIV/0!</v>
      </c>
      <c r="U36" s="96" t="e">
        <f>R36*dagenperjaar1</f>
        <v>#DIV/0!</v>
      </c>
      <c r="V36" s="27" t="e">
        <f>U36*ROUND(Q36,2)</f>
        <v>#DIV/0!</v>
      </c>
    </row>
    <row r="37" spans="1:22" ht="29" x14ac:dyDescent="0.35">
      <c r="A37" s="93" t="s">
        <v>258</v>
      </c>
      <c r="B37" s="94" t="s">
        <v>40</v>
      </c>
      <c r="C37" s="94" t="s">
        <v>309</v>
      </c>
      <c r="D37" s="94" t="s">
        <v>379</v>
      </c>
      <c r="E37" s="94" t="s">
        <v>40</v>
      </c>
      <c r="F37" s="95" t="s">
        <v>380</v>
      </c>
      <c r="G37" s="94" t="s">
        <v>335</v>
      </c>
      <c r="H37" s="94" t="s">
        <v>217</v>
      </c>
      <c r="I37" s="94" t="s">
        <v>10</v>
      </c>
      <c r="J37" s="94" t="s">
        <v>218</v>
      </c>
      <c r="K37" s="95" t="s">
        <v>219</v>
      </c>
      <c r="L37" s="96">
        <v>26</v>
      </c>
      <c r="M37" s="96">
        <f>L37*VLOOKUP(I37,dagsoorttabel1,2,FALSE)</f>
        <v>26</v>
      </c>
      <c r="N37" s="97">
        <f>prodnorm6</f>
        <v>0</v>
      </c>
      <c r="O37" s="41">
        <f>dagwerk6</f>
        <v>0</v>
      </c>
      <c r="P37" s="94" t="s">
        <v>107</v>
      </c>
      <c r="Q37" s="26">
        <f>uurtarief6</f>
        <v>0</v>
      </c>
      <c r="R37" s="96" t="e">
        <f>IF(ISBLANK(N37),0,M37/ROUND(N37,4))</f>
        <v>#DIV/0!</v>
      </c>
      <c r="S37" s="96" t="e">
        <f>IF(ISBLANK(N37),0,R37*ROUND(O37,2))</f>
        <v>#DIV/0!</v>
      </c>
      <c r="T37" s="26" t="e">
        <f>ROUND(Q37,2)*R37</f>
        <v>#DIV/0!</v>
      </c>
      <c r="U37" s="96" t="e">
        <f>R37*dagenperjaar1</f>
        <v>#DIV/0!</v>
      </c>
      <c r="V37" s="27" t="e">
        <f>U37*ROUND(Q37,2)</f>
        <v>#DIV/0!</v>
      </c>
    </row>
    <row r="38" spans="1:22" x14ac:dyDescent="0.35">
      <c r="A38" s="93" t="s">
        <v>258</v>
      </c>
      <c r="B38" s="94" t="s">
        <v>40</v>
      </c>
      <c r="C38" s="94" t="s">
        <v>309</v>
      </c>
      <c r="D38" s="94" t="s">
        <v>381</v>
      </c>
      <c r="E38" s="94" t="s">
        <v>40</v>
      </c>
      <c r="F38" s="95" t="s">
        <v>382</v>
      </c>
      <c r="G38" s="94" t="s">
        <v>335</v>
      </c>
      <c r="H38" s="94" t="s">
        <v>217</v>
      </c>
      <c r="I38" s="94" t="s">
        <v>10</v>
      </c>
      <c r="J38" s="94" t="s">
        <v>218</v>
      </c>
      <c r="K38" s="95" t="s">
        <v>219</v>
      </c>
      <c r="L38" s="96">
        <v>20</v>
      </c>
      <c r="M38" s="96">
        <f>L38*VLOOKUP(I38,dagsoorttabel1,2,FALSE)</f>
        <v>20</v>
      </c>
      <c r="N38" s="97">
        <f>prodnorm6</f>
        <v>0</v>
      </c>
      <c r="O38" s="41">
        <f>dagwerk6</f>
        <v>0</v>
      </c>
      <c r="P38" s="94" t="s">
        <v>107</v>
      </c>
      <c r="Q38" s="26">
        <f>uurtarief6</f>
        <v>0</v>
      </c>
      <c r="R38" s="96" t="e">
        <f>IF(ISBLANK(N38),0,M38/ROUND(N38,4))</f>
        <v>#DIV/0!</v>
      </c>
      <c r="S38" s="96" t="e">
        <f>IF(ISBLANK(N38),0,R38*ROUND(O38,2))</f>
        <v>#DIV/0!</v>
      </c>
      <c r="T38" s="26" t="e">
        <f>ROUND(Q38,2)*R38</f>
        <v>#DIV/0!</v>
      </c>
      <c r="U38" s="96" t="e">
        <f>R38*dagenperjaar1</f>
        <v>#DIV/0!</v>
      </c>
      <c r="V38" s="27" t="e">
        <f>U38*ROUND(Q38,2)</f>
        <v>#DIV/0!</v>
      </c>
    </row>
    <row r="39" spans="1:22" x14ac:dyDescent="0.35">
      <c r="A39" s="93" t="s">
        <v>258</v>
      </c>
      <c r="B39" s="94" t="s">
        <v>40</v>
      </c>
      <c r="C39" s="94" t="s">
        <v>309</v>
      </c>
      <c r="D39" s="94" t="s">
        <v>383</v>
      </c>
      <c r="E39" s="94" t="s">
        <v>40</v>
      </c>
      <c r="F39" s="95" t="s">
        <v>384</v>
      </c>
      <c r="G39" s="94" t="s">
        <v>366</v>
      </c>
      <c r="H39" s="94" t="s">
        <v>246</v>
      </c>
      <c r="I39" s="94" t="s">
        <v>10</v>
      </c>
      <c r="J39" s="94" t="s">
        <v>218</v>
      </c>
      <c r="K39" s="95" t="s">
        <v>247</v>
      </c>
      <c r="L39" s="96">
        <v>137</v>
      </c>
      <c r="M39" s="96">
        <f>L39*VLOOKUP(I39,dagsoorttabel1,2,FALSE)</f>
        <v>137</v>
      </c>
      <c r="N39" s="97">
        <f>prodnorm26</f>
        <v>0</v>
      </c>
      <c r="O39" s="41">
        <f>dagwerk26</f>
        <v>0</v>
      </c>
      <c r="P39" s="94" t="s">
        <v>107</v>
      </c>
      <c r="Q39" s="26">
        <f>uurtarief26</f>
        <v>0</v>
      </c>
      <c r="R39" s="96" t="e">
        <f>IF(ISBLANK(N39),0,M39/ROUND(N39,4))</f>
        <v>#DIV/0!</v>
      </c>
      <c r="S39" s="96" t="e">
        <f>IF(ISBLANK(N39),0,R39*ROUND(O39,2))</f>
        <v>#DIV/0!</v>
      </c>
      <c r="T39" s="26" t="e">
        <f>ROUND(Q39,2)*R39</f>
        <v>#DIV/0!</v>
      </c>
      <c r="U39" s="96" t="e">
        <f>R39*dagenperjaar1</f>
        <v>#DIV/0!</v>
      </c>
      <c r="V39" s="27" t="e">
        <f>U39*ROUND(Q39,2)</f>
        <v>#DIV/0!</v>
      </c>
    </row>
    <row r="40" spans="1:22" x14ac:dyDescent="0.35">
      <c r="A40" s="93" t="s">
        <v>258</v>
      </c>
      <c r="B40" s="94" t="s">
        <v>40</v>
      </c>
      <c r="C40" s="94" t="s">
        <v>309</v>
      </c>
      <c r="D40" s="94" t="s">
        <v>385</v>
      </c>
      <c r="E40" s="94" t="s">
        <v>40</v>
      </c>
      <c r="F40" s="95" t="s">
        <v>386</v>
      </c>
      <c r="G40" s="94" t="s">
        <v>387</v>
      </c>
      <c r="H40" s="94" t="s">
        <v>252</v>
      </c>
      <c r="I40" s="94" t="s">
        <v>10</v>
      </c>
      <c r="J40" s="94" t="s">
        <v>218</v>
      </c>
      <c r="K40" s="95" t="s">
        <v>253</v>
      </c>
      <c r="L40" s="96">
        <v>5</v>
      </c>
      <c r="M40" s="96">
        <f>L40*VLOOKUP(I40,dagsoorttabel1,2,FALSE)</f>
        <v>5</v>
      </c>
      <c r="N40" s="97">
        <f>prodnorm29</f>
        <v>0</v>
      </c>
      <c r="O40" s="41">
        <f>dagwerk29</f>
        <v>0</v>
      </c>
      <c r="P40" s="94" t="s">
        <v>107</v>
      </c>
      <c r="Q40" s="26">
        <f>uurtarief29</f>
        <v>0</v>
      </c>
      <c r="R40" s="96" t="e">
        <f>IF(ISBLANK(N40),0,M40/ROUND(N40,4))</f>
        <v>#DIV/0!</v>
      </c>
      <c r="S40" s="96" t="e">
        <f>IF(ISBLANK(N40),0,R40*ROUND(O40,2))</f>
        <v>#DIV/0!</v>
      </c>
      <c r="T40" s="26" t="e">
        <f>ROUND(Q40,2)*R40</f>
        <v>#DIV/0!</v>
      </c>
      <c r="U40" s="96" t="e">
        <f>R40*dagenperjaar1</f>
        <v>#DIV/0!</v>
      </c>
      <c r="V40" s="27" t="e">
        <f>U40*ROUND(Q40,2)</f>
        <v>#DIV/0!</v>
      </c>
    </row>
    <row r="41" spans="1:22" x14ac:dyDescent="0.35">
      <c r="A41" s="93" t="s">
        <v>258</v>
      </c>
      <c r="B41" s="94" t="s">
        <v>40</v>
      </c>
      <c r="C41" s="94" t="s">
        <v>309</v>
      </c>
      <c r="D41" s="94" t="s">
        <v>388</v>
      </c>
      <c r="E41" s="94" t="s">
        <v>40</v>
      </c>
      <c r="F41" s="95" t="s">
        <v>389</v>
      </c>
      <c r="G41" s="94" t="s">
        <v>390</v>
      </c>
      <c r="H41" s="94" t="s">
        <v>316</v>
      </c>
      <c r="I41" s="94"/>
      <c r="J41" s="94"/>
      <c r="K41" s="94"/>
      <c r="L41" s="96">
        <v>198</v>
      </c>
      <c r="M41" s="96"/>
      <c r="N41" s="97"/>
      <c r="O41" s="41"/>
      <c r="P41" s="94"/>
      <c r="Q41" s="26"/>
      <c r="R41" s="96"/>
      <c r="S41" s="96"/>
      <c r="T41" s="26"/>
      <c r="U41" s="98"/>
      <c r="V41" s="27"/>
    </row>
    <row r="42" spans="1:22" x14ac:dyDescent="0.35">
      <c r="A42" s="93" t="s">
        <v>258</v>
      </c>
      <c r="B42" s="94" t="s">
        <v>40</v>
      </c>
      <c r="C42" s="94" t="s">
        <v>391</v>
      </c>
      <c r="D42" s="94" t="s">
        <v>392</v>
      </c>
      <c r="E42" s="94" t="s">
        <v>40</v>
      </c>
      <c r="F42" s="95" t="s">
        <v>311</v>
      </c>
      <c r="G42" s="94" t="s">
        <v>312</v>
      </c>
      <c r="H42" s="94" t="s">
        <v>256</v>
      </c>
      <c r="I42" s="94" t="s">
        <v>20</v>
      </c>
      <c r="J42" s="94" t="s">
        <v>218</v>
      </c>
      <c r="K42" s="95" t="s">
        <v>257</v>
      </c>
      <c r="L42" s="96">
        <v>9</v>
      </c>
      <c r="M42" s="96">
        <f>L42*VLOOKUP(I42,dagsoorttabel1,2,FALSE)</f>
        <v>7.0588235294117646E-2</v>
      </c>
      <c r="N42" s="97">
        <f>prodnorm36</f>
        <v>0</v>
      </c>
      <c r="O42" s="41">
        <f>dagwerk36</f>
        <v>0</v>
      </c>
      <c r="P42" s="94" t="s">
        <v>107</v>
      </c>
      <c r="Q42" s="26">
        <f>uurtarief36</f>
        <v>0</v>
      </c>
      <c r="R42" s="96" t="e">
        <f>IF(ISBLANK(N42),0,M42/ROUND(N42,4))</f>
        <v>#DIV/0!</v>
      </c>
      <c r="S42" s="96" t="e">
        <f>IF(ISBLANK(N42),0,R42*ROUND(O42,2))</f>
        <v>#DIV/0!</v>
      </c>
      <c r="T42" s="26" t="e">
        <f>ROUND(Q42,2)*R42</f>
        <v>#DIV/0!</v>
      </c>
      <c r="U42" s="96" t="e">
        <f>R42*dagenperjaar1</f>
        <v>#DIV/0!</v>
      </c>
      <c r="V42" s="27" t="e">
        <f>U42*ROUND(Q42,2)</f>
        <v>#DIV/0!</v>
      </c>
    </row>
    <row r="43" spans="1:22" x14ac:dyDescent="0.35">
      <c r="A43" s="93" t="s">
        <v>258</v>
      </c>
      <c r="B43" s="94" t="s">
        <v>40</v>
      </c>
      <c r="C43" s="94" t="s">
        <v>391</v>
      </c>
      <c r="D43" s="94" t="s">
        <v>393</v>
      </c>
      <c r="E43" s="94" t="s">
        <v>40</v>
      </c>
      <c r="F43" s="95" t="s">
        <v>311</v>
      </c>
      <c r="G43" s="94" t="s">
        <v>312</v>
      </c>
      <c r="H43" s="94" t="s">
        <v>256</v>
      </c>
      <c r="I43" s="94" t="s">
        <v>20</v>
      </c>
      <c r="J43" s="94" t="s">
        <v>218</v>
      </c>
      <c r="K43" s="95" t="s">
        <v>257</v>
      </c>
      <c r="L43" s="96">
        <v>9</v>
      </c>
      <c r="M43" s="96">
        <f>L43*VLOOKUP(I43,dagsoorttabel1,2,FALSE)</f>
        <v>7.0588235294117646E-2</v>
      </c>
      <c r="N43" s="97">
        <f>prodnorm36</f>
        <v>0</v>
      </c>
      <c r="O43" s="41">
        <f>dagwerk36</f>
        <v>0</v>
      </c>
      <c r="P43" s="94" t="s">
        <v>107</v>
      </c>
      <c r="Q43" s="26">
        <f>uurtarief36</f>
        <v>0</v>
      </c>
      <c r="R43" s="96" t="e">
        <f>IF(ISBLANK(N43),0,M43/ROUND(N43,4))</f>
        <v>#DIV/0!</v>
      </c>
      <c r="S43" s="96" t="e">
        <f>IF(ISBLANK(N43),0,R43*ROUND(O43,2))</f>
        <v>#DIV/0!</v>
      </c>
      <c r="T43" s="26" t="e">
        <f>ROUND(Q43,2)*R43</f>
        <v>#DIV/0!</v>
      </c>
      <c r="U43" s="96" t="e">
        <f>R43*dagenperjaar1</f>
        <v>#DIV/0!</v>
      </c>
      <c r="V43" s="27" t="e">
        <f>U43*ROUND(Q43,2)</f>
        <v>#DIV/0!</v>
      </c>
    </row>
    <row r="44" spans="1:22" x14ac:dyDescent="0.35">
      <c r="A44" s="93" t="s">
        <v>258</v>
      </c>
      <c r="B44" s="94" t="s">
        <v>40</v>
      </c>
      <c r="C44" s="94" t="s">
        <v>391</v>
      </c>
      <c r="D44" s="94" t="s">
        <v>394</v>
      </c>
      <c r="E44" s="94" t="s">
        <v>40</v>
      </c>
      <c r="F44" s="95" t="s">
        <v>315</v>
      </c>
      <c r="G44" s="94" t="s">
        <v>40</v>
      </c>
      <c r="H44" s="94" t="s">
        <v>316</v>
      </c>
      <c r="I44" s="94"/>
      <c r="J44" s="94"/>
      <c r="K44" s="94"/>
      <c r="L44" s="96">
        <v>10</v>
      </c>
      <c r="M44" s="96"/>
      <c r="N44" s="97"/>
      <c r="O44" s="41"/>
      <c r="P44" s="94"/>
      <c r="Q44" s="26"/>
      <c r="R44" s="96"/>
      <c r="S44" s="96"/>
      <c r="T44" s="26"/>
      <c r="U44" s="98"/>
      <c r="V44" s="27"/>
    </row>
    <row r="45" spans="1:22" x14ac:dyDescent="0.35">
      <c r="A45" s="93" t="s">
        <v>258</v>
      </c>
      <c r="B45" s="94" t="s">
        <v>40</v>
      </c>
      <c r="C45" s="94" t="s">
        <v>391</v>
      </c>
      <c r="D45" s="94" t="s">
        <v>395</v>
      </c>
      <c r="E45" s="94" t="s">
        <v>40</v>
      </c>
      <c r="F45" s="95" t="s">
        <v>320</v>
      </c>
      <c r="G45" s="94" t="s">
        <v>321</v>
      </c>
      <c r="H45" s="94" t="s">
        <v>242</v>
      </c>
      <c r="I45" s="94" t="s">
        <v>10</v>
      </c>
      <c r="J45" s="94" t="s">
        <v>218</v>
      </c>
      <c r="K45" s="95" t="s">
        <v>243</v>
      </c>
      <c r="L45" s="96">
        <v>4</v>
      </c>
      <c r="M45" s="96">
        <f>L45*VLOOKUP(I45,dagsoorttabel1,2,FALSE)</f>
        <v>4</v>
      </c>
      <c r="N45" s="97">
        <f>prodnorm21</f>
        <v>0</v>
      </c>
      <c r="O45" s="41">
        <f>dagwerk21</f>
        <v>0</v>
      </c>
      <c r="P45" s="94" t="s">
        <v>107</v>
      </c>
      <c r="Q45" s="26">
        <f>uurtarief21</f>
        <v>0</v>
      </c>
      <c r="R45" s="96" t="e">
        <f>IF(ISBLANK(N45),0,M45/ROUND(N45,4))</f>
        <v>#DIV/0!</v>
      </c>
      <c r="S45" s="96" t="e">
        <f>IF(ISBLANK(N45),0,R45*ROUND(O45,2))</f>
        <v>#DIV/0!</v>
      </c>
      <c r="T45" s="26" t="e">
        <f>ROUND(Q45,2)*R45</f>
        <v>#DIV/0!</v>
      </c>
      <c r="U45" s="96" t="e">
        <f>R45*dagenperjaar1</f>
        <v>#DIV/0!</v>
      </c>
      <c r="V45" s="27" t="e">
        <f>U45*ROUND(Q45,2)</f>
        <v>#DIV/0!</v>
      </c>
    </row>
    <row r="46" spans="1:22" x14ac:dyDescent="0.35">
      <c r="A46" s="93" t="s">
        <v>258</v>
      </c>
      <c r="B46" s="94" t="s">
        <v>40</v>
      </c>
      <c r="C46" s="94" t="s">
        <v>391</v>
      </c>
      <c r="D46" s="94" t="s">
        <v>396</v>
      </c>
      <c r="E46" s="94" t="s">
        <v>40</v>
      </c>
      <c r="F46" s="95" t="s">
        <v>323</v>
      </c>
      <c r="G46" s="94" t="s">
        <v>321</v>
      </c>
      <c r="H46" s="94" t="s">
        <v>242</v>
      </c>
      <c r="I46" s="94" t="s">
        <v>10</v>
      </c>
      <c r="J46" s="94" t="s">
        <v>218</v>
      </c>
      <c r="K46" s="95" t="s">
        <v>243</v>
      </c>
      <c r="L46" s="96">
        <v>4</v>
      </c>
      <c r="M46" s="96">
        <f>L46*VLOOKUP(I46,dagsoorttabel1,2,FALSE)</f>
        <v>4</v>
      </c>
      <c r="N46" s="97">
        <f>prodnorm21</f>
        <v>0</v>
      </c>
      <c r="O46" s="41">
        <f>dagwerk21</f>
        <v>0</v>
      </c>
      <c r="P46" s="94" t="s">
        <v>107</v>
      </c>
      <c r="Q46" s="26">
        <f>uurtarief21</f>
        <v>0</v>
      </c>
      <c r="R46" s="96" t="e">
        <f>IF(ISBLANK(N46),0,M46/ROUND(N46,4))</f>
        <v>#DIV/0!</v>
      </c>
      <c r="S46" s="96" t="e">
        <f>IF(ISBLANK(N46),0,R46*ROUND(O46,2))</f>
        <v>#DIV/0!</v>
      </c>
      <c r="T46" s="26" t="e">
        <f>ROUND(Q46,2)*R46</f>
        <v>#DIV/0!</v>
      </c>
      <c r="U46" s="96" t="e">
        <f>R46*dagenperjaar1</f>
        <v>#DIV/0!</v>
      </c>
      <c r="V46" s="27" t="e">
        <f>U46*ROUND(Q46,2)</f>
        <v>#DIV/0!</v>
      </c>
    </row>
    <row r="47" spans="1:22" x14ac:dyDescent="0.35">
      <c r="A47" s="93" t="s">
        <v>258</v>
      </c>
      <c r="B47" s="94" t="s">
        <v>40</v>
      </c>
      <c r="C47" s="94" t="s">
        <v>391</v>
      </c>
      <c r="D47" s="94" t="s">
        <v>397</v>
      </c>
      <c r="E47" s="94" t="s">
        <v>40</v>
      </c>
      <c r="F47" s="95" t="s">
        <v>325</v>
      </c>
      <c r="G47" s="94" t="s">
        <v>326</v>
      </c>
      <c r="H47" s="94" t="s">
        <v>256</v>
      </c>
      <c r="I47" s="94" t="s">
        <v>10</v>
      </c>
      <c r="J47" s="94" t="s">
        <v>218</v>
      </c>
      <c r="K47" s="95" t="s">
        <v>257</v>
      </c>
      <c r="L47" s="96">
        <v>16</v>
      </c>
      <c r="M47" s="96">
        <f>L47*VLOOKUP(I47,dagsoorttabel1,2,FALSE)</f>
        <v>16</v>
      </c>
      <c r="N47" s="97">
        <f>prodnorm38</f>
        <v>0</v>
      </c>
      <c r="O47" s="41">
        <f>dagwerk38</f>
        <v>0</v>
      </c>
      <c r="P47" s="94" t="s">
        <v>107</v>
      </c>
      <c r="Q47" s="26">
        <f>uurtarief38</f>
        <v>0</v>
      </c>
      <c r="R47" s="96" t="e">
        <f>IF(ISBLANK(N47),0,M47/ROUND(N47,4))</f>
        <v>#DIV/0!</v>
      </c>
      <c r="S47" s="96" t="e">
        <f>IF(ISBLANK(N47),0,R47*ROUND(O47,2))</f>
        <v>#DIV/0!</v>
      </c>
      <c r="T47" s="26" t="e">
        <f>ROUND(Q47,2)*R47</f>
        <v>#DIV/0!</v>
      </c>
      <c r="U47" s="96" t="e">
        <f>R47*dagenperjaar1</f>
        <v>#DIV/0!</v>
      </c>
      <c r="V47" s="27" t="e">
        <f>U47*ROUND(Q47,2)</f>
        <v>#DIV/0!</v>
      </c>
    </row>
    <row r="48" spans="1:22" x14ac:dyDescent="0.35">
      <c r="A48" s="93" t="s">
        <v>258</v>
      </c>
      <c r="B48" s="94" t="s">
        <v>40</v>
      </c>
      <c r="C48" s="94" t="s">
        <v>391</v>
      </c>
      <c r="D48" s="94" t="s">
        <v>398</v>
      </c>
      <c r="E48" s="94" t="s">
        <v>40</v>
      </c>
      <c r="F48" s="95" t="s">
        <v>328</v>
      </c>
      <c r="G48" s="94" t="s">
        <v>40</v>
      </c>
      <c r="H48" s="94" t="s">
        <v>316</v>
      </c>
      <c r="I48" s="94"/>
      <c r="J48" s="94"/>
      <c r="K48" s="94"/>
      <c r="L48" s="96">
        <v>6</v>
      </c>
      <c r="M48" s="96"/>
      <c r="N48" s="97"/>
      <c r="O48" s="41"/>
      <c r="P48" s="94"/>
      <c r="Q48" s="26"/>
      <c r="R48" s="96"/>
      <c r="S48" s="96"/>
      <c r="T48" s="26"/>
      <c r="U48" s="98"/>
      <c r="V48" s="27"/>
    </row>
    <row r="49" spans="1:22" x14ac:dyDescent="0.35">
      <c r="A49" s="93" t="s">
        <v>258</v>
      </c>
      <c r="B49" s="94" t="s">
        <v>40</v>
      </c>
      <c r="C49" s="94" t="s">
        <v>391</v>
      </c>
      <c r="D49" s="94" t="s">
        <v>399</v>
      </c>
      <c r="E49" s="94" t="s">
        <v>40</v>
      </c>
      <c r="F49" s="95" t="s">
        <v>400</v>
      </c>
      <c r="G49" s="94" t="s">
        <v>321</v>
      </c>
      <c r="H49" s="94" t="s">
        <v>240</v>
      </c>
      <c r="I49" s="94" t="s">
        <v>10</v>
      </c>
      <c r="J49" s="94" t="s">
        <v>218</v>
      </c>
      <c r="K49" s="95" t="s">
        <v>241</v>
      </c>
      <c r="L49" s="96">
        <v>10</v>
      </c>
      <c r="M49" s="96">
        <f>L49*VLOOKUP(I49,dagsoorttabel1,2,FALSE)</f>
        <v>10</v>
      </c>
      <c r="N49" s="97">
        <f>prodnorm20</f>
        <v>0</v>
      </c>
      <c r="O49" s="41">
        <f>dagwerk20</f>
        <v>0</v>
      </c>
      <c r="P49" s="94" t="s">
        <v>107</v>
      </c>
      <c r="Q49" s="26">
        <f>uurtarief20</f>
        <v>0</v>
      </c>
      <c r="R49" s="96" t="e">
        <f>IF(ISBLANK(N49),0,M49/ROUND(N49,4))</f>
        <v>#DIV/0!</v>
      </c>
      <c r="S49" s="96" t="e">
        <f>IF(ISBLANK(N49),0,R49*ROUND(O49,2))</f>
        <v>#DIV/0!</v>
      </c>
      <c r="T49" s="26" t="e">
        <f>ROUND(Q49,2)*R49</f>
        <v>#DIV/0!</v>
      </c>
      <c r="U49" s="96" t="e">
        <f>R49*dagenperjaar1</f>
        <v>#DIV/0!</v>
      </c>
      <c r="V49" s="27" t="e">
        <f>U49*ROUND(Q49,2)</f>
        <v>#DIV/0!</v>
      </c>
    </row>
    <row r="50" spans="1:22" x14ac:dyDescent="0.35">
      <c r="A50" s="93" t="s">
        <v>258</v>
      </c>
      <c r="B50" s="94" t="s">
        <v>40</v>
      </c>
      <c r="C50" s="94" t="s">
        <v>391</v>
      </c>
      <c r="D50" s="94" t="s">
        <v>401</v>
      </c>
      <c r="E50" s="94" t="s">
        <v>40</v>
      </c>
      <c r="F50" s="95" t="s">
        <v>402</v>
      </c>
      <c r="G50" s="94" t="s">
        <v>321</v>
      </c>
      <c r="H50" s="94" t="s">
        <v>240</v>
      </c>
      <c r="I50" s="94" t="s">
        <v>10</v>
      </c>
      <c r="J50" s="94" t="s">
        <v>218</v>
      </c>
      <c r="K50" s="95" t="s">
        <v>241</v>
      </c>
      <c r="L50" s="96">
        <v>10</v>
      </c>
      <c r="M50" s="96">
        <f>L50*VLOOKUP(I50,dagsoorttabel1,2,FALSE)</f>
        <v>10</v>
      </c>
      <c r="N50" s="97">
        <f>prodnorm20</f>
        <v>0</v>
      </c>
      <c r="O50" s="41">
        <f>dagwerk20</f>
        <v>0</v>
      </c>
      <c r="P50" s="94" t="s">
        <v>107</v>
      </c>
      <c r="Q50" s="26">
        <f>uurtarief20</f>
        <v>0</v>
      </c>
      <c r="R50" s="96" t="e">
        <f>IF(ISBLANK(N50),0,M50/ROUND(N50,4))</f>
        <v>#DIV/0!</v>
      </c>
      <c r="S50" s="96" t="e">
        <f>IF(ISBLANK(N50),0,R50*ROUND(O50,2))</f>
        <v>#DIV/0!</v>
      </c>
      <c r="T50" s="26" t="e">
        <f>ROUND(Q50,2)*R50</f>
        <v>#DIV/0!</v>
      </c>
      <c r="U50" s="96" t="e">
        <f>R50*dagenperjaar1</f>
        <v>#DIV/0!</v>
      </c>
      <c r="V50" s="27" t="e">
        <f>U50*ROUND(Q50,2)</f>
        <v>#DIV/0!</v>
      </c>
    </row>
    <row r="51" spans="1:22" x14ac:dyDescent="0.35">
      <c r="A51" s="93" t="s">
        <v>258</v>
      </c>
      <c r="B51" s="94" t="s">
        <v>40</v>
      </c>
      <c r="C51" s="94" t="s">
        <v>391</v>
      </c>
      <c r="D51" s="94" t="s">
        <v>403</v>
      </c>
      <c r="E51" s="94" t="s">
        <v>40</v>
      </c>
      <c r="F51" s="95" t="s">
        <v>404</v>
      </c>
      <c r="G51" s="94" t="s">
        <v>40</v>
      </c>
      <c r="H51" s="94" t="s">
        <v>316</v>
      </c>
      <c r="I51" s="94"/>
      <c r="J51" s="94"/>
      <c r="K51" s="94"/>
      <c r="L51" s="96">
        <v>243</v>
      </c>
      <c r="M51" s="96"/>
      <c r="N51" s="97"/>
      <c r="O51" s="41"/>
      <c r="P51" s="94"/>
      <c r="Q51" s="26"/>
      <c r="R51" s="96"/>
      <c r="S51" s="96"/>
      <c r="T51" s="26"/>
      <c r="U51" s="98"/>
      <c r="V51" s="27"/>
    </row>
    <row r="52" spans="1:22" x14ac:dyDescent="0.35">
      <c r="A52" s="93" t="s">
        <v>258</v>
      </c>
      <c r="B52" s="94" t="s">
        <v>40</v>
      </c>
      <c r="C52" s="94" t="s">
        <v>391</v>
      </c>
      <c r="D52" s="94" t="s">
        <v>405</v>
      </c>
      <c r="E52" s="94" t="s">
        <v>40</v>
      </c>
      <c r="F52" s="95" t="s">
        <v>404</v>
      </c>
      <c r="G52" s="94" t="s">
        <v>40</v>
      </c>
      <c r="H52" s="94" t="s">
        <v>316</v>
      </c>
      <c r="I52" s="94"/>
      <c r="J52" s="94"/>
      <c r="K52" s="94"/>
      <c r="L52" s="96">
        <v>371</v>
      </c>
      <c r="M52" s="96"/>
      <c r="N52" s="97"/>
      <c r="O52" s="41"/>
      <c r="P52" s="94"/>
      <c r="Q52" s="26"/>
      <c r="R52" s="96"/>
      <c r="S52" s="96"/>
      <c r="T52" s="26"/>
      <c r="U52" s="98"/>
      <c r="V52" s="27"/>
    </row>
    <row r="53" spans="1:22" x14ac:dyDescent="0.35">
      <c r="A53" s="93" t="s">
        <v>258</v>
      </c>
      <c r="B53" s="94" t="s">
        <v>40</v>
      </c>
      <c r="C53" s="94" t="s">
        <v>391</v>
      </c>
      <c r="D53" s="94" t="s">
        <v>406</v>
      </c>
      <c r="E53" s="94" t="s">
        <v>40</v>
      </c>
      <c r="F53" s="95" t="s">
        <v>407</v>
      </c>
      <c r="G53" s="94" t="s">
        <v>335</v>
      </c>
      <c r="H53" s="94" t="s">
        <v>217</v>
      </c>
      <c r="I53" s="94" t="s">
        <v>10</v>
      </c>
      <c r="J53" s="94" t="s">
        <v>218</v>
      </c>
      <c r="K53" s="95" t="s">
        <v>219</v>
      </c>
      <c r="L53" s="96">
        <v>43</v>
      </c>
      <c r="M53" s="96">
        <f>L53*VLOOKUP(I53,dagsoorttabel1,2,FALSE)</f>
        <v>43</v>
      </c>
      <c r="N53" s="97">
        <f>prodnorm6</f>
        <v>0</v>
      </c>
      <c r="O53" s="41">
        <f>dagwerk6</f>
        <v>0</v>
      </c>
      <c r="P53" s="94" t="s">
        <v>107</v>
      </c>
      <c r="Q53" s="26">
        <f>uurtarief6</f>
        <v>0</v>
      </c>
      <c r="R53" s="96" t="e">
        <f>IF(ISBLANK(N53),0,M53/ROUND(N53,4))</f>
        <v>#DIV/0!</v>
      </c>
      <c r="S53" s="96" t="e">
        <f>IF(ISBLANK(N53),0,R53*ROUND(O53,2))</f>
        <v>#DIV/0!</v>
      </c>
      <c r="T53" s="26" t="e">
        <f>ROUND(Q53,2)*R53</f>
        <v>#DIV/0!</v>
      </c>
      <c r="U53" s="96" t="e">
        <f>R53*dagenperjaar1</f>
        <v>#DIV/0!</v>
      </c>
      <c r="V53" s="27" t="e">
        <f>U53*ROUND(Q53,2)</f>
        <v>#DIV/0!</v>
      </c>
    </row>
    <row r="54" spans="1:22" x14ac:dyDescent="0.35">
      <c r="A54" s="93" t="s">
        <v>258</v>
      </c>
      <c r="B54" s="94" t="s">
        <v>40</v>
      </c>
      <c r="C54" s="94" t="s">
        <v>391</v>
      </c>
      <c r="D54" s="94" t="s">
        <v>408</v>
      </c>
      <c r="E54" s="94" t="s">
        <v>40</v>
      </c>
      <c r="F54" s="95" t="s">
        <v>409</v>
      </c>
      <c r="G54" s="94" t="s">
        <v>335</v>
      </c>
      <c r="H54" s="94" t="s">
        <v>217</v>
      </c>
      <c r="I54" s="94" t="s">
        <v>10</v>
      </c>
      <c r="J54" s="94" t="s">
        <v>218</v>
      </c>
      <c r="K54" s="95" t="s">
        <v>219</v>
      </c>
      <c r="L54" s="96">
        <v>84</v>
      </c>
      <c r="M54" s="96">
        <f>L54*VLOOKUP(I54,dagsoorttabel1,2,FALSE)</f>
        <v>84</v>
      </c>
      <c r="N54" s="97">
        <f>prodnorm6</f>
        <v>0</v>
      </c>
      <c r="O54" s="41">
        <f>dagwerk6</f>
        <v>0</v>
      </c>
      <c r="P54" s="94" t="s">
        <v>107</v>
      </c>
      <c r="Q54" s="26">
        <f>uurtarief6</f>
        <v>0</v>
      </c>
      <c r="R54" s="96" t="e">
        <f>IF(ISBLANK(N54),0,M54/ROUND(N54,4))</f>
        <v>#DIV/0!</v>
      </c>
      <c r="S54" s="96" t="e">
        <f>IF(ISBLANK(N54),0,R54*ROUND(O54,2))</f>
        <v>#DIV/0!</v>
      </c>
      <c r="T54" s="26" t="e">
        <f>ROUND(Q54,2)*R54</f>
        <v>#DIV/0!</v>
      </c>
      <c r="U54" s="96" t="e">
        <f>R54*dagenperjaar1</f>
        <v>#DIV/0!</v>
      </c>
      <c r="V54" s="27" t="e">
        <f>U54*ROUND(Q54,2)</f>
        <v>#DIV/0!</v>
      </c>
    </row>
    <row r="55" spans="1:22" x14ac:dyDescent="0.35">
      <c r="A55" s="93" t="s">
        <v>258</v>
      </c>
      <c r="B55" s="94" t="s">
        <v>40</v>
      </c>
      <c r="C55" s="94" t="s">
        <v>391</v>
      </c>
      <c r="D55" s="94" t="s">
        <v>410</v>
      </c>
      <c r="E55" s="94" t="s">
        <v>40</v>
      </c>
      <c r="F55" s="95" t="s">
        <v>411</v>
      </c>
      <c r="G55" s="94" t="s">
        <v>366</v>
      </c>
      <c r="H55" s="94" t="s">
        <v>246</v>
      </c>
      <c r="I55" s="94" t="s">
        <v>10</v>
      </c>
      <c r="J55" s="94" t="s">
        <v>218</v>
      </c>
      <c r="K55" s="95" t="s">
        <v>247</v>
      </c>
      <c r="L55" s="96">
        <v>111</v>
      </c>
      <c r="M55" s="96">
        <f>L55*VLOOKUP(I55,dagsoorttabel1,2,FALSE)</f>
        <v>111</v>
      </c>
      <c r="N55" s="97">
        <f>prodnorm26</f>
        <v>0</v>
      </c>
      <c r="O55" s="41">
        <f>dagwerk26</f>
        <v>0</v>
      </c>
      <c r="P55" s="94" t="s">
        <v>107</v>
      </c>
      <c r="Q55" s="26">
        <f>uurtarief26</f>
        <v>0</v>
      </c>
      <c r="R55" s="96" t="e">
        <f>IF(ISBLANK(N55),0,M55/ROUND(N55,4))</f>
        <v>#DIV/0!</v>
      </c>
      <c r="S55" s="96" t="e">
        <f>IF(ISBLANK(N55),0,R55*ROUND(O55,2))</f>
        <v>#DIV/0!</v>
      </c>
      <c r="T55" s="26" t="e">
        <f>ROUND(Q55,2)*R55</f>
        <v>#DIV/0!</v>
      </c>
      <c r="U55" s="96" t="e">
        <f>R55*dagenperjaar1</f>
        <v>#DIV/0!</v>
      </c>
      <c r="V55" s="27" t="e">
        <f>U55*ROUND(Q55,2)</f>
        <v>#DIV/0!</v>
      </c>
    </row>
    <row r="56" spans="1:22" x14ac:dyDescent="0.35">
      <c r="A56" s="93" t="s">
        <v>258</v>
      </c>
      <c r="B56" s="94" t="s">
        <v>40</v>
      </c>
      <c r="C56" s="94" t="s">
        <v>391</v>
      </c>
      <c r="D56" s="94" t="s">
        <v>412</v>
      </c>
      <c r="E56" s="94" t="s">
        <v>40</v>
      </c>
      <c r="F56" s="95" t="s">
        <v>413</v>
      </c>
      <c r="G56" s="94" t="s">
        <v>335</v>
      </c>
      <c r="H56" s="94" t="s">
        <v>226</v>
      </c>
      <c r="I56" s="94" t="s">
        <v>10</v>
      </c>
      <c r="J56" s="94" t="s">
        <v>218</v>
      </c>
      <c r="K56" s="95" t="s">
        <v>227</v>
      </c>
      <c r="L56" s="96">
        <v>26</v>
      </c>
      <c r="M56" s="96">
        <f>L56*VLOOKUP(I56,dagsoorttabel1,2,FALSE)</f>
        <v>26</v>
      </c>
      <c r="N56" s="97">
        <f>prodnorm10</f>
        <v>0</v>
      </c>
      <c r="O56" s="41">
        <f>dagwerk10</f>
        <v>0</v>
      </c>
      <c r="P56" s="94" t="s">
        <v>107</v>
      </c>
      <c r="Q56" s="26">
        <f>uurtarief10</f>
        <v>0</v>
      </c>
      <c r="R56" s="96" t="e">
        <f>IF(ISBLANK(N56),0,M56/ROUND(N56,4))</f>
        <v>#DIV/0!</v>
      </c>
      <c r="S56" s="96" t="e">
        <f>IF(ISBLANK(N56),0,R56*ROUND(O56,2))</f>
        <v>#DIV/0!</v>
      </c>
      <c r="T56" s="26" t="e">
        <f>ROUND(Q56,2)*R56</f>
        <v>#DIV/0!</v>
      </c>
      <c r="U56" s="96" t="e">
        <f>R56*dagenperjaar1</f>
        <v>#DIV/0!</v>
      </c>
      <c r="V56" s="27" t="e">
        <f>U56*ROUND(Q56,2)</f>
        <v>#DIV/0!</v>
      </c>
    </row>
    <row r="57" spans="1:22" x14ac:dyDescent="0.35">
      <c r="A57" s="93" t="s">
        <v>258</v>
      </c>
      <c r="B57" s="94" t="s">
        <v>40</v>
      </c>
      <c r="C57" s="94" t="s">
        <v>391</v>
      </c>
      <c r="D57" s="94" t="s">
        <v>414</v>
      </c>
      <c r="E57" s="94" t="s">
        <v>40</v>
      </c>
      <c r="F57" s="95" t="s">
        <v>404</v>
      </c>
      <c r="G57" s="94" t="s">
        <v>40</v>
      </c>
      <c r="H57" s="94" t="s">
        <v>316</v>
      </c>
      <c r="I57" s="94"/>
      <c r="J57" s="94"/>
      <c r="K57" s="94"/>
      <c r="L57" s="96">
        <v>332</v>
      </c>
      <c r="M57" s="96"/>
      <c r="N57" s="97"/>
      <c r="O57" s="41"/>
      <c r="P57" s="94"/>
      <c r="Q57" s="26"/>
      <c r="R57" s="96"/>
      <c r="S57" s="96"/>
      <c r="T57" s="26"/>
      <c r="U57" s="98"/>
      <c r="V57" s="27"/>
    </row>
    <row r="58" spans="1:22" x14ac:dyDescent="0.35">
      <c r="A58" s="93" t="s">
        <v>258</v>
      </c>
      <c r="B58" s="94" t="s">
        <v>40</v>
      </c>
      <c r="C58" s="94" t="s">
        <v>391</v>
      </c>
      <c r="D58" s="94" t="s">
        <v>415</v>
      </c>
      <c r="E58" s="94" t="s">
        <v>40</v>
      </c>
      <c r="F58" s="95" t="s">
        <v>404</v>
      </c>
      <c r="G58" s="94" t="s">
        <v>40</v>
      </c>
      <c r="H58" s="94" t="s">
        <v>316</v>
      </c>
      <c r="I58" s="94"/>
      <c r="J58" s="94"/>
      <c r="K58" s="94"/>
      <c r="L58" s="96">
        <v>298</v>
      </c>
      <c r="M58" s="96"/>
      <c r="N58" s="97"/>
      <c r="O58" s="41"/>
      <c r="P58" s="94"/>
      <c r="Q58" s="26"/>
      <c r="R58" s="96"/>
      <c r="S58" s="96"/>
      <c r="T58" s="26"/>
      <c r="U58" s="98"/>
      <c r="V58" s="27"/>
    </row>
    <row r="59" spans="1:22" x14ac:dyDescent="0.35">
      <c r="A59" s="93" t="s">
        <v>258</v>
      </c>
      <c r="B59" s="94" t="s">
        <v>40</v>
      </c>
      <c r="C59" s="94" t="s">
        <v>391</v>
      </c>
      <c r="D59" s="94" t="s">
        <v>416</v>
      </c>
      <c r="E59" s="94" t="s">
        <v>40</v>
      </c>
      <c r="F59" s="95" t="s">
        <v>404</v>
      </c>
      <c r="G59" s="94" t="s">
        <v>40</v>
      </c>
      <c r="H59" s="94" t="s">
        <v>316</v>
      </c>
      <c r="I59" s="94"/>
      <c r="J59" s="94"/>
      <c r="K59" s="94"/>
      <c r="L59" s="96">
        <v>400</v>
      </c>
      <c r="M59" s="96"/>
      <c r="N59" s="97"/>
      <c r="O59" s="41"/>
      <c r="P59" s="94"/>
      <c r="Q59" s="26"/>
      <c r="R59" s="96"/>
      <c r="S59" s="96"/>
      <c r="T59" s="26"/>
      <c r="U59" s="98"/>
      <c r="V59" s="27"/>
    </row>
    <row r="60" spans="1:22" x14ac:dyDescent="0.35">
      <c r="A60" s="93" t="s">
        <v>258</v>
      </c>
      <c r="B60" s="94" t="s">
        <v>40</v>
      </c>
      <c r="C60" s="94" t="s">
        <v>417</v>
      </c>
      <c r="D60" s="94" t="s">
        <v>418</v>
      </c>
      <c r="E60" s="94" t="s">
        <v>40</v>
      </c>
      <c r="F60" s="95" t="s">
        <v>311</v>
      </c>
      <c r="G60" s="94" t="s">
        <v>312</v>
      </c>
      <c r="H60" s="94" t="s">
        <v>256</v>
      </c>
      <c r="I60" s="94" t="s">
        <v>20</v>
      </c>
      <c r="J60" s="94" t="s">
        <v>218</v>
      </c>
      <c r="K60" s="95" t="s">
        <v>257</v>
      </c>
      <c r="L60" s="96">
        <v>9</v>
      </c>
      <c r="M60" s="96">
        <f>L60*VLOOKUP(I60,dagsoorttabel1,2,FALSE)</f>
        <v>7.0588235294117646E-2</v>
      </c>
      <c r="N60" s="97">
        <f>prodnorm36</f>
        <v>0</v>
      </c>
      <c r="O60" s="41">
        <f>dagwerk36</f>
        <v>0</v>
      </c>
      <c r="P60" s="94" t="s">
        <v>107</v>
      </c>
      <c r="Q60" s="26">
        <f>uurtarief36</f>
        <v>0</v>
      </c>
      <c r="R60" s="96" t="e">
        <f>IF(ISBLANK(N60),0,M60/ROUND(N60,4))</f>
        <v>#DIV/0!</v>
      </c>
      <c r="S60" s="96" t="e">
        <f>IF(ISBLANK(N60),0,R60*ROUND(O60,2))</f>
        <v>#DIV/0!</v>
      </c>
      <c r="T60" s="26" t="e">
        <f>ROUND(Q60,2)*R60</f>
        <v>#DIV/0!</v>
      </c>
      <c r="U60" s="96" t="e">
        <f>R60*dagenperjaar1</f>
        <v>#DIV/0!</v>
      </c>
      <c r="V60" s="27" t="e">
        <f>U60*ROUND(Q60,2)</f>
        <v>#DIV/0!</v>
      </c>
    </row>
    <row r="61" spans="1:22" x14ac:dyDescent="0.35">
      <c r="A61" s="93" t="s">
        <v>258</v>
      </c>
      <c r="B61" s="94" t="s">
        <v>40</v>
      </c>
      <c r="C61" s="94" t="s">
        <v>417</v>
      </c>
      <c r="D61" s="94" t="s">
        <v>419</v>
      </c>
      <c r="E61" s="94" t="s">
        <v>40</v>
      </c>
      <c r="F61" s="95" t="s">
        <v>311</v>
      </c>
      <c r="G61" s="94" t="s">
        <v>312</v>
      </c>
      <c r="H61" s="94" t="s">
        <v>256</v>
      </c>
      <c r="I61" s="94" t="s">
        <v>20</v>
      </c>
      <c r="J61" s="94" t="s">
        <v>218</v>
      </c>
      <c r="K61" s="95" t="s">
        <v>257</v>
      </c>
      <c r="L61" s="96">
        <v>9</v>
      </c>
      <c r="M61" s="96">
        <f>L61*VLOOKUP(I61,dagsoorttabel1,2,FALSE)</f>
        <v>7.0588235294117646E-2</v>
      </c>
      <c r="N61" s="97">
        <f>prodnorm36</f>
        <v>0</v>
      </c>
      <c r="O61" s="41">
        <f>dagwerk36</f>
        <v>0</v>
      </c>
      <c r="P61" s="94" t="s">
        <v>107</v>
      </c>
      <c r="Q61" s="26">
        <f>uurtarief36</f>
        <v>0</v>
      </c>
      <c r="R61" s="96" t="e">
        <f>IF(ISBLANK(N61),0,M61/ROUND(N61,4))</f>
        <v>#DIV/0!</v>
      </c>
      <c r="S61" s="96" t="e">
        <f>IF(ISBLANK(N61),0,R61*ROUND(O61,2))</f>
        <v>#DIV/0!</v>
      </c>
      <c r="T61" s="26" t="e">
        <f>ROUND(Q61,2)*R61</f>
        <v>#DIV/0!</v>
      </c>
      <c r="U61" s="96" t="e">
        <f>R61*dagenperjaar1</f>
        <v>#DIV/0!</v>
      </c>
      <c r="V61" s="27" t="e">
        <f>U61*ROUND(Q61,2)</f>
        <v>#DIV/0!</v>
      </c>
    </row>
    <row r="62" spans="1:22" x14ac:dyDescent="0.35">
      <c r="A62" s="93" t="s">
        <v>258</v>
      </c>
      <c r="B62" s="94" t="s">
        <v>40</v>
      </c>
      <c r="C62" s="94" t="s">
        <v>417</v>
      </c>
      <c r="D62" s="94" t="s">
        <v>420</v>
      </c>
      <c r="E62" s="94" t="s">
        <v>40</v>
      </c>
      <c r="F62" s="95" t="s">
        <v>320</v>
      </c>
      <c r="G62" s="94" t="s">
        <v>321</v>
      </c>
      <c r="H62" s="94" t="s">
        <v>242</v>
      </c>
      <c r="I62" s="94" t="s">
        <v>10</v>
      </c>
      <c r="J62" s="94" t="s">
        <v>218</v>
      </c>
      <c r="K62" s="95" t="s">
        <v>243</v>
      </c>
      <c r="L62" s="96">
        <v>4</v>
      </c>
      <c r="M62" s="96">
        <f>L62*VLOOKUP(I62,dagsoorttabel1,2,FALSE)</f>
        <v>4</v>
      </c>
      <c r="N62" s="97">
        <f>prodnorm21</f>
        <v>0</v>
      </c>
      <c r="O62" s="41">
        <f>dagwerk21</f>
        <v>0</v>
      </c>
      <c r="P62" s="94" t="s">
        <v>107</v>
      </c>
      <c r="Q62" s="26">
        <f>uurtarief21</f>
        <v>0</v>
      </c>
      <c r="R62" s="96" t="e">
        <f>IF(ISBLANK(N62),0,M62/ROUND(N62,4))</f>
        <v>#DIV/0!</v>
      </c>
      <c r="S62" s="96" t="e">
        <f>IF(ISBLANK(N62),0,R62*ROUND(O62,2))</f>
        <v>#DIV/0!</v>
      </c>
      <c r="T62" s="26" t="e">
        <f>ROUND(Q62,2)*R62</f>
        <v>#DIV/0!</v>
      </c>
      <c r="U62" s="96" t="e">
        <f>R62*dagenperjaar1</f>
        <v>#DIV/0!</v>
      </c>
      <c r="V62" s="27" t="e">
        <f>U62*ROUND(Q62,2)</f>
        <v>#DIV/0!</v>
      </c>
    </row>
    <row r="63" spans="1:22" x14ac:dyDescent="0.35">
      <c r="A63" s="93" t="s">
        <v>258</v>
      </c>
      <c r="B63" s="94" t="s">
        <v>40</v>
      </c>
      <c r="C63" s="94" t="s">
        <v>417</v>
      </c>
      <c r="D63" s="94" t="s">
        <v>421</v>
      </c>
      <c r="E63" s="94" t="s">
        <v>40</v>
      </c>
      <c r="F63" s="95" t="s">
        <v>323</v>
      </c>
      <c r="G63" s="94" t="s">
        <v>321</v>
      </c>
      <c r="H63" s="94" t="s">
        <v>242</v>
      </c>
      <c r="I63" s="94" t="s">
        <v>10</v>
      </c>
      <c r="J63" s="94" t="s">
        <v>218</v>
      </c>
      <c r="K63" s="95" t="s">
        <v>243</v>
      </c>
      <c r="L63" s="96">
        <v>4</v>
      </c>
      <c r="M63" s="96">
        <f>L63*VLOOKUP(I63,dagsoorttabel1,2,FALSE)</f>
        <v>4</v>
      </c>
      <c r="N63" s="97">
        <f>prodnorm21</f>
        <v>0</v>
      </c>
      <c r="O63" s="41">
        <f>dagwerk21</f>
        <v>0</v>
      </c>
      <c r="P63" s="94" t="s">
        <v>107</v>
      </c>
      <c r="Q63" s="26">
        <f>uurtarief21</f>
        <v>0</v>
      </c>
      <c r="R63" s="96" t="e">
        <f>IF(ISBLANK(N63),0,M63/ROUND(N63,4))</f>
        <v>#DIV/0!</v>
      </c>
      <c r="S63" s="96" t="e">
        <f>IF(ISBLANK(N63),0,R63*ROUND(O63,2))</f>
        <v>#DIV/0!</v>
      </c>
      <c r="T63" s="26" t="e">
        <f>ROUND(Q63,2)*R63</f>
        <v>#DIV/0!</v>
      </c>
      <c r="U63" s="96" t="e">
        <f>R63*dagenperjaar1</f>
        <v>#DIV/0!</v>
      </c>
      <c r="V63" s="27" t="e">
        <f>U63*ROUND(Q63,2)</f>
        <v>#DIV/0!</v>
      </c>
    </row>
    <row r="64" spans="1:22" x14ac:dyDescent="0.35">
      <c r="A64" s="93" t="s">
        <v>258</v>
      </c>
      <c r="B64" s="94" t="s">
        <v>40</v>
      </c>
      <c r="C64" s="94" t="s">
        <v>417</v>
      </c>
      <c r="D64" s="94" t="s">
        <v>422</v>
      </c>
      <c r="E64" s="94" t="s">
        <v>40</v>
      </c>
      <c r="F64" s="95" t="s">
        <v>325</v>
      </c>
      <c r="G64" s="94" t="s">
        <v>326</v>
      </c>
      <c r="H64" s="94" t="s">
        <v>256</v>
      </c>
      <c r="I64" s="94" t="s">
        <v>10</v>
      </c>
      <c r="J64" s="94" t="s">
        <v>218</v>
      </c>
      <c r="K64" s="95" t="s">
        <v>257</v>
      </c>
      <c r="L64" s="96">
        <v>16</v>
      </c>
      <c r="M64" s="96">
        <f>L64*VLOOKUP(I64,dagsoorttabel1,2,FALSE)</f>
        <v>16</v>
      </c>
      <c r="N64" s="97">
        <f>prodnorm38</f>
        <v>0</v>
      </c>
      <c r="O64" s="41">
        <f>dagwerk38</f>
        <v>0</v>
      </c>
      <c r="P64" s="94" t="s">
        <v>107</v>
      </c>
      <c r="Q64" s="26">
        <f>uurtarief38</f>
        <v>0</v>
      </c>
      <c r="R64" s="96" t="e">
        <f>IF(ISBLANK(N64),0,M64/ROUND(N64,4))</f>
        <v>#DIV/0!</v>
      </c>
      <c r="S64" s="96" t="e">
        <f>IF(ISBLANK(N64),0,R64*ROUND(O64,2))</f>
        <v>#DIV/0!</v>
      </c>
      <c r="T64" s="26" t="e">
        <f>ROUND(Q64,2)*R64</f>
        <v>#DIV/0!</v>
      </c>
      <c r="U64" s="96" t="e">
        <f>R64*dagenperjaar1</f>
        <v>#DIV/0!</v>
      </c>
      <c r="V64" s="27" t="e">
        <f>U64*ROUND(Q64,2)</f>
        <v>#DIV/0!</v>
      </c>
    </row>
    <row r="65" spans="1:22" x14ac:dyDescent="0.35">
      <c r="A65" s="93" t="s">
        <v>258</v>
      </c>
      <c r="B65" s="94" t="s">
        <v>40</v>
      </c>
      <c r="C65" s="94" t="s">
        <v>417</v>
      </c>
      <c r="D65" s="94" t="s">
        <v>423</v>
      </c>
      <c r="E65" s="94" t="s">
        <v>40</v>
      </c>
      <c r="F65" s="95" t="s">
        <v>424</v>
      </c>
      <c r="G65" s="94" t="s">
        <v>40</v>
      </c>
      <c r="H65" s="94" t="s">
        <v>316</v>
      </c>
      <c r="I65" s="94"/>
      <c r="J65" s="94"/>
      <c r="K65" s="94"/>
      <c r="L65" s="96">
        <v>6</v>
      </c>
      <c r="M65" s="96"/>
      <c r="N65" s="97"/>
      <c r="O65" s="41"/>
      <c r="P65" s="94"/>
      <c r="Q65" s="26"/>
      <c r="R65" s="96"/>
      <c r="S65" s="96"/>
      <c r="T65" s="26"/>
      <c r="U65" s="98"/>
      <c r="V65" s="27"/>
    </row>
    <row r="66" spans="1:22" x14ac:dyDescent="0.35">
      <c r="A66" s="93" t="s">
        <v>258</v>
      </c>
      <c r="B66" s="94" t="s">
        <v>40</v>
      </c>
      <c r="C66" s="94" t="s">
        <v>417</v>
      </c>
      <c r="D66" s="94" t="s">
        <v>425</v>
      </c>
      <c r="E66" s="94" t="s">
        <v>40</v>
      </c>
      <c r="F66" s="95" t="s">
        <v>426</v>
      </c>
      <c r="G66" s="94" t="s">
        <v>321</v>
      </c>
      <c r="H66" s="94" t="s">
        <v>242</v>
      </c>
      <c r="I66" s="94" t="s">
        <v>10</v>
      </c>
      <c r="J66" s="94" t="s">
        <v>218</v>
      </c>
      <c r="K66" s="95" t="s">
        <v>243</v>
      </c>
      <c r="L66" s="96">
        <v>7</v>
      </c>
      <c r="M66" s="96">
        <f>L66*VLOOKUP(I66,dagsoorttabel1,2,FALSE)</f>
        <v>7</v>
      </c>
      <c r="N66" s="97">
        <f>prodnorm21</f>
        <v>0</v>
      </c>
      <c r="O66" s="41">
        <f>dagwerk21</f>
        <v>0</v>
      </c>
      <c r="P66" s="94" t="s">
        <v>107</v>
      </c>
      <c r="Q66" s="26">
        <f>uurtarief21</f>
        <v>0</v>
      </c>
      <c r="R66" s="96" t="e">
        <f>IF(ISBLANK(N66),0,M66/ROUND(N66,4))</f>
        <v>#DIV/0!</v>
      </c>
      <c r="S66" s="96" t="e">
        <f>IF(ISBLANK(N66),0,R66*ROUND(O66,2))</f>
        <v>#DIV/0!</v>
      </c>
      <c r="T66" s="26" t="e">
        <f>ROUND(Q66,2)*R66</f>
        <v>#DIV/0!</v>
      </c>
      <c r="U66" s="96" t="e">
        <f>R66*dagenperjaar1</f>
        <v>#DIV/0!</v>
      </c>
      <c r="V66" s="27" t="e">
        <f>U66*ROUND(Q66,2)</f>
        <v>#DIV/0!</v>
      </c>
    </row>
    <row r="67" spans="1:22" ht="29" x14ac:dyDescent="0.35">
      <c r="A67" s="93" t="s">
        <v>258</v>
      </c>
      <c r="B67" s="94" t="s">
        <v>40</v>
      </c>
      <c r="C67" s="94" t="s">
        <v>417</v>
      </c>
      <c r="D67" s="94" t="s">
        <v>427</v>
      </c>
      <c r="E67" s="94" t="s">
        <v>40</v>
      </c>
      <c r="F67" s="95" t="s">
        <v>428</v>
      </c>
      <c r="G67" s="94" t="s">
        <v>335</v>
      </c>
      <c r="H67" s="94" t="s">
        <v>217</v>
      </c>
      <c r="I67" s="94" t="s">
        <v>10</v>
      </c>
      <c r="J67" s="94" t="s">
        <v>218</v>
      </c>
      <c r="K67" s="95" t="s">
        <v>219</v>
      </c>
      <c r="L67" s="96">
        <v>48</v>
      </c>
      <c r="M67" s="96">
        <f>L67*VLOOKUP(I67,dagsoorttabel1,2,FALSE)</f>
        <v>48</v>
      </c>
      <c r="N67" s="97">
        <f>prodnorm6</f>
        <v>0</v>
      </c>
      <c r="O67" s="41">
        <f>dagwerk6</f>
        <v>0</v>
      </c>
      <c r="P67" s="94" t="s">
        <v>107</v>
      </c>
      <c r="Q67" s="26">
        <f>uurtarief6</f>
        <v>0</v>
      </c>
      <c r="R67" s="96" t="e">
        <f>IF(ISBLANK(N67),0,M67/ROUND(N67,4))</f>
        <v>#DIV/0!</v>
      </c>
      <c r="S67" s="96" t="e">
        <f>IF(ISBLANK(N67),0,R67*ROUND(O67,2))</f>
        <v>#DIV/0!</v>
      </c>
      <c r="T67" s="26" t="e">
        <f>ROUND(Q67,2)*R67</f>
        <v>#DIV/0!</v>
      </c>
      <c r="U67" s="96" t="e">
        <f>R67*dagenperjaar1</f>
        <v>#DIV/0!</v>
      </c>
      <c r="V67" s="27" t="e">
        <f>U67*ROUND(Q67,2)</f>
        <v>#DIV/0!</v>
      </c>
    </row>
    <row r="68" spans="1:22" x14ac:dyDescent="0.35">
      <c r="A68" s="93" t="s">
        <v>258</v>
      </c>
      <c r="B68" s="94" t="s">
        <v>40</v>
      </c>
      <c r="C68" s="94" t="s">
        <v>417</v>
      </c>
      <c r="D68" s="94" t="s">
        <v>429</v>
      </c>
      <c r="E68" s="94" t="s">
        <v>40</v>
      </c>
      <c r="F68" s="95" t="s">
        <v>430</v>
      </c>
      <c r="G68" s="94" t="s">
        <v>335</v>
      </c>
      <c r="H68" s="94" t="s">
        <v>232</v>
      </c>
      <c r="I68" s="94" t="s">
        <v>13</v>
      </c>
      <c r="J68" s="94" t="s">
        <v>218</v>
      </c>
      <c r="K68" s="95" t="s">
        <v>233</v>
      </c>
      <c r="L68" s="96">
        <v>71</v>
      </c>
      <c r="M68" s="96">
        <f>L68*VLOOKUP(I68,dagsoorttabel1,2,FALSE)</f>
        <v>28.400000000000002</v>
      </c>
      <c r="N68" s="97">
        <f>prodnorm14</f>
        <v>0</v>
      </c>
      <c r="O68" s="41">
        <f>dagwerk14</f>
        <v>0</v>
      </c>
      <c r="P68" s="94" t="s">
        <v>107</v>
      </c>
      <c r="Q68" s="26">
        <f>uurtarief14</f>
        <v>0</v>
      </c>
      <c r="R68" s="96" t="e">
        <f>IF(ISBLANK(N68),0,M68/ROUND(N68,4))</f>
        <v>#DIV/0!</v>
      </c>
      <c r="S68" s="96" t="e">
        <f>IF(ISBLANK(N68),0,R68*ROUND(O68,2))</f>
        <v>#DIV/0!</v>
      </c>
      <c r="T68" s="26" t="e">
        <f>ROUND(Q68,2)*R68</f>
        <v>#DIV/0!</v>
      </c>
      <c r="U68" s="96" t="e">
        <f>R68*dagenperjaar1</f>
        <v>#DIV/0!</v>
      </c>
      <c r="V68" s="27" t="e">
        <f>U68*ROUND(Q68,2)</f>
        <v>#DIV/0!</v>
      </c>
    </row>
    <row r="69" spans="1:22" x14ac:dyDescent="0.35">
      <c r="A69" s="93" t="s">
        <v>258</v>
      </c>
      <c r="B69" s="94" t="s">
        <v>40</v>
      </c>
      <c r="C69" s="94" t="s">
        <v>417</v>
      </c>
      <c r="D69" s="94" t="s">
        <v>431</v>
      </c>
      <c r="E69" s="94" t="s">
        <v>40</v>
      </c>
      <c r="F69" s="95" t="s">
        <v>432</v>
      </c>
      <c r="G69" s="94" t="s">
        <v>335</v>
      </c>
      <c r="H69" s="94" t="s">
        <v>232</v>
      </c>
      <c r="I69" s="94" t="s">
        <v>13</v>
      </c>
      <c r="J69" s="94" t="s">
        <v>218</v>
      </c>
      <c r="K69" s="95" t="s">
        <v>233</v>
      </c>
      <c r="L69" s="96">
        <v>99</v>
      </c>
      <c r="M69" s="96">
        <f>L69*VLOOKUP(I69,dagsoorttabel1,2,FALSE)</f>
        <v>39.6</v>
      </c>
      <c r="N69" s="97">
        <f>prodnorm14</f>
        <v>0</v>
      </c>
      <c r="O69" s="41">
        <f>dagwerk14</f>
        <v>0</v>
      </c>
      <c r="P69" s="94" t="s">
        <v>107</v>
      </c>
      <c r="Q69" s="26">
        <f>uurtarief14</f>
        <v>0</v>
      </c>
      <c r="R69" s="96" t="e">
        <f>IF(ISBLANK(N69),0,M69/ROUND(N69,4))</f>
        <v>#DIV/0!</v>
      </c>
      <c r="S69" s="96" t="e">
        <f>IF(ISBLANK(N69),0,R69*ROUND(O69,2))</f>
        <v>#DIV/0!</v>
      </c>
      <c r="T69" s="26" t="e">
        <f>ROUND(Q69,2)*R69</f>
        <v>#DIV/0!</v>
      </c>
      <c r="U69" s="96" t="e">
        <f>R69*dagenperjaar1</f>
        <v>#DIV/0!</v>
      </c>
      <c r="V69" s="27" t="e">
        <f>U69*ROUND(Q69,2)</f>
        <v>#DIV/0!</v>
      </c>
    </row>
    <row r="70" spans="1:22" x14ac:dyDescent="0.35">
      <c r="A70" s="93" t="s">
        <v>258</v>
      </c>
      <c r="B70" s="94" t="s">
        <v>40</v>
      </c>
      <c r="C70" s="94" t="s">
        <v>417</v>
      </c>
      <c r="D70" s="94" t="s">
        <v>433</v>
      </c>
      <c r="E70" s="94" t="s">
        <v>40</v>
      </c>
      <c r="F70" s="95" t="s">
        <v>434</v>
      </c>
      <c r="G70" s="94" t="s">
        <v>335</v>
      </c>
      <c r="H70" s="94" t="s">
        <v>236</v>
      </c>
      <c r="I70" s="94" t="s">
        <v>16</v>
      </c>
      <c r="J70" s="94" t="s">
        <v>218</v>
      </c>
      <c r="K70" s="95" t="s">
        <v>237</v>
      </c>
      <c r="L70" s="96">
        <v>52</v>
      </c>
      <c r="M70" s="96">
        <f>L70*VLOOKUP(I70,dagsoorttabel1,2,FALSE)</f>
        <v>2.447058823529412</v>
      </c>
      <c r="N70" s="97">
        <f>prodnorm16</f>
        <v>0</v>
      </c>
      <c r="O70" s="41">
        <f>dagwerk16</f>
        <v>0</v>
      </c>
      <c r="P70" s="94" t="s">
        <v>107</v>
      </c>
      <c r="Q70" s="26">
        <f>uurtarief16</f>
        <v>0</v>
      </c>
      <c r="R70" s="96" t="e">
        <f>IF(ISBLANK(N70),0,M70/ROUND(N70,4))</f>
        <v>#DIV/0!</v>
      </c>
      <c r="S70" s="96" t="e">
        <f>IF(ISBLANK(N70),0,R70*ROUND(O70,2))</f>
        <v>#DIV/0!</v>
      </c>
      <c r="T70" s="26" t="e">
        <f>ROUND(Q70,2)*R70</f>
        <v>#DIV/0!</v>
      </c>
      <c r="U70" s="96" t="e">
        <f>R70*dagenperjaar1</f>
        <v>#DIV/0!</v>
      </c>
      <c r="V70" s="27" t="e">
        <f>U70*ROUND(Q70,2)</f>
        <v>#DIV/0!</v>
      </c>
    </row>
    <row r="71" spans="1:22" x14ac:dyDescent="0.35">
      <c r="A71" s="93" t="s">
        <v>258</v>
      </c>
      <c r="B71" s="94" t="s">
        <v>40</v>
      </c>
      <c r="C71" s="94" t="s">
        <v>417</v>
      </c>
      <c r="D71" s="94" t="s">
        <v>435</v>
      </c>
      <c r="E71" s="94" t="s">
        <v>40</v>
      </c>
      <c r="F71" s="95" t="s">
        <v>436</v>
      </c>
      <c r="G71" s="94" t="s">
        <v>40</v>
      </c>
      <c r="H71" s="94" t="s">
        <v>316</v>
      </c>
      <c r="I71" s="94"/>
      <c r="J71" s="94"/>
      <c r="K71" s="94"/>
      <c r="L71" s="96">
        <v>224</v>
      </c>
      <c r="M71" s="96"/>
      <c r="N71" s="97"/>
      <c r="O71" s="41"/>
      <c r="P71" s="94"/>
      <c r="Q71" s="26"/>
      <c r="R71" s="96"/>
      <c r="S71" s="96"/>
      <c r="T71" s="26"/>
      <c r="U71" s="98"/>
      <c r="V71" s="27"/>
    </row>
    <row r="72" spans="1:22" x14ac:dyDescent="0.35">
      <c r="A72" s="93" t="s">
        <v>258</v>
      </c>
      <c r="B72" s="94" t="s">
        <v>40</v>
      </c>
      <c r="C72" s="94" t="s">
        <v>417</v>
      </c>
      <c r="D72" s="94" t="s">
        <v>437</v>
      </c>
      <c r="E72" s="94" t="s">
        <v>40</v>
      </c>
      <c r="F72" s="95" t="s">
        <v>438</v>
      </c>
      <c r="G72" s="94" t="s">
        <v>335</v>
      </c>
      <c r="H72" s="94" t="s">
        <v>217</v>
      </c>
      <c r="I72" s="94" t="s">
        <v>10</v>
      </c>
      <c r="J72" s="94" t="s">
        <v>218</v>
      </c>
      <c r="K72" s="95" t="s">
        <v>219</v>
      </c>
      <c r="L72" s="96">
        <v>17</v>
      </c>
      <c r="M72" s="96">
        <f>L72*VLOOKUP(I72,dagsoorttabel1,2,FALSE)</f>
        <v>17</v>
      </c>
      <c r="N72" s="97">
        <f>prodnorm6</f>
        <v>0</v>
      </c>
      <c r="O72" s="41">
        <f>dagwerk6</f>
        <v>0</v>
      </c>
      <c r="P72" s="94" t="s">
        <v>107</v>
      </c>
      <c r="Q72" s="26">
        <f>uurtarief6</f>
        <v>0</v>
      </c>
      <c r="R72" s="96" t="e">
        <f>IF(ISBLANK(N72),0,M72/ROUND(N72,4))</f>
        <v>#DIV/0!</v>
      </c>
      <c r="S72" s="96" t="e">
        <f>IF(ISBLANK(N72),0,R72*ROUND(O72,2))</f>
        <v>#DIV/0!</v>
      </c>
      <c r="T72" s="26" t="e">
        <f>ROUND(Q72,2)*R72</f>
        <v>#DIV/0!</v>
      </c>
      <c r="U72" s="96" t="e">
        <f>R72*dagenperjaar1</f>
        <v>#DIV/0!</v>
      </c>
      <c r="V72" s="27" t="e">
        <f>U72*ROUND(Q72,2)</f>
        <v>#DIV/0!</v>
      </c>
    </row>
    <row r="73" spans="1:22" x14ac:dyDescent="0.35">
      <c r="A73" s="93" t="s">
        <v>258</v>
      </c>
      <c r="B73" s="94" t="s">
        <v>40</v>
      </c>
      <c r="C73" s="94" t="s">
        <v>417</v>
      </c>
      <c r="D73" s="94" t="s">
        <v>439</v>
      </c>
      <c r="E73" s="94" t="s">
        <v>40</v>
      </c>
      <c r="F73" s="95" t="s">
        <v>440</v>
      </c>
      <c r="G73" s="94" t="s">
        <v>441</v>
      </c>
      <c r="H73" s="94" t="s">
        <v>316</v>
      </c>
      <c r="I73" s="94"/>
      <c r="J73" s="94"/>
      <c r="K73" s="94"/>
      <c r="L73" s="96">
        <v>104</v>
      </c>
      <c r="M73" s="96"/>
      <c r="N73" s="97"/>
      <c r="O73" s="41"/>
      <c r="P73" s="94"/>
      <c r="Q73" s="26"/>
      <c r="R73" s="96"/>
      <c r="S73" s="96"/>
      <c r="T73" s="26"/>
      <c r="U73" s="98"/>
      <c r="V73" s="27"/>
    </row>
    <row r="74" spans="1:22" x14ac:dyDescent="0.35">
      <c r="A74" s="93" t="s">
        <v>258</v>
      </c>
      <c r="B74" s="94" t="s">
        <v>40</v>
      </c>
      <c r="C74" s="94" t="s">
        <v>417</v>
      </c>
      <c r="D74" s="94" t="s">
        <v>442</v>
      </c>
      <c r="E74" s="94" t="s">
        <v>40</v>
      </c>
      <c r="F74" s="95" t="s">
        <v>443</v>
      </c>
      <c r="G74" s="94" t="s">
        <v>40</v>
      </c>
      <c r="H74" s="94" t="s">
        <v>316</v>
      </c>
      <c r="I74" s="94"/>
      <c r="J74" s="94"/>
      <c r="K74" s="94"/>
      <c r="L74" s="96">
        <v>543</v>
      </c>
      <c r="M74" s="96"/>
      <c r="N74" s="97"/>
      <c r="O74" s="41"/>
      <c r="P74" s="94"/>
      <c r="Q74" s="26"/>
      <c r="R74" s="96"/>
      <c r="S74" s="96"/>
      <c r="T74" s="26"/>
      <c r="U74" s="98"/>
      <c r="V74" s="27"/>
    </row>
    <row r="75" spans="1:22" x14ac:dyDescent="0.35">
      <c r="A75" s="93" t="s">
        <v>258</v>
      </c>
      <c r="B75" s="94" t="s">
        <v>40</v>
      </c>
      <c r="C75" s="94" t="s">
        <v>417</v>
      </c>
      <c r="D75" s="94" t="s">
        <v>444</v>
      </c>
      <c r="E75" s="94" t="s">
        <v>40</v>
      </c>
      <c r="F75" s="95" t="s">
        <v>443</v>
      </c>
      <c r="G75" s="94" t="s">
        <v>40</v>
      </c>
      <c r="H75" s="94" t="s">
        <v>316</v>
      </c>
      <c r="I75" s="94"/>
      <c r="J75" s="94"/>
      <c r="K75" s="94"/>
      <c r="L75" s="96">
        <v>244</v>
      </c>
      <c r="M75" s="96"/>
      <c r="N75" s="97"/>
      <c r="O75" s="41"/>
      <c r="P75" s="94"/>
      <c r="Q75" s="26"/>
      <c r="R75" s="96"/>
      <c r="S75" s="96"/>
      <c r="T75" s="26"/>
      <c r="U75" s="98"/>
      <c r="V75" s="27"/>
    </row>
    <row r="76" spans="1:22" x14ac:dyDescent="0.35">
      <c r="A76" s="93" t="s">
        <v>258</v>
      </c>
      <c r="B76" s="94" t="s">
        <v>40</v>
      </c>
      <c r="C76" s="94" t="s">
        <v>417</v>
      </c>
      <c r="D76" s="94" t="s">
        <v>445</v>
      </c>
      <c r="E76" s="94" t="s">
        <v>40</v>
      </c>
      <c r="F76" s="95" t="s">
        <v>446</v>
      </c>
      <c r="G76" s="94" t="s">
        <v>40</v>
      </c>
      <c r="H76" s="94" t="s">
        <v>316</v>
      </c>
      <c r="I76" s="94"/>
      <c r="J76" s="94"/>
      <c r="K76" s="94"/>
      <c r="L76" s="96">
        <v>231</v>
      </c>
      <c r="M76" s="96"/>
      <c r="N76" s="97"/>
      <c r="O76" s="41"/>
      <c r="P76" s="94"/>
      <c r="Q76" s="26"/>
      <c r="R76" s="96"/>
      <c r="S76" s="96"/>
      <c r="T76" s="26"/>
      <c r="U76" s="98"/>
      <c r="V76" s="27"/>
    </row>
    <row r="77" spans="1:22" x14ac:dyDescent="0.35">
      <c r="A77" s="93" t="s">
        <v>258</v>
      </c>
      <c r="B77" s="94" t="s">
        <v>40</v>
      </c>
      <c r="C77" s="94" t="s">
        <v>417</v>
      </c>
      <c r="D77" s="94" t="s">
        <v>447</v>
      </c>
      <c r="E77" s="94" t="s">
        <v>40</v>
      </c>
      <c r="F77" s="95" t="s">
        <v>448</v>
      </c>
      <c r="G77" s="94" t="s">
        <v>40</v>
      </c>
      <c r="H77" s="94" t="s">
        <v>316</v>
      </c>
      <c r="I77" s="94"/>
      <c r="J77" s="94"/>
      <c r="K77" s="94"/>
      <c r="L77" s="96">
        <v>335</v>
      </c>
      <c r="M77" s="96"/>
      <c r="N77" s="97"/>
      <c r="O77" s="41"/>
      <c r="P77" s="94"/>
      <c r="Q77" s="26"/>
      <c r="R77" s="96"/>
      <c r="S77" s="96"/>
      <c r="T77" s="26"/>
      <c r="U77" s="98"/>
      <c r="V77" s="27"/>
    </row>
    <row r="78" spans="1:22" x14ac:dyDescent="0.35">
      <c r="A78" s="93" t="s">
        <v>258</v>
      </c>
      <c r="B78" s="94" t="s">
        <v>40</v>
      </c>
      <c r="C78" s="94" t="s">
        <v>417</v>
      </c>
      <c r="D78" s="94" t="s">
        <v>449</v>
      </c>
      <c r="E78" s="94" t="s">
        <v>40</v>
      </c>
      <c r="F78" s="95" t="s">
        <v>450</v>
      </c>
      <c r="G78" s="94" t="s">
        <v>40</v>
      </c>
      <c r="H78" s="94" t="s">
        <v>316</v>
      </c>
      <c r="I78" s="94"/>
      <c r="J78" s="94"/>
      <c r="K78" s="94"/>
      <c r="L78" s="96">
        <v>347</v>
      </c>
      <c r="M78" s="96"/>
      <c r="N78" s="97"/>
      <c r="O78" s="41"/>
      <c r="P78" s="94"/>
      <c r="Q78" s="26"/>
      <c r="R78" s="96"/>
      <c r="S78" s="96"/>
      <c r="T78" s="26"/>
      <c r="U78" s="98"/>
      <c r="V78" s="27"/>
    </row>
    <row r="79" spans="1:22" x14ac:dyDescent="0.35">
      <c r="A79" s="93" t="s">
        <v>258</v>
      </c>
      <c r="B79" s="94" t="s">
        <v>40</v>
      </c>
      <c r="C79" s="94" t="s">
        <v>417</v>
      </c>
      <c r="D79" s="94" t="s">
        <v>451</v>
      </c>
      <c r="E79" s="94" t="s">
        <v>40</v>
      </c>
      <c r="F79" s="95" t="s">
        <v>452</v>
      </c>
      <c r="G79" s="94" t="s">
        <v>40</v>
      </c>
      <c r="H79" s="94" t="s">
        <v>316</v>
      </c>
      <c r="I79" s="94"/>
      <c r="J79" s="94"/>
      <c r="K79" s="94"/>
      <c r="L79" s="96">
        <v>12</v>
      </c>
      <c r="M79" s="96"/>
      <c r="N79" s="97"/>
      <c r="O79" s="41"/>
      <c r="P79" s="94"/>
      <c r="Q79" s="26"/>
      <c r="R79" s="96"/>
      <c r="S79" s="96"/>
      <c r="T79" s="26"/>
      <c r="U79" s="98"/>
      <c r="V79" s="27"/>
    </row>
    <row r="80" spans="1:22" x14ac:dyDescent="0.35">
      <c r="A80" s="93" t="s">
        <v>258</v>
      </c>
      <c r="B80" s="94" t="s">
        <v>40</v>
      </c>
      <c r="C80" s="94" t="s">
        <v>417</v>
      </c>
      <c r="D80" s="94" t="s">
        <v>453</v>
      </c>
      <c r="E80" s="94" t="s">
        <v>40</v>
      </c>
      <c r="F80" s="95" t="s">
        <v>454</v>
      </c>
      <c r="G80" s="94" t="s">
        <v>40</v>
      </c>
      <c r="H80" s="94" t="s">
        <v>316</v>
      </c>
      <c r="I80" s="94"/>
      <c r="J80" s="94"/>
      <c r="K80" s="94"/>
      <c r="L80" s="96">
        <v>140</v>
      </c>
      <c r="M80" s="96"/>
      <c r="N80" s="97"/>
      <c r="O80" s="41"/>
      <c r="P80" s="94"/>
      <c r="Q80" s="26"/>
      <c r="R80" s="96"/>
      <c r="S80" s="96"/>
      <c r="T80" s="26"/>
      <c r="U80" s="98"/>
      <c r="V80" s="27"/>
    </row>
    <row r="81" spans="1:22" x14ac:dyDescent="0.35">
      <c r="A81" s="93" t="s">
        <v>258</v>
      </c>
      <c r="B81" s="94" t="s">
        <v>40</v>
      </c>
      <c r="C81" s="94" t="s">
        <v>417</v>
      </c>
      <c r="D81" s="94" t="s">
        <v>455</v>
      </c>
      <c r="E81" s="94" t="s">
        <v>40</v>
      </c>
      <c r="F81" s="95" t="s">
        <v>456</v>
      </c>
      <c r="G81" s="94" t="s">
        <v>40</v>
      </c>
      <c r="H81" s="94" t="s">
        <v>316</v>
      </c>
      <c r="I81" s="94"/>
      <c r="J81" s="94"/>
      <c r="K81" s="94"/>
      <c r="L81" s="96">
        <v>177</v>
      </c>
      <c r="M81" s="96"/>
      <c r="N81" s="97"/>
      <c r="O81" s="41"/>
      <c r="P81" s="94"/>
      <c r="Q81" s="26"/>
      <c r="R81" s="96"/>
      <c r="S81" s="96"/>
      <c r="T81" s="26"/>
      <c r="U81" s="98"/>
      <c r="V81" s="27"/>
    </row>
    <row r="82" spans="1:22" ht="29" x14ac:dyDescent="0.35">
      <c r="A82" s="93" t="s">
        <v>258</v>
      </c>
      <c r="B82" s="94" t="s">
        <v>40</v>
      </c>
      <c r="C82" s="94" t="s">
        <v>417</v>
      </c>
      <c r="D82" s="94" t="s">
        <v>457</v>
      </c>
      <c r="E82" s="94" t="s">
        <v>40</v>
      </c>
      <c r="F82" s="95" t="s">
        <v>458</v>
      </c>
      <c r="G82" s="94" t="s">
        <v>335</v>
      </c>
      <c r="H82" s="94" t="s">
        <v>232</v>
      </c>
      <c r="I82" s="94" t="s">
        <v>13</v>
      </c>
      <c r="J82" s="94" t="s">
        <v>218</v>
      </c>
      <c r="K82" s="95" t="s">
        <v>233</v>
      </c>
      <c r="L82" s="96">
        <v>120</v>
      </c>
      <c r="M82" s="96">
        <f>L82*VLOOKUP(I82,dagsoorttabel1,2,FALSE)</f>
        <v>48</v>
      </c>
      <c r="N82" s="97">
        <f>prodnorm14</f>
        <v>0</v>
      </c>
      <c r="O82" s="41">
        <f>dagwerk14</f>
        <v>0</v>
      </c>
      <c r="P82" s="94" t="s">
        <v>107</v>
      </c>
      <c r="Q82" s="26">
        <f>uurtarief14</f>
        <v>0</v>
      </c>
      <c r="R82" s="96" t="e">
        <f>IF(ISBLANK(N82),0,M82/ROUND(N82,4))</f>
        <v>#DIV/0!</v>
      </c>
      <c r="S82" s="96" t="e">
        <f>IF(ISBLANK(N82),0,R82*ROUND(O82,2))</f>
        <v>#DIV/0!</v>
      </c>
      <c r="T82" s="26" t="e">
        <f>ROUND(Q82,2)*R82</f>
        <v>#DIV/0!</v>
      </c>
      <c r="U82" s="96" t="e">
        <f>R82*dagenperjaar1</f>
        <v>#DIV/0!</v>
      </c>
      <c r="V82" s="27" t="e">
        <f>U82*ROUND(Q82,2)</f>
        <v>#DIV/0!</v>
      </c>
    </row>
    <row r="83" spans="1:22" x14ac:dyDescent="0.35">
      <c r="A83" s="93" t="s">
        <v>258</v>
      </c>
      <c r="B83" s="94" t="s">
        <v>40</v>
      </c>
      <c r="C83" s="94" t="s">
        <v>417</v>
      </c>
      <c r="D83" s="94" t="s">
        <v>459</v>
      </c>
      <c r="E83" s="94" t="s">
        <v>40</v>
      </c>
      <c r="F83" s="95" t="s">
        <v>411</v>
      </c>
      <c r="G83" s="94" t="s">
        <v>366</v>
      </c>
      <c r="H83" s="94" t="s">
        <v>246</v>
      </c>
      <c r="I83" s="94" t="s">
        <v>10</v>
      </c>
      <c r="J83" s="94" t="s">
        <v>218</v>
      </c>
      <c r="K83" s="95" t="s">
        <v>247</v>
      </c>
      <c r="L83" s="96">
        <v>179</v>
      </c>
      <c r="M83" s="96">
        <f>L83*VLOOKUP(I83,dagsoorttabel1,2,FALSE)</f>
        <v>179</v>
      </c>
      <c r="N83" s="97">
        <f>prodnorm26</f>
        <v>0</v>
      </c>
      <c r="O83" s="41">
        <f>dagwerk26</f>
        <v>0</v>
      </c>
      <c r="P83" s="94" t="s">
        <v>107</v>
      </c>
      <c r="Q83" s="26">
        <f>uurtarief26</f>
        <v>0</v>
      </c>
      <c r="R83" s="96" t="e">
        <f>IF(ISBLANK(N83),0,M83/ROUND(N83,4))</f>
        <v>#DIV/0!</v>
      </c>
      <c r="S83" s="96" t="e">
        <f>IF(ISBLANK(N83),0,R83*ROUND(O83,2))</f>
        <v>#DIV/0!</v>
      </c>
      <c r="T83" s="26" t="e">
        <f>ROUND(Q83,2)*R83</f>
        <v>#DIV/0!</v>
      </c>
      <c r="U83" s="96" t="e">
        <f>R83*dagenperjaar1</f>
        <v>#DIV/0!</v>
      </c>
      <c r="V83" s="27" t="e">
        <f>U83*ROUND(Q83,2)</f>
        <v>#DIV/0!</v>
      </c>
    </row>
    <row r="84" spans="1:22" x14ac:dyDescent="0.35">
      <c r="A84" s="93" t="s">
        <v>258</v>
      </c>
      <c r="B84" s="94" t="s">
        <v>40</v>
      </c>
      <c r="C84" s="94" t="s">
        <v>460</v>
      </c>
      <c r="D84" s="94" t="s">
        <v>461</v>
      </c>
      <c r="E84" s="94" t="s">
        <v>40</v>
      </c>
      <c r="F84" s="95" t="s">
        <v>311</v>
      </c>
      <c r="G84" s="94" t="s">
        <v>40</v>
      </c>
      <c r="H84" s="94" t="s">
        <v>316</v>
      </c>
      <c r="I84" s="94"/>
      <c r="J84" s="94"/>
      <c r="K84" s="94"/>
      <c r="L84" s="96">
        <v>9</v>
      </c>
      <c r="M84" s="96"/>
      <c r="N84" s="97"/>
      <c r="O84" s="41"/>
      <c r="P84" s="94"/>
      <c r="Q84" s="26"/>
      <c r="R84" s="96"/>
      <c r="S84" s="96"/>
      <c r="T84" s="26"/>
      <c r="U84" s="98"/>
      <c r="V84" s="27"/>
    </row>
    <row r="85" spans="1:22" x14ac:dyDescent="0.35">
      <c r="A85" s="93" t="s">
        <v>258</v>
      </c>
      <c r="B85" s="94" t="s">
        <v>40</v>
      </c>
      <c r="C85" s="94" t="s">
        <v>460</v>
      </c>
      <c r="D85" s="94" t="s">
        <v>462</v>
      </c>
      <c r="E85" s="94" t="s">
        <v>40</v>
      </c>
      <c r="F85" s="95" t="s">
        <v>311</v>
      </c>
      <c r="G85" s="94" t="s">
        <v>40</v>
      </c>
      <c r="H85" s="94" t="s">
        <v>316</v>
      </c>
      <c r="I85" s="94"/>
      <c r="J85" s="94"/>
      <c r="K85" s="94"/>
      <c r="L85" s="96">
        <v>9</v>
      </c>
      <c r="M85" s="96"/>
      <c r="N85" s="97"/>
      <c r="O85" s="41"/>
      <c r="P85" s="94"/>
      <c r="Q85" s="26"/>
      <c r="R85" s="96"/>
      <c r="S85" s="96"/>
      <c r="T85" s="26"/>
      <c r="U85" s="98"/>
      <c r="V85" s="27"/>
    </row>
    <row r="86" spans="1:22" x14ac:dyDescent="0.35">
      <c r="A86" s="93" t="s">
        <v>258</v>
      </c>
      <c r="B86" s="94" t="s">
        <v>40</v>
      </c>
      <c r="C86" s="94" t="s">
        <v>460</v>
      </c>
      <c r="D86" s="94" t="s">
        <v>463</v>
      </c>
      <c r="E86" s="94" t="s">
        <v>40</v>
      </c>
      <c r="F86" s="95" t="s">
        <v>325</v>
      </c>
      <c r="G86" s="94" t="s">
        <v>40</v>
      </c>
      <c r="H86" s="94" t="s">
        <v>316</v>
      </c>
      <c r="I86" s="94"/>
      <c r="J86" s="94"/>
      <c r="K86" s="94"/>
      <c r="L86" s="96">
        <v>16</v>
      </c>
      <c r="M86" s="96"/>
      <c r="N86" s="97"/>
      <c r="O86" s="41"/>
      <c r="P86" s="94"/>
      <c r="Q86" s="26"/>
      <c r="R86" s="96"/>
      <c r="S86" s="96"/>
      <c r="T86" s="26"/>
      <c r="U86" s="98"/>
      <c r="V86" s="27"/>
    </row>
    <row r="87" spans="1:22" x14ac:dyDescent="0.35">
      <c r="A87" s="99" t="s">
        <v>258</v>
      </c>
      <c r="B87" s="100" t="s">
        <v>40</v>
      </c>
      <c r="C87" s="100" t="s">
        <v>460</v>
      </c>
      <c r="D87" s="100" t="s">
        <v>464</v>
      </c>
      <c r="E87" s="100" t="s">
        <v>40</v>
      </c>
      <c r="F87" s="101" t="s">
        <v>465</v>
      </c>
      <c r="G87" s="100" t="s">
        <v>40</v>
      </c>
      <c r="H87" s="100" t="s">
        <v>316</v>
      </c>
      <c r="I87" s="100"/>
      <c r="J87" s="100"/>
      <c r="K87" s="100"/>
      <c r="L87" s="102">
        <v>878</v>
      </c>
      <c r="M87" s="102"/>
      <c r="N87" s="103"/>
      <c r="O87" s="104"/>
      <c r="P87" s="100"/>
      <c r="Q87" s="36"/>
      <c r="R87" s="102"/>
      <c r="S87" s="102"/>
      <c r="T87" s="36"/>
      <c r="U87" s="105"/>
      <c r="V87" s="37"/>
    </row>
    <row r="88" spans="1:22" x14ac:dyDescent="0.35">
      <c r="A88" s="106" t="s">
        <v>466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8" t="e">
        <f>IF(_xlfn.SINGLE(object1_urenjaar1)&gt;0,_xlfn.SINGLE(object1_prijsjaar1)/_xlfn.SINGLE(object1_urenjaar1),0)</f>
        <v>#DIV/0!</v>
      </c>
      <c r="R88" s="77" t="e">
        <f>SUM(R5:R87)</f>
        <v>#DIV/0!</v>
      </c>
      <c r="S88" s="77" t="e">
        <f>SUM(S5:S87)</f>
        <v>#DIV/0!</v>
      </c>
      <c r="T88" s="78" t="e">
        <f>SUM(T5:T87)</f>
        <v>#DIV/0!</v>
      </c>
      <c r="U88" s="77" t="e">
        <f>SUM(U5:U87)</f>
        <v>#DIV/0!</v>
      </c>
      <c r="V88" s="79" t="e">
        <f>SUM(V5:V87)</f>
        <v>#DIV/0!</v>
      </c>
    </row>
    <row r="89" spans="1:22" x14ac:dyDescent="0.35">
      <c r="A89" s="84" t="s">
        <v>467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74"/>
    </row>
    <row r="90" spans="1:22" ht="29" x14ac:dyDescent="0.35">
      <c r="A90" s="85" t="s">
        <v>468</v>
      </c>
      <c r="B90" s="86" t="s">
        <v>40</v>
      </c>
      <c r="C90" s="86" t="s">
        <v>40</v>
      </c>
      <c r="D90" s="86" t="s">
        <v>40</v>
      </c>
      <c r="E90" s="86" t="s">
        <v>40</v>
      </c>
      <c r="F90" s="87" t="s">
        <v>469</v>
      </c>
      <c r="G90" s="86" t="s">
        <v>40</v>
      </c>
      <c r="H90" s="86" t="s">
        <v>262</v>
      </c>
      <c r="I90" s="86" t="s">
        <v>10</v>
      </c>
      <c r="J90" s="86" t="s">
        <v>259</v>
      </c>
      <c r="K90" s="87" t="s">
        <v>263</v>
      </c>
      <c r="L90" s="88">
        <v>1.25</v>
      </c>
      <c r="M90" s="88">
        <f>L90*VLOOKUP(I90,dagsoorttabel1,2,FALSE)</f>
        <v>1.25</v>
      </c>
      <c r="N90" s="89"/>
      <c r="O90" s="90">
        <f>dagwerk2</f>
        <v>0</v>
      </c>
      <c r="P90" s="86" t="s">
        <v>261</v>
      </c>
      <c r="Q90" s="91">
        <f>uurtarief2</f>
        <v>0</v>
      </c>
      <c r="R90" s="88">
        <f>M90</f>
        <v>1.25</v>
      </c>
      <c r="S90" s="88">
        <f>R90*ROUND(O90,2)</f>
        <v>0</v>
      </c>
      <c r="T90" s="91">
        <f>ROUND(Q90,2)*R90</f>
        <v>0</v>
      </c>
      <c r="U90" s="88">
        <f>R90*dagenperjaar1</f>
        <v>318.75</v>
      </c>
      <c r="V90" s="92">
        <f>U90*ROUND(Q90,2)</f>
        <v>0</v>
      </c>
    </row>
    <row r="91" spans="1:22" x14ac:dyDescent="0.35">
      <c r="A91" s="93" t="s">
        <v>468</v>
      </c>
      <c r="B91" s="94" t="s">
        <v>40</v>
      </c>
      <c r="C91" s="94" t="s">
        <v>470</v>
      </c>
      <c r="D91" s="94" t="s">
        <v>471</v>
      </c>
      <c r="E91" s="94" t="s">
        <v>40</v>
      </c>
      <c r="F91" s="95" t="s">
        <v>424</v>
      </c>
      <c r="G91" s="94" t="s">
        <v>40</v>
      </c>
      <c r="H91" s="94" t="s">
        <v>316</v>
      </c>
      <c r="I91" s="94"/>
      <c r="J91" s="94"/>
      <c r="K91" s="94"/>
      <c r="L91" s="96">
        <v>0</v>
      </c>
      <c r="M91" s="96"/>
      <c r="N91" s="97"/>
      <c r="O91" s="41"/>
      <c r="P91" s="94"/>
      <c r="Q91" s="26"/>
      <c r="R91" s="96"/>
      <c r="S91" s="96"/>
      <c r="T91" s="26"/>
      <c r="U91" s="98"/>
      <c r="V91" s="27"/>
    </row>
    <row r="92" spans="1:22" x14ac:dyDescent="0.35">
      <c r="A92" s="93" t="s">
        <v>468</v>
      </c>
      <c r="B92" s="94" t="s">
        <v>40</v>
      </c>
      <c r="C92" s="94" t="s">
        <v>470</v>
      </c>
      <c r="D92" s="94" t="s">
        <v>472</v>
      </c>
      <c r="E92" s="94" t="s">
        <v>40</v>
      </c>
      <c r="F92" s="95" t="s">
        <v>473</v>
      </c>
      <c r="G92" s="94" t="s">
        <v>40</v>
      </c>
      <c r="H92" s="94" t="s">
        <v>316</v>
      </c>
      <c r="I92" s="94"/>
      <c r="J92" s="94"/>
      <c r="K92" s="94"/>
      <c r="L92" s="96">
        <v>0</v>
      </c>
      <c r="M92" s="96"/>
      <c r="N92" s="97"/>
      <c r="O92" s="41"/>
      <c r="P92" s="94"/>
      <c r="Q92" s="26"/>
      <c r="R92" s="96"/>
      <c r="S92" s="96"/>
      <c r="T92" s="26"/>
      <c r="U92" s="98"/>
      <c r="V92" s="27"/>
    </row>
    <row r="93" spans="1:22" x14ac:dyDescent="0.35">
      <c r="A93" s="93" t="s">
        <v>468</v>
      </c>
      <c r="B93" s="94" t="s">
        <v>40</v>
      </c>
      <c r="C93" s="94" t="s">
        <v>470</v>
      </c>
      <c r="D93" s="94" t="s">
        <v>474</v>
      </c>
      <c r="E93" s="94" t="s">
        <v>40</v>
      </c>
      <c r="F93" s="95" t="s">
        <v>475</v>
      </c>
      <c r="G93" s="94" t="s">
        <v>335</v>
      </c>
      <c r="H93" s="94" t="s">
        <v>256</v>
      </c>
      <c r="I93" s="94" t="s">
        <v>13</v>
      </c>
      <c r="J93" s="94" t="s">
        <v>218</v>
      </c>
      <c r="K93" s="95" t="s">
        <v>257</v>
      </c>
      <c r="L93" s="96">
        <v>24</v>
      </c>
      <c r="M93" s="96">
        <f>L93*VLOOKUP(I93,dagsoorttabel1,2,FALSE)</f>
        <v>9.6000000000000014</v>
      </c>
      <c r="N93" s="97">
        <f>prodnorm37</f>
        <v>0</v>
      </c>
      <c r="O93" s="41">
        <f>dagwerk37</f>
        <v>0</v>
      </c>
      <c r="P93" s="94" t="s">
        <v>107</v>
      </c>
      <c r="Q93" s="26">
        <f>uurtarief37</f>
        <v>0</v>
      </c>
      <c r="R93" s="96" t="e">
        <f>IF(ISBLANK(N93),0,M93/ROUND(N93,4))</f>
        <v>#DIV/0!</v>
      </c>
      <c r="S93" s="96" t="e">
        <f>IF(ISBLANK(N93),0,R93*ROUND(O93,2))</f>
        <v>#DIV/0!</v>
      </c>
      <c r="T93" s="26" t="e">
        <f>ROUND(Q93,2)*R93</f>
        <v>#DIV/0!</v>
      </c>
      <c r="U93" s="96" t="e">
        <f>R93*dagenperjaar1</f>
        <v>#DIV/0!</v>
      </c>
      <c r="V93" s="27" t="e">
        <f>U93*ROUND(Q93,2)</f>
        <v>#DIV/0!</v>
      </c>
    </row>
    <row r="94" spans="1:22" x14ac:dyDescent="0.35">
      <c r="A94" s="93" t="s">
        <v>468</v>
      </c>
      <c r="B94" s="94" t="s">
        <v>40</v>
      </c>
      <c r="C94" s="94" t="s">
        <v>470</v>
      </c>
      <c r="D94" s="94" t="s">
        <v>476</v>
      </c>
      <c r="E94" s="94" t="s">
        <v>40</v>
      </c>
      <c r="F94" s="95" t="s">
        <v>477</v>
      </c>
      <c r="G94" s="94" t="s">
        <v>40</v>
      </c>
      <c r="H94" s="94" t="s">
        <v>316</v>
      </c>
      <c r="I94" s="94"/>
      <c r="J94" s="94"/>
      <c r="K94" s="94"/>
      <c r="L94" s="96">
        <v>0</v>
      </c>
      <c r="M94" s="96"/>
      <c r="N94" s="97"/>
      <c r="O94" s="41"/>
      <c r="P94" s="94"/>
      <c r="Q94" s="26"/>
      <c r="R94" s="96"/>
      <c r="S94" s="96"/>
      <c r="T94" s="26"/>
      <c r="U94" s="98"/>
      <c r="V94" s="27"/>
    </row>
    <row r="95" spans="1:22" x14ac:dyDescent="0.35">
      <c r="A95" s="93" t="s">
        <v>468</v>
      </c>
      <c r="B95" s="94" t="s">
        <v>40</v>
      </c>
      <c r="C95" s="94" t="s">
        <v>470</v>
      </c>
      <c r="D95" s="94" t="s">
        <v>478</v>
      </c>
      <c r="E95" s="94" t="s">
        <v>40</v>
      </c>
      <c r="F95" s="95" t="s">
        <v>479</v>
      </c>
      <c r="G95" s="94" t="s">
        <v>40</v>
      </c>
      <c r="H95" s="94" t="s">
        <v>316</v>
      </c>
      <c r="I95" s="94"/>
      <c r="J95" s="94"/>
      <c r="K95" s="94"/>
      <c r="L95" s="96">
        <v>0</v>
      </c>
      <c r="M95" s="96"/>
      <c r="N95" s="97"/>
      <c r="O95" s="41"/>
      <c r="P95" s="94"/>
      <c r="Q95" s="26"/>
      <c r="R95" s="96"/>
      <c r="S95" s="96"/>
      <c r="T95" s="26"/>
      <c r="U95" s="98"/>
      <c r="V95" s="27"/>
    </row>
    <row r="96" spans="1:22" x14ac:dyDescent="0.35">
      <c r="A96" s="93" t="s">
        <v>468</v>
      </c>
      <c r="B96" s="94" t="s">
        <v>40</v>
      </c>
      <c r="C96" s="94" t="s">
        <v>470</v>
      </c>
      <c r="D96" s="94" t="s">
        <v>480</v>
      </c>
      <c r="E96" s="94" t="s">
        <v>40</v>
      </c>
      <c r="F96" s="95" t="s">
        <v>481</v>
      </c>
      <c r="G96" s="94" t="s">
        <v>40</v>
      </c>
      <c r="H96" s="94" t="s">
        <v>316</v>
      </c>
      <c r="I96" s="94"/>
      <c r="J96" s="94"/>
      <c r="K96" s="94"/>
      <c r="L96" s="96">
        <v>0</v>
      </c>
      <c r="M96" s="96"/>
      <c r="N96" s="97"/>
      <c r="O96" s="41"/>
      <c r="P96" s="94"/>
      <c r="Q96" s="26"/>
      <c r="R96" s="96"/>
      <c r="S96" s="96"/>
      <c r="T96" s="26"/>
      <c r="U96" s="98"/>
      <c r="V96" s="27"/>
    </row>
    <row r="97" spans="1:22" x14ac:dyDescent="0.35">
      <c r="A97" s="93" t="s">
        <v>468</v>
      </c>
      <c r="B97" s="94" t="s">
        <v>40</v>
      </c>
      <c r="C97" s="94" t="s">
        <v>470</v>
      </c>
      <c r="D97" s="94" t="s">
        <v>482</v>
      </c>
      <c r="E97" s="94" t="s">
        <v>40</v>
      </c>
      <c r="F97" s="95" t="s">
        <v>411</v>
      </c>
      <c r="G97" s="94" t="s">
        <v>483</v>
      </c>
      <c r="H97" s="94" t="s">
        <v>246</v>
      </c>
      <c r="I97" s="94" t="s">
        <v>10</v>
      </c>
      <c r="J97" s="94" t="s">
        <v>218</v>
      </c>
      <c r="K97" s="95" t="s">
        <v>247</v>
      </c>
      <c r="L97" s="96">
        <v>155</v>
      </c>
      <c r="M97" s="96">
        <f>L97*VLOOKUP(I97,dagsoorttabel1,2,FALSE)</f>
        <v>155</v>
      </c>
      <c r="N97" s="97">
        <f>prodnorm26</f>
        <v>0</v>
      </c>
      <c r="O97" s="41">
        <f>dagwerk26</f>
        <v>0</v>
      </c>
      <c r="P97" s="94" t="s">
        <v>107</v>
      </c>
      <c r="Q97" s="26">
        <f>uurtarief26</f>
        <v>0</v>
      </c>
      <c r="R97" s="96" t="e">
        <f>IF(ISBLANK(N97),0,M97/ROUND(N97,4))</f>
        <v>#DIV/0!</v>
      </c>
      <c r="S97" s="96" t="e">
        <f>IF(ISBLANK(N97),0,R97*ROUND(O97,2))</f>
        <v>#DIV/0!</v>
      </c>
      <c r="T97" s="26" t="e">
        <f>ROUND(Q97,2)*R97</f>
        <v>#DIV/0!</v>
      </c>
      <c r="U97" s="96" t="e">
        <f>R97*dagenperjaar1</f>
        <v>#DIV/0!</v>
      </c>
      <c r="V97" s="27" t="e">
        <f>U97*ROUND(Q97,2)</f>
        <v>#DIV/0!</v>
      </c>
    </row>
    <row r="98" spans="1:22" x14ac:dyDescent="0.35">
      <c r="A98" s="93" t="s">
        <v>468</v>
      </c>
      <c r="B98" s="94" t="s">
        <v>40</v>
      </c>
      <c r="C98" s="94" t="s">
        <v>470</v>
      </c>
      <c r="D98" s="94" t="s">
        <v>484</v>
      </c>
      <c r="E98" s="94" t="s">
        <v>40</v>
      </c>
      <c r="F98" s="95" t="s">
        <v>485</v>
      </c>
      <c r="G98" s="94" t="s">
        <v>483</v>
      </c>
      <c r="H98" s="94" t="s">
        <v>236</v>
      </c>
      <c r="I98" s="94" t="s">
        <v>16</v>
      </c>
      <c r="J98" s="94" t="s">
        <v>218</v>
      </c>
      <c r="K98" s="95" t="s">
        <v>237</v>
      </c>
      <c r="L98" s="96">
        <v>57</v>
      </c>
      <c r="M98" s="96">
        <f>L98*VLOOKUP(I98,dagsoorttabel1,2,FALSE)</f>
        <v>2.6823529411764704</v>
      </c>
      <c r="N98" s="97">
        <f>prodnorm16</f>
        <v>0</v>
      </c>
      <c r="O98" s="41">
        <f>dagwerk16</f>
        <v>0</v>
      </c>
      <c r="P98" s="94" t="s">
        <v>107</v>
      </c>
      <c r="Q98" s="26">
        <f>uurtarief16</f>
        <v>0</v>
      </c>
      <c r="R98" s="96" t="e">
        <f>IF(ISBLANK(N98),0,M98/ROUND(N98,4))</f>
        <v>#DIV/0!</v>
      </c>
      <c r="S98" s="96" t="e">
        <f>IF(ISBLANK(N98),0,R98*ROUND(O98,2))</f>
        <v>#DIV/0!</v>
      </c>
      <c r="T98" s="26" t="e">
        <f>ROUND(Q98,2)*R98</f>
        <v>#DIV/0!</v>
      </c>
      <c r="U98" s="96" t="e">
        <f>R98*dagenperjaar1</f>
        <v>#DIV/0!</v>
      </c>
      <c r="V98" s="27" t="e">
        <f>U98*ROUND(Q98,2)</f>
        <v>#DIV/0!</v>
      </c>
    </row>
    <row r="99" spans="1:22" x14ac:dyDescent="0.35">
      <c r="A99" s="93" t="s">
        <v>468</v>
      </c>
      <c r="B99" s="94" t="s">
        <v>40</v>
      </c>
      <c r="C99" s="94" t="s">
        <v>470</v>
      </c>
      <c r="D99" s="94" t="s">
        <v>486</v>
      </c>
      <c r="E99" s="94" t="s">
        <v>40</v>
      </c>
      <c r="F99" s="95" t="s">
        <v>487</v>
      </c>
      <c r="G99" s="94" t="s">
        <v>40</v>
      </c>
      <c r="H99" s="94" t="s">
        <v>316</v>
      </c>
      <c r="I99" s="94"/>
      <c r="J99" s="94"/>
      <c r="K99" s="94"/>
      <c r="L99" s="96">
        <v>0</v>
      </c>
      <c r="M99" s="96"/>
      <c r="N99" s="97"/>
      <c r="O99" s="41"/>
      <c r="P99" s="94"/>
      <c r="Q99" s="26"/>
      <c r="R99" s="96"/>
      <c r="S99" s="96"/>
      <c r="T99" s="26"/>
      <c r="U99" s="98"/>
      <c r="V99" s="27"/>
    </row>
    <row r="100" spans="1:22" x14ac:dyDescent="0.35">
      <c r="A100" s="93" t="s">
        <v>468</v>
      </c>
      <c r="B100" s="94" t="s">
        <v>40</v>
      </c>
      <c r="C100" s="94" t="s">
        <v>470</v>
      </c>
      <c r="D100" s="94" t="s">
        <v>488</v>
      </c>
      <c r="E100" s="94" t="s">
        <v>40</v>
      </c>
      <c r="F100" s="95" t="s">
        <v>489</v>
      </c>
      <c r="G100" s="94" t="s">
        <v>321</v>
      </c>
      <c r="H100" s="94" t="s">
        <v>242</v>
      </c>
      <c r="I100" s="94" t="s">
        <v>10</v>
      </c>
      <c r="J100" s="94" t="s">
        <v>218</v>
      </c>
      <c r="K100" s="95" t="s">
        <v>243</v>
      </c>
      <c r="L100" s="96">
        <v>6</v>
      </c>
      <c r="M100" s="96">
        <f>L100*VLOOKUP(I100,dagsoorttabel1,2,FALSE)</f>
        <v>6</v>
      </c>
      <c r="N100" s="97">
        <f>prodnorm21</f>
        <v>0</v>
      </c>
      <c r="O100" s="41">
        <f>dagwerk21</f>
        <v>0</v>
      </c>
      <c r="P100" s="94" t="s">
        <v>107</v>
      </c>
      <c r="Q100" s="26">
        <f>uurtarief21</f>
        <v>0</v>
      </c>
      <c r="R100" s="96" t="e">
        <f>IF(ISBLANK(N100),0,M100/ROUND(N100,4))</f>
        <v>#DIV/0!</v>
      </c>
      <c r="S100" s="96" t="e">
        <f>IF(ISBLANK(N100),0,R100*ROUND(O100,2))</f>
        <v>#DIV/0!</v>
      </c>
      <c r="T100" s="26" t="e">
        <f>ROUND(Q100,2)*R100</f>
        <v>#DIV/0!</v>
      </c>
      <c r="U100" s="96" t="e">
        <f>R100*dagenperjaar1</f>
        <v>#DIV/0!</v>
      </c>
      <c r="V100" s="27" t="e">
        <f>U100*ROUND(Q100,2)</f>
        <v>#DIV/0!</v>
      </c>
    </row>
    <row r="101" spans="1:22" x14ac:dyDescent="0.35">
      <c r="A101" s="93" t="s">
        <v>468</v>
      </c>
      <c r="B101" s="94" t="s">
        <v>40</v>
      </c>
      <c r="C101" s="94" t="s">
        <v>470</v>
      </c>
      <c r="D101" s="94" t="s">
        <v>490</v>
      </c>
      <c r="E101" s="94" t="s">
        <v>40</v>
      </c>
      <c r="F101" s="95" t="s">
        <v>491</v>
      </c>
      <c r="G101" s="94" t="s">
        <v>483</v>
      </c>
      <c r="H101" s="94" t="s">
        <v>256</v>
      </c>
      <c r="I101" s="94" t="s">
        <v>16</v>
      </c>
      <c r="J101" s="94" t="s">
        <v>218</v>
      </c>
      <c r="K101" s="95" t="s">
        <v>257</v>
      </c>
      <c r="L101" s="96">
        <v>17</v>
      </c>
      <c r="M101" s="96">
        <f>L101*VLOOKUP(I101,dagsoorttabel1,2,FALSE)</f>
        <v>0.8</v>
      </c>
      <c r="N101" s="97">
        <f>prodnorm34</f>
        <v>0</v>
      </c>
      <c r="O101" s="41">
        <f>dagwerk34</f>
        <v>0</v>
      </c>
      <c r="P101" s="94" t="s">
        <v>107</v>
      </c>
      <c r="Q101" s="26">
        <f>uurtarief34</f>
        <v>0</v>
      </c>
      <c r="R101" s="96" t="e">
        <f>IF(ISBLANK(N101),0,M101/ROUND(N101,4))</f>
        <v>#DIV/0!</v>
      </c>
      <c r="S101" s="96" t="e">
        <f>IF(ISBLANK(N101),0,R101*ROUND(O101,2))</f>
        <v>#DIV/0!</v>
      </c>
      <c r="T101" s="26" t="e">
        <f>ROUND(Q101,2)*R101</f>
        <v>#DIV/0!</v>
      </c>
      <c r="U101" s="96" t="e">
        <f>R101*dagenperjaar1</f>
        <v>#DIV/0!</v>
      </c>
      <c r="V101" s="27" t="e">
        <f>U101*ROUND(Q101,2)</f>
        <v>#DIV/0!</v>
      </c>
    </row>
    <row r="102" spans="1:22" x14ac:dyDescent="0.35">
      <c r="A102" s="93" t="s">
        <v>468</v>
      </c>
      <c r="B102" s="94" t="s">
        <v>40</v>
      </c>
      <c r="C102" s="94" t="s">
        <v>470</v>
      </c>
      <c r="D102" s="94" t="s">
        <v>492</v>
      </c>
      <c r="E102" s="94" t="s">
        <v>40</v>
      </c>
      <c r="F102" s="95" t="s">
        <v>493</v>
      </c>
      <c r="G102" s="94" t="s">
        <v>494</v>
      </c>
      <c r="H102" s="94" t="s">
        <v>316</v>
      </c>
      <c r="I102" s="94"/>
      <c r="J102" s="94"/>
      <c r="K102" s="94"/>
      <c r="L102" s="96">
        <v>51</v>
      </c>
      <c r="M102" s="96"/>
      <c r="N102" s="97"/>
      <c r="O102" s="41"/>
      <c r="P102" s="94"/>
      <c r="Q102" s="26"/>
      <c r="R102" s="96"/>
      <c r="S102" s="96"/>
      <c r="T102" s="26"/>
      <c r="U102" s="98"/>
      <c r="V102" s="27"/>
    </row>
    <row r="103" spans="1:22" x14ac:dyDescent="0.35">
      <c r="A103" s="93" t="s">
        <v>468</v>
      </c>
      <c r="B103" s="94" t="s">
        <v>40</v>
      </c>
      <c r="C103" s="94" t="s">
        <v>470</v>
      </c>
      <c r="D103" s="94" t="s">
        <v>495</v>
      </c>
      <c r="E103" s="94" t="s">
        <v>40</v>
      </c>
      <c r="F103" s="95" t="s">
        <v>496</v>
      </c>
      <c r="G103" s="94" t="s">
        <v>483</v>
      </c>
      <c r="H103" s="94" t="s">
        <v>236</v>
      </c>
      <c r="I103" s="94" t="s">
        <v>13</v>
      </c>
      <c r="J103" s="94" t="s">
        <v>218</v>
      </c>
      <c r="K103" s="95" t="s">
        <v>237</v>
      </c>
      <c r="L103" s="96">
        <v>55</v>
      </c>
      <c r="M103" s="96">
        <f>L103*VLOOKUP(I103,dagsoorttabel1,2,FALSE)</f>
        <v>22</v>
      </c>
      <c r="N103" s="97">
        <f>prodnorm17</f>
        <v>0</v>
      </c>
      <c r="O103" s="41">
        <f>dagwerk17</f>
        <v>0</v>
      </c>
      <c r="P103" s="94" t="s">
        <v>107</v>
      </c>
      <c r="Q103" s="26">
        <f>uurtarief17</f>
        <v>0</v>
      </c>
      <c r="R103" s="96" t="e">
        <f>IF(ISBLANK(N103),0,M103/ROUND(N103,4))</f>
        <v>#DIV/0!</v>
      </c>
      <c r="S103" s="96" t="e">
        <f>IF(ISBLANK(N103),0,R103*ROUND(O103,2))</f>
        <v>#DIV/0!</v>
      </c>
      <c r="T103" s="26" t="e">
        <f>ROUND(Q103,2)*R103</f>
        <v>#DIV/0!</v>
      </c>
      <c r="U103" s="96" t="e">
        <f>R103*dagenperjaar1</f>
        <v>#DIV/0!</v>
      </c>
      <c r="V103" s="27" t="e">
        <f>U103*ROUND(Q103,2)</f>
        <v>#DIV/0!</v>
      </c>
    </row>
    <row r="104" spans="1:22" x14ac:dyDescent="0.35">
      <c r="A104" s="93" t="s">
        <v>468</v>
      </c>
      <c r="B104" s="94" t="s">
        <v>40</v>
      </c>
      <c r="C104" s="94" t="s">
        <v>470</v>
      </c>
      <c r="D104" s="94" t="s">
        <v>497</v>
      </c>
      <c r="E104" s="94" t="s">
        <v>40</v>
      </c>
      <c r="F104" s="95" t="s">
        <v>498</v>
      </c>
      <c r="G104" s="94" t="s">
        <v>40</v>
      </c>
      <c r="H104" s="94" t="s">
        <v>316</v>
      </c>
      <c r="I104" s="94"/>
      <c r="J104" s="94"/>
      <c r="K104" s="94"/>
      <c r="L104" s="96">
        <v>0</v>
      </c>
      <c r="M104" s="96"/>
      <c r="N104" s="97"/>
      <c r="O104" s="41"/>
      <c r="P104" s="94"/>
      <c r="Q104" s="26"/>
      <c r="R104" s="96"/>
      <c r="S104" s="96"/>
      <c r="T104" s="26"/>
      <c r="U104" s="98"/>
      <c r="V104" s="27"/>
    </row>
    <row r="105" spans="1:22" x14ac:dyDescent="0.35">
      <c r="A105" s="93" t="s">
        <v>468</v>
      </c>
      <c r="B105" s="94" t="s">
        <v>40</v>
      </c>
      <c r="C105" s="94" t="s">
        <v>470</v>
      </c>
      <c r="D105" s="94" t="s">
        <v>499</v>
      </c>
      <c r="E105" s="94" t="s">
        <v>40</v>
      </c>
      <c r="F105" s="95" t="s">
        <v>489</v>
      </c>
      <c r="G105" s="94" t="s">
        <v>321</v>
      </c>
      <c r="H105" s="94" t="s">
        <v>242</v>
      </c>
      <c r="I105" s="94" t="s">
        <v>10</v>
      </c>
      <c r="J105" s="94" t="s">
        <v>218</v>
      </c>
      <c r="K105" s="95" t="s">
        <v>243</v>
      </c>
      <c r="L105" s="96">
        <v>6</v>
      </c>
      <c r="M105" s="96">
        <f>L105*VLOOKUP(I105,dagsoorttabel1,2,FALSE)</f>
        <v>6</v>
      </c>
      <c r="N105" s="97">
        <f>prodnorm21</f>
        <v>0</v>
      </c>
      <c r="O105" s="41">
        <f>dagwerk21</f>
        <v>0</v>
      </c>
      <c r="P105" s="94" t="s">
        <v>107</v>
      </c>
      <c r="Q105" s="26">
        <f>uurtarief21</f>
        <v>0</v>
      </c>
      <c r="R105" s="96" t="e">
        <f>IF(ISBLANK(N105),0,M105/ROUND(N105,4))</f>
        <v>#DIV/0!</v>
      </c>
      <c r="S105" s="96" t="e">
        <f>IF(ISBLANK(N105),0,R105*ROUND(O105,2))</f>
        <v>#DIV/0!</v>
      </c>
      <c r="T105" s="26" t="e">
        <f>ROUND(Q105,2)*R105</f>
        <v>#DIV/0!</v>
      </c>
      <c r="U105" s="96" t="e">
        <f>R105*dagenperjaar1</f>
        <v>#DIV/0!</v>
      </c>
      <c r="V105" s="27" t="e">
        <f>U105*ROUND(Q105,2)</f>
        <v>#DIV/0!</v>
      </c>
    </row>
    <row r="106" spans="1:22" x14ac:dyDescent="0.35">
      <c r="A106" s="93" t="s">
        <v>468</v>
      </c>
      <c r="B106" s="94" t="s">
        <v>40</v>
      </c>
      <c r="C106" s="94" t="s">
        <v>470</v>
      </c>
      <c r="D106" s="94" t="s">
        <v>500</v>
      </c>
      <c r="E106" s="94" t="s">
        <v>40</v>
      </c>
      <c r="F106" s="95" t="s">
        <v>501</v>
      </c>
      <c r="G106" s="94" t="s">
        <v>483</v>
      </c>
      <c r="H106" s="94" t="s">
        <v>236</v>
      </c>
      <c r="I106" s="94" t="s">
        <v>16</v>
      </c>
      <c r="J106" s="94" t="s">
        <v>218</v>
      </c>
      <c r="K106" s="95" t="s">
        <v>237</v>
      </c>
      <c r="L106" s="96">
        <v>140</v>
      </c>
      <c r="M106" s="96">
        <f>L106*VLOOKUP(I106,dagsoorttabel1,2,FALSE)</f>
        <v>6.5882352941176467</v>
      </c>
      <c r="N106" s="97">
        <f>prodnorm16</f>
        <v>0</v>
      </c>
      <c r="O106" s="41">
        <f>dagwerk16</f>
        <v>0</v>
      </c>
      <c r="P106" s="94" t="s">
        <v>107</v>
      </c>
      <c r="Q106" s="26">
        <f>uurtarief16</f>
        <v>0</v>
      </c>
      <c r="R106" s="96" t="e">
        <f>IF(ISBLANK(N106),0,M106/ROUND(N106,4))</f>
        <v>#DIV/0!</v>
      </c>
      <c r="S106" s="96" t="e">
        <f>IF(ISBLANK(N106),0,R106*ROUND(O106,2))</f>
        <v>#DIV/0!</v>
      </c>
      <c r="T106" s="26" t="e">
        <f>ROUND(Q106,2)*R106</f>
        <v>#DIV/0!</v>
      </c>
      <c r="U106" s="96" t="e">
        <f>R106*dagenperjaar1</f>
        <v>#DIV/0!</v>
      </c>
      <c r="V106" s="27" t="e">
        <f>U106*ROUND(Q106,2)</f>
        <v>#DIV/0!</v>
      </c>
    </row>
    <row r="107" spans="1:22" ht="29" x14ac:dyDescent="0.35">
      <c r="A107" s="93" t="s">
        <v>468</v>
      </c>
      <c r="B107" s="94" t="s">
        <v>40</v>
      </c>
      <c r="C107" s="94" t="s">
        <v>470</v>
      </c>
      <c r="D107" s="94" t="s">
        <v>502</v>
      </c>
      <c r="E107" s="94" t="s">
        <v>40</v>
      </c>
      <c r="F107" s="95" t="s">
        <v>503</v>
      </c>
      <c r="G107" s="94" t="s">
        <v>504</v>
      </c>
      <c r="H107" s="94" t="s">
        <v>316</v>
      </c>
      <c r="I107" s="94"/>
      <c r="J107" s="94"/>
      <c r="K107" s="94"/>
      <c r="L107" s="96">
        <v>9</v>
      </c>
      <c r="M107" s="96"/>
      <c r="N107" s="97"/>
      <c r="O107" s="41"/>
      <c r="P107" s="94"/>
      <c r="Q107" s="26"/>
      <c r="R107" s="96"/>
      <c r="S107" s="96"/>
      <c r="T107" s="26"/>
      <c r="U107" s="98"/>
      <c r="V107" s="27"/>
    </row>
    <row r="108" spans="1:22" x14ac:dyDescent="0.35">
      <c r="A108" s="93" t="s">
        <v>468</v>
      </c>
      <c r="B108" s="94" t="s">
        <v>40</v>
      </c>
      <c r="C108" s="94" t="s">
        <v>470</v>
      </c>
      <c r="D108" s="94" t="s">
        <v>505</v>
      </c>
      <c r="E108" s="94" t="s">
        <v>40</v>
      </c>
      <c r="F108" s="95" t="s">
        <v>479</v>
      </c>
      <c r="G108" s="94" t="s">
        <v>40</v>
      </c>
      <c r="H108" s="94" t="s">
        <v>316</v>
      </c>
      <c r="I108" s="94"/>
      <c r="J108" s="94"/>
      <c r="K108" s="94"/>
      <c r="L108" s="96">
        <v>0</v>
      </c>
      <c r="M108" s="96"/>
      <c r="N108" s="97"/>
      <c r="O108" s="41"/>
      <c r="P108" s="94"/>
      <c r="Q108" s="26"/>
      <c r="R108" s="96"/>
      <c r="S108" s="96"/>
      <c r="T108" s="26"/>
      <c r="U108" s="98"/>
      <c r="V108" s="27"/>
    </row>
    <row r="109" spans="1:22" x14ac:dyDescent="0.35">
      <c r="A109" s="93" t="s">
        <v>468</v>
      </c>
      <c r="B109" s="94" t="s">
        <v>40</v>
      </c>
      <c r="C109" s="94" t="s">
        <v>470</v>
      </c>
      <c r="D109" s="94" t="s">
        <v>506</v>
      </c>
      <c r="E109" s="94" t="s">
        <v>40</v>
      </c>
      <c r="F109" s="95" t="s">
        <v>507</v>
      </c>
      <c r="G109" s="94" t="s">
        <v>40</v>
      </c>
      <c r="H109" s="94" t="s">
        <v>316</v>
      </c>
      <c r="I109" s="94"/>
      <c r="J109" s="94"/>
      <c r="K109" s="94"/>
      <c r="L109" s="96">
        <v>0</v>
      </c>
      <c r="M109" s="96"/>
      <c r="N109" s="97"/>
      <c r="O109" s="41"/>
      <c r="P109" s="94"/>
      <c r="Q109" s="26"/>
      <c r="R109" s="96"/>
      <c r="S109" s="96"/>
      <c r="T109" s="26"/>
      <c r="U109" s="98"/>
      <c r="V109" s="27"/>
    </row>
    <row r="110" spans="1:22" ht="29" x14ac:dyDescent="0.35">
      <c r="A110" s="93" t="s">
        <v>468</v>
      </c>
      <c r="B110" s="94" t="s">
        <v>40</v>
      </c>
      <c r="C110" s="94" t="s">
        <v>470</v>
      </c>
      <c r="D110" s="94" t="s">
        <v>508</v>
      </c>
      <c r="E110" s="94" t="s">
        <v>40</v>
      </c>
      <c r="F110" s="95" t="s">
        <v>509</v>
      </c>
      <c r="G110" s="94" t="s">
        <v>510</v>
      </c>
      <c r="H110" s="94" t="s">
        <v>222</v>
      </c>
      <c r="I110" s="94" t="s">
        <v>10</v>
      </c>
      <c r="J110" s="94" t="s">
        <v>218</v>
      </c>
      <c r="K110" s="95" t="s">
        <v>223</v>
      </c>
      <c r="L110" s="96">
        <v>124</v>
      </c>
      <c r="M110" s="96">
        <f>L110*VLOOKUP(I110,dagsoorttabel1,2,FALSE)</f>
        <v>124</v>
      </c>
      <c r="N110" s="97">
        <f>prodnorm8</f>
        <v>0</v>
      </c>
      <c r="O110" s="41">
        <f>dagwerk8</f>
        <v>0</v>
      </c>
      <c r="P110" s="94" t="s">
        <v>107</v>
      </c>
      <c r="Q110" s="26">
        <f>uurtarief8</f>
        <v>0</v>
      </c>
      <c r="R110" s="96" t="e">
        <f>IF(ISBLANK(N110),0,M110/ROUND(N110,4))</f>
        <v>#DIV/0!</v>
      </c>
      <c r="S110" s="96" t="e">
        <f>IF(ISBLANK(N110),0,R110*ROUND(O110,2))</f>
        <v>#DIV/0!</v>
      </c>
      <c r="T110" s="26" t="e">
        <f>ROUND(Q110,2)*R110</f>
        <v>#DIV/0!</v>
      </c>
      <c r="U110" s="96" t="e">
        <f>R110*dagenperjaar1</f>
        <v>#DIV/0!</v>
      </c>
      <c r="V110" s="27" t="e">
        <f>U110*ROUND(Q110,2)</f>
        <v>#DIV/0!</v>
      </c>
    </row>
    <row r="111" spans="1:22" x14ac:dyDescent="0.35">
      <c r="A111" s="93" t="s">
        <v>468</v>
      </c>
      <c r="B111" s="94" t="s">
        <v>40</v>
      </c>
      <c r="C111" s="94" t="s">
        <v>470</v>
      </c>
      <c r="D111" s="94" t="s">
        <v>511</v>
      </c>
      <c r="E111" s="94" t="s">
        <v>40</v>
      </c>
      <c r="F111" s="95" t="s">
        <v>512</v>
      </c>
      <c r="G111" s="94" t="s">
        <v>321</v>
      </c>
      <c r="H111" s="94" t="s">
        <v>316</v>
      </c>
      <c r="I111" s="94"/>
      <c r="J111" s="94"/>
      <c r="K111" s="94"/>
      <c r="L111" s="96">
        <v>10</v>
      </c>
      <c r="M111" s="96"/>
      <c r="N111" s="97"/>
      <c r="O111" s="41"/>
      <c r="P111" s="94"/>
      <c r="Q111" s="26"/>
      <c r="R111" s="96"/>
      <c r="S111" s="96"/>
      <c r="T111" s="26"/>
      <c r="U111" s="98"/>
      <c r="V111" s="27"/>
    </row>
    <row r="112" spans="1:22" x14ac:dyDescent="0.35">
      <c r="A112" s="93" t="s">
        <v>468</v>
      </c>
      <c r="B112" s="94" t="s">
        <v>40</v>
      </c>
      <c r="C112" s="94" t="s">
        <v>470</v>
      </c>
      <c r="D112" s="94" t="s">
        <v>513</v>
      </c>
      <c r="E112" s="94" t="s">
        <v>40</v>
      </c>
      <c r="F112" s="95" t="s">
        <v>479</v>
      </c>
      <c r="G112" s="94" t="s">
        <v>40</v>
      </c>
      <c r="H112" s="94" t="s">
        <v>316</v>
      </c>
      <c r="I112" s="94"/>
      <c r="J112" s="94"/>
      <c r="K112" s="94"/>
      <c r="L112" s="96">
        <v>0</v>
      </c>
      <c r="M112" s="96"/>
      <c r="N112" s="97"/>
      <c r="O112" s="41"/>
      <c r="P112" s="94"/>
      <c r="Q112" s="26"/>
      <c r="R112" s="96"/>
      <c r="S112" s="96"/>
      <c r="T112" s="26"/>
      <c r="U112" s="98"/>
      <c r="V112" s="27"/>
    </row>
    <row r="113" spans="1:22" x14ac:dyDescent="0.35">
      <c r="A113" s="93" t="s">
        <v>468</v>
      </c>
      <c r="B113" s="94" t="s">
        <v>40</v>
      </c>
      <c r="C113" s="94" t="s">
        <v>470</v>
      </c>
      <c r="D113" s="94" t="s">
        <v>514</v>
      </c>
      <c r="E113" s="94" t="s">
        <v>40</v>
      </c>
      <c r="F113" s="95" t="s">
        <v>515</v>
      </c>
      <c r="G113" s="94" t="s">
        <v>335</v>
      </c>
      <c r="H113" s="94" t="s">
        <v>256</v>
      </c>
      <c r="I113" s="94" t="s">
        <v>13</v>
      </c>
      <c r="J113" s="94" t="s">
        <v>218</v>
      </c>
      <c r="K113" s="95" t="s">
        <v>257</v>
      </c>
      <c r="L113" s="96">
        <v>13</v>
      </c>
      <c r="M113" s="96">
        <f>L113*VLOOKUP(I113,dagsoorttabel1,2,FALSE)</f>
        <v>5.2</v>
      </c>
      <c r="N113" s="97">
        <f>prodnorm37</f>
        <v>0</v>
      </c>
      <c r="O113" s="41">
        <f>dagwerk37</f>
        <v>0</v>
      </c>
      <c r="P113" s="94" t="s">
        <v>107</v>
      </c>
      <c r="Q113" s="26">
        <f>uurtarief37</f>
        <v>0</v>
      </c>
      <c r="R113" s="96" t="e">
        <f>IF(ISBLANK(N113),0,M113/ROUND(N113,4))</f>
        <v>#DIV/0!</v>
      </c>
      <c r="S113" s="96" t="e">
        <f>IF(ISBLANK(N113),0,R113*ROUND(O113,2))</f>
        <v>#DIV/0!</v>
      </c>
      <c r="T113" s="26" t="e">
        <f>ROUND(Q113,2)*R113</f>
        <v>#DIV/0!</v>
      </c>
      <c r="U113" s="96" t="e">
        <f>R113*dagenperjaar1</f>
        <v>#DIV/0!</v>
      </c>
      <c r="V113" s="27" t="e">
        <f>U113*ROUND(Q113,2)</f>
        <v>#DIV/0!</v>
      </c>
    </row>
    <row r="114" spans="1:22" x14ac:dyDescent="0.35">
      <c r="A114" s="93" t="s">
        <v>468</v>
      </c>
      <c r="B114" s="94" t="s">
        <v>40</v>
      </c>
      <c r="C114" s="94" t="s">
        <v>470</v>
      </c>
      <c r="D114" s="94" t="s">
        <v>516</v>
      </c>
      <c r="E114" s="94" t="s">
        <v>40</v>
      </c>
      <c r="F114" s="95" t="s">
        <v>517</v>
      </c>
      <c r="G114" s="94" t="s">
        <v>40</v>
      </c>
      <c r="H114" s="94" t="s">
        <v>316</v>
      </c>
      <c r="I114" s="94"/>
      <c r="J114" s="94"/>
      <c r="K114" s="94"/>
      <c r="L114" s="96">
        <v>0</v>
      </c>
      <c r="M114" s="96"/>
      <c r="N114" s="97"/>
      <c r="O114" s="41"/>
      <c r="P114" s="94"/>
      <c r="Q114" s="26"/>
      <c r="R114" s="96"/>
      <c r="S114" s="96"/>
      <c r="T114" s="26"/>
      <c r="U114" s="98"/>
      <c r="V114" s="27"/>
    </row>
    <row r="115" spans="1:22" x14ac:dyDescent="0.35">
      <c r="A115" s="93" t="s">
        <v>468</v>
      </c>
      <c r="B115" s="94" t="s">
        <v>40</v>
      </c>
      <c r="C115" s="94" t="s">
        <v>470</v>
      </c>
      <c r="D115" s="94" t="s">
        <v>518</v>
      </c>
      <c r="E115" s="94" t="s">
        <v>40</v>
      </c>
      <c r="F115" s="95" t="s">
        <v>519</v>
      </c>
      <c r="G115" s="94" t="s">
        <v>40</v>
      </c>
      <c r="H115" s="94" t="s">
        <v>316</v>
      </c>
      <c r="I115" s="94"/>
      <c r="J115" s="94"/>
      <c r="K115" s="94"/>
      <c r="L115" s="96">
        <v>0</v>
      </c>
      <c r="M115" s="96"/>
      <c r="N115" s="97"/>
      <c r="O115" s="41"/>
      <c r="P115" s="94"/>
      <c r="Q115" s="26"/>
      <c r="R115" s="96"/>
      <c r="S115" s="96"/>
      <c r="T115" s="26"/>
      <c r="U115" s="98"/>
      <c r="V115" s="27"/>
    </row>
    <row r="116" spans="1:22" x14ac:dyDescent="0.35">
      <c r="A116" s="93" t="s">
        <v>468</v>
      </c>
      <c r="B116" s="94" t="s">
        <v>40</v>
      </c>
      <c r="C116" s="94" t="s">
        <v>470</v>
      </c>
      <c r="D116" s="94" t="s">
        <v>520</v>
      </c>
      <c r="E116" s="94" t="s">
        <v>40</v>
      </c>
      <c r="F116" s="95" t="s">
        <v>521</v>
      </c>
      <c r="G116" s="94" t="s">
        <v>40</v>
      </c>
      <c r="H116" s="94" t="s">
        <v>316</v>
      </c>
      <c r="I116" s="94"/>
      <c r="J116" s="94"/>
      <c r="K116" s="94"/>
      <c r="L116" s="96">
        <v>0</v>
      </c>
      <c r="M116" s="96"/>
      <c r="N116" s="97"/>
      <c r="O116" s="41"/>
      <c r="P116" s="94"/>
      <c r="Q116" s="26"/>
      <c r="R116" s="96"/>
      <c r="S116" s="96"/>
      <c r="T116" s="26"/>
      <c r="U116" s="98"/>
      <c r="V116" s="27"/>
    </row>
    <row r="117" spans="1:22" x14ac:dyDescent="0.35">
      <c r="A117" s="93" t="s">
        <v>468</v>
      </c>
      <c r="B117" s="94" t="s">
        <v>40</v>
      </c>
      <c r="C117" s="94" t="s">
        <v>470</v>
      </c>
      <c r="D117" s="94" t="s">
        <v>522</v>
      </c>
      <c r="E117" s="94" t="s">
        <v>40</v>
      </c>
      <c r="F117" s="95" t="s">
        <v>523</v>
      </c>
      <c r="G117" s="94" t="s">
        <v>524</v>
      </c>
      <c r="H117" s="94" t="s">
        <v>316</v>
      </c>
      <c r="I117" s="94"/>
      <c r="J117" s="94"/>
      <c r="K117" s="94"/>
      <c r="L117" s="96">
        <v>38</v>
      </c>
      <c r="M117" s="96"/>
      <c r="N117" s="97"/>
      <c r="O117" s="41"/>
      <c r="P117" s="94"/>
      <c r="Q117" s="26"/>
      <c r="R117" s="96"/>
      <c r="S117" s="96"/>
      <c r="T117" s="26"/>
      <c r="U117" s="98"/>
      <c r="V117" s="27"/>
    </row>
    <row r="118" spans="1:22" x14ac:dyDescent="0.35">
      <c r="A118" s="93" t="s">
        <v>468</v>
      </c>
      <c r="B118" s="94" t="s">
        <v>40</v>
      </c>
      <c r="C118" s="94" t="s">
        <v>470</v>
      </c>
      <c r="D118" s="94" t="s">
        <v>525</v>
      </c>
      <c r="E118" s="94" t="s">
        <v>40</v>
      </c>
      <c r="F118" s="95" t="s">
        <v>512</v>
      </c>
      <c r="G118" s="94" t="s">
        <v>321</v>
      </c>
      <c r="H118" s="94" t="s">
        <v>316</v>
      </c>
      <c r="I118" s="94"/>
      <c r="J118" s="94"/>
      <c r="K118" s="94"/>
      <c r="L118" s="96">
        <v>5</v>
      </c>
      <c r="M118" s="96"/>
      <c r="N118" s="97"/>
      <c r="O118" s="41"/>
      <c r="P118" s="94"/>
      <c r="Q118" s="26"/>
      <c r="R118" s="96"/>
      <c r="S118" s="96"/>
      <c r="T118" s="26"/>
      <c r="U118" s="98"/>
      <c r="V118" s="27"/>
    </row>
    <row r="119" spans="1:22" x14ac:dyDescent="0.35">
      <c r="A119" s="93" t="s">
        <v>468</v>
      </c>
      <c r="B119" s="94" t="s">
        <v>40</v>
      </c>
      <c r="C119" s="94" t="s">
        <v>470</v>
      </c>
      <c r="D119" s="94" t="s">
        <v>526</v>
      </c>
      <c r="E119" s="94" t="s">
        <v>40</v>
      </c>
      <c r="F119" s="95" t="s">
        <v>527</v>
      </c>
      <c r="G119" s="94" t="s">
        <v>321</v>
      </c>
      <c r="H119" s="94" t="s">
        <v>316</v>
      </c>
      <c r="I119" s="94"/>
      <c r="J119" s="94"/>
      <c r="K119" s="94"/>
      <c r="L119" s="96">
        <v>5</v>
      </c>
      <c r="M119" s="96"/>
      <c r="N119" s="97"/>
      <c r="O119" s="41"/>
      <c r="P119" s="94"/>
      <c r="Q119" s="26"/>
      <c r="R119" s="96"/>
      <c r="S119" s="96"/>
      <c r="T119" s="26"/>
      <c r="U119" s="98"/>
      <c r="V119" s="27"/>
    </row>
    <row r="120" spans="1:22" x14ac:dyDescent="0.35">
      <c r="A120" s="93" t="s">
        <v>468</v>
      </c>
      <c r="B120" s="94" t="s">
        <v>40</v>
      </c>
      <c r="C120" s="94" t="s">
        <v>470</v>
      </c>
      <c r="D120" s="94" t="s">
        <v>528</v>
      </c>
      <c r="E120" s="94" t="s">
        <v>40</v>
      </c>
      <c r="F120" s="95" t="s">
        <v>411</v>
      </c>
      <c r="G120" s="94" t="s">
        <v>483</v>
      </c>
      <c r="H120" s="94" t="s">
        <v>246</v>
      </c>
      <c r="I120" s="94" t="s">
        <v>14</v>
      </c>
      <c r="J120" s="94" t="s">
        <v>218</v>
      </c>
      <c r="K120" s="95" t="s">
        <v>247</v>
      </c>
      <c r="L120" s="96">
        <v>70</v>
      </c>
      <c r="M120" s="96">
        <f>L120*VLOOKUP(I120,dagsoorttabel1,2,FALSE)</f>
        <v>14</v>
      </c>
      <c r="N120" s="97">
        <f>prodnorm24</f>
        <v>0</v>
      </c>
      <c r="O120" s="41">
        <f>dagwerk24</f>
        <v>0</v>
      </c>
      <c r="P120" s="94" t="s">
        <v>107</v>
      </c>
      <c r="Q120" s="26">
        <f>uurtarief24</f>
        <v>0</v>
      </c>
      <c r="R120" s="96" t="e">
        <f>IF(ISBLANK(N120),0,M120/ROUND(N120,4))</f>
        <v>#DIV/0!</v>
      </c>
      <c r="S120" s="96" t="e">
        <f>IF(ISBLANK(N120),0,R120*ROUND(O120,2))</f>
        <v>#DIV/0!</v>
      </c>
      <c r="T120" s="26" t="e">
        <f>ROUND(Q120,2)*R120</f>
        <v>#DIV/0!</v>
      </c>
      <c r="U120" s="96" t="e">
        <f>R120*dagenperjaar1</f>
        <v>#DIV/0!</v>
      </c>
      <c r="V120" s="27" t="e">
        <f>U120*ROUND(Q120,2)</f>
        <v>#DIV/0!</v>
      </c>
    </row>
    <row r="121" spans="1:22" x14ac:dyDescent="0.35">
      <c r="A121" s="93" t="s">
        <v>468</v>
      </c>
      <c r="B121" s="94" t="s">
        <v>40</v>
      </c>
      <c r="C121" s="94" t="s">
        <v>470</v>
      </c>
      <c r="D121" s="94" t="s">
        <v>529</v>
      </c>
      <c r="E121" s="94" t="s">
        <v>40</v>
      </c>
      <c r="F121" s="95" t="s">
        <v>530</v>
      </c>
      <c r="G121" s="94" t="s">
        <v>40</v>
      </c>
      <c r="H121" s="94" t="s">
        <v>316</v>
      </c>
      <c r="I121" s="94"/>
      <c r="J121" s="94"/>
      <c r="K121" s="94"/>
      <c r="L121" s="96">
        <v>0</v>
      </c>
      <c r="M121" s="96"/>
      <c r="N121" s="97"/>
      <c r="O121" s="41"/>
      <c r="P121" s="94"/>
      <c r="Q121" s="26"/>
      <c r="R121" s="96"/>
      <c r="S121" s="96"/>
      <c r="T121" s="26"/>
      <c r="U121" s="98"/>
      <c r="V121" s="27"/>
    </row>
    <row r="122" spans="1:22" x14ac:dyDescent="0.35">
      <c r="A122" s="93" t="s">
        <v>468</v>
      </c>
      <c r="B122" s="94" t="s">
        <v>40</v>
      </c>
      <c r="C122" s="94" t="s">
        <v>470</v>
      </c>
      <c r="D122" s="94" t="s">
        <v>531</v>
      </c>
      <c r="E122" s="94" t="s">
        <v>40</v>
      </c>
      <c r="F122" s="95" t="s">
        <v>532</v>
      </c>
      <c r="G122" s="94" t="s">
        <v>335</v>
      </c>
      <c r="H122" s="94" t="s">
        <v>226</v>
      </c>
      <c r="I122" s="94" t="s">
        <v>10</v>
      </c>
      <c r="J122" s="94" t="s">
        <v>218</v>
      </c>
      <c r="K122" s="95" t="s">
        <v>227</v>
      </c>
      <c r="L122" s="96">
        <v>3</v>
      </c>
      <c r="M122" s="96">
        <f>L122*VLOOKUP(I122,dagsoorttabel1,2,FALSE)</f>
        <v>3</v>
      </c>
      <c r="N122" s="97">
        <f>prodnorm10</f>
        <v>0</v>
      </c>
      <c r="O122" s="41">
        <f>dagwerk10</f>
        <v>0</v>
      </c>
      <c r="P122" s="94" t="s">
        <v>107</v>
      </c>
      <c r="Q122" s="26">
        <f>uurtarief10</f>
        <v>0</v>
      </c>
      <c r="R122" s="96" t="e">
        <f>IF(ISBLANK(N122),0,M122/ROUND(N122,4))</f>
        <v>#DIV/0!</v>
      </c>
      <c r="S122" s="96" t="e">
        <f>IF(ISBLANK(N122),0,R122*ROUND(O122,2))</f>
        <v>#DIV/0!</v>
      </c>
      <c r="T122" s="26" t="e">
        <f>ROUND(Q122,2)*R122</f>
        <v>#DIV/0!</v>
      </c>
      <c r="U122" s="96" t="e">
        <f>R122*dagenperjaar1</f>
        <v>#DIV/0!</v>
      </c>
      <c r="V122" s="27" t="e">
        <f>U122*ROUND(Q122,2)</f>
        <v>#DIV/0!</v>
      </c>
    </row>
    <row r="123" spans="1:22" x14ac:dyDescent="0.35">
      <c r="A123" s="93" t="s">
        <v>468</v>
      </c>
      <c r="B123" s="94" t="s">
        <v>40</v>
      </c>
      <c r="C123" s="94" t="s">
        <v>470</v>
      </c>
      <c r="D123" s="94" t="s">
        <v>533</v>
      </c>
      <c r="E123" s="94" t="s">
        <v>40</v>
      </c>
      <c r="F123" s="95" t="s">
        <v>534</v>
      </c>
      <c r="G123" s="94" t="s">
        <v>535</v>
      </c>
      <c r="H123" s="94" t="s">
        <v>246</v>
      </c>
      <c r="I123" s="94" t="s">
        <v>10</v>
      </c>
      <c r="J123" s="94" t="s">
        <v>218</v>
      </c>
      <c r="K123" s="95" t="s">
        <v>247</v>
      </c>
      <c r="L123" s="96">
        <v>46</v>
      </c>
      <c r="M123" s="96">
        <f>L123*VLOOKUP(I123,dagsoorttabel1,2,FALSE)</f>
        <v>46</v>
      </c>
      <c r="N123" s="97">
        <f>prodnorm26</f>
        <v>0</v>
      </c>
      <c r="O123" s="41">
        <f>dagwerk26</f>
        <v>0</v>
      </c>
      <c r="P123" s="94" t="s">
        <v>107</v>
      </c>
      <c r="Q123" s="26">
        <f>uurtarief26</f>
        <v>0</v>
      </c>
      <c r="R123" s="96" t="e">
        <f>IF(ISBLANK(N123),0,M123/ROUND(N123,4))</f>
        <v>#DIV/0!</v>
      </c>
      <c r="S123" s="96" t="e">
        <f>IF(ISBLANK(N123),0,R123*ROUND(O123,2))</f>
        <v>#DIV/0!</v>
      </c>
      <c r="T123" s="26" t="e">
        <f>ROUND(Q123,2)*R123</f>
        <v>#DIV/0!</v>
      </c>
      <c r="U123" s="96" t="e">
        <f>R123*dagenperjaar1</f>
        <v>#DIV/0!</v>
      </c>
      <c r="V123" s="27" t="e">
        <f>U123*ROUND(Q123,2)</f>
        <v>#DIV/0!</v>
      </c>
    </row>
    <row r="124" spans="1:22" x14ac:dyDescent="0.35">
      <c r="A124" s="93" t="s">
        <v>468</v>
      </c>
      <c r="B124" s="94" t="s">
        <v>40</v>
      </c>
      <c r="C124" s="94" t="s">
        <v>470</v>
      </c>
      <c r="D124" s="94" t="s">
        <v>536</v>
      </c>
      <c r="E124" s="94" t="s">
        <v>40</v>
      </c>
      <c r="F124" s="95" t="s">
        <v>424</v>
      </c>
      <c r="G124" s="94" t="s">
        <v>40</v>
      </c>
      <c r="H124" s="94" t="s">
        <v>316</v>
      </c>
      <c r="I124" s="94"/>
      <c r="J124" s="94"/>
      <c r="K124" s="94"/>
      <c r="L124" s="96">
        <v>0</v>
      </c>
      <c r="M124" s="96"/>
      <c r="N124" s="97"/>
      <c r="O124" s="41"/>
      <c r="P124" s="94"/>
      <c r="Q124" s="26"/>
      <c r="R124" s="96"/>
      <c r="S124" s="96"/>
      <c r="T124" s="26"/>
      <c r="U124" s="98"/>
      <c r="V124" s="27"/>
    </row>
    <row r="125" spans="1:22" x14ac:dyDescent="0.35">
      <c r="A125" s="93" t="s">
        <v>468</v>
      </c>
      <c r="B125" s="94" t="s">
        <v>40</v>
      </c>
      <c r="C125" s="94" t="s">
        <v>470</v>
      </c>
      <c r="D125" s="94" t="s">
        <v>537</v>
      </c>
      <c r="E125" s="94" t="s">
        <v>40</v>
      </c>
      <c r="F125" s="95" t="s">
        <v>534</v>
      </c>
      <c r="G125" s="94" t="s">
        <v>535</v>
      </c>
      <c r="H125" s="94" t="s">
        <v>246</v>
      </c>
      <c r="I125" s="94" t="s">
        <v>10</v>
      </c>
      <c r="J125" s="94" t="s">
        <v>218</v>
      </c>
      <c r="K125" s="95" t="s">
        <v>247</v>
      </c>
      <c r="L125" s="96">
        <v>96</v>
      </c>
      <c r="M125" s="96">
        <f>L125*VLOOKUP(I125,dagsoorttabel1,2,FALSE)</f>
        <v>96</v>
      </c>
      <c r="N125" s="97">
        <f>prodnorm26</f>
        <v>0</v>
      </c>
      <c r="O125" s="41">
        <f>dagwerk26</f>
        <v>0</v>
      </c>
      <c r="P125" s="94" t="s">
        <v>107</v>
      </c>
      <c r="Q125" s="26">
        <f>uurtarief26</f>
        <v>0</v>
      </c>
      <c r="R125" s="96" t="e">
        <f>IF(ISBLANK(N125),0,M125/ROUND(N125,4))</f>
        <v>#DIV/0!</v>
      </c>
      <c r="S125" s="96" t="e">
        <f>IF(ISBLANK(N125),0,R125*ROUND(O125,2))</f>
        <v>#DIV/0!</v>
      </c>
      <c r="T125" s="26" t="e">
        <f>ROUND(Q125,2)*R125</f>
        <v>#DIV/0!</v>
      </c>
      <c r="U125" s="96" t="e">
        <f>R125*dagenperjaar1</f>
        <v>#DIV/0!</v>
      </c>
      <c r="V125" s="27" t="e">
        <f>U125*ROUND(Q125,2)</f>
        <v>#DIV/0!</v>
      </c>
    </row>
    <row r="126" spans="1:22" x14ac:dyDescent="0.35">
      <c r="A126" s="93" t="s">
        <v>468</v>
      </c>
      <c r="B126" s="94" t="s">
        <v>40</v>
      </c>
      <c r="C126" s="94" t="s">
        <v>470</v>
      </c>
      <c r="D126" s="94" t="s">
        <v>538</v>
      </c>
      <c r="E126" s="94" t="s">
        <v>40</v>
      </c>
      <c r="F126" s="95" t="s">
        <v>534</v>
      </c>
      <c r="G126" s="94" t="s">
        <v>535</v>
      </c>
      <c r="H126" s="94" t="s">
        <v>246</v>
      </c>
      <c r="I126" s="94" t="s">
        <v>10</v>
      </c>
      <c r="J126" s="94" t="s">
        <v>218</v>
      </c>
      <c r="K126" s="95" t="s">
        <v>247</v>
      </c>
      <c r="L126" s="96">
        <v>56</v>
      </c>
      <c r="M126" s="96">
        <f>L126*VLOOKUP(I126,dagsoorttabel1,2,FALSE)</f>
        <v>56</v>
      </c>
      <c r="N126" s="97">
        <f>prodnorm26</f>
        <v>0</v>
      </c>
      <c r="O126" s="41">
        <f>dagwerk26</f>
        <v>0</v>
      </c>
      <c r="P126" s="94" t="s">
        <v>107</v>
      </c>
      <c r="Q126" s="26">
        <f>uurtarief26</f>
        <v>0</v>
      </c>
      <c r="R126" s="96" t="e">
        <f>IF(ISBLANK(N126),0,M126/ROUND(N126,4))</f>
        <v>#DIV/0!</v>
      </c>
      <c r="S126" s="96" t="e">
        <f>IF(ISBLANK(N126),0,R126*ROUND(O126,2))</f>
        <v>#DIV/0!</v>
      </c>
      <c r="T126" s="26" t="e">
        <f>ROUND(Q126,2)*R126</f>
        <v>#DIV/0!</v>
      </c>
      <c r="U126" s="96" t="e">
        <f>R126*dagenperjaar1</f>
        <v>#DIV/0!</v>
      </c>
      <c r="V126" s="27" t="e">
        <f>U126*ROUND(Q126,2)</f>
        <v>#DIV/0!</v>
      </c>
    </row>
    <row r="127" spans="1:22" x14ac:dyDescent="0.35">
      <c r="A127" s="93" t="s">
        <v>468</v>
      </c>
      <c r="B127" s="94" t="s">
        <v>40</v>
      </c>
      <c r="C127" s="94" t="s">
        <v>470</v>
      </c>
      <c r="D127" s="94" t="s">
        <v>539</v>
      </c>
      <c r="E127" s="94" t="s">
        <v>40</v>
      </c>
      <c r="F127" s="95" t="s">
        <v>540</v>
      </c>
      <c r="G127" s="94" t="s">
        <v>40</v>
      </c>
      <c r="H127" s="94" t="s">
        <v>316</v>
      </c>
      <c r="I127" s="94"/>
      <c r="J127" s="94"/>
      <c r="K127" s="94"/>
      <c r="L127" s="96">
        <v>0</v>
      </c>
      <c r="M127" s="96"/>
      <c r="N127" s="97"/>
      <c r="O127" s="41"/>
      <c r="P127" s="94"/>
      <c r="Q127" s="26"/>
      <c r="R127" s="96"/>
      <c r="S127" s="96"/>
      <c r="T127" s="26"/>
      <c r="U127" s="98"/>
      <c r="V127" s="27"/>
    </row>
    <row r="128" spans="1:22" ht="29" x14ac:dyDescent="0.35">
      <c r="A128" s="93" t="s">
        <v>468</v>
      </c>
      <c r="B128" s="94" t="s">
        <v>40</v>
      </c>
      <c r="C128" s="94" t="s">
        <v>470</v>
      </c>
      <c r="D128" s="94" t="s">
        <v>541</v>
      </c>
      <c r="E128" s="94" t="s">
        <v>40</v>
      </c>
      <c r="F128" s="95" t="s">
        <v>542</v>
      </c>
      <c r="G128" s="94" t="s">
        <v>483</v>
      </c>
      <c r="H128" s="94" t="s">
        <v>316</v>
      </c>
      <c r="I128" s="94"/>
      <c r="J128" s="94"/>
      <c r="K128" s="94"/>
      <c r="L128" s="96">
        <v>66</v>
      </c>
      <c r="M128" s="96"/>
      <c r="N128" s="97"/>
      <c r="O128" s="41"/>
      <c r="P128" s="94"/>
      <c r="Q128" s="26"/>
      <c r="R128" s="96"/>
      <c r="S128" s="96"/>
      <c r="T128" s="26"/>
      <c r="U128" s="98"/>
      <c r="V128" s="27"/>
    </row>
    <row r="129" spans="1:22" x14ac:dyDescent="0.35">
      <c r="A129" s="93" t="s">
        <v>468</v>
      </c>
      <c r="B129" s="94" t="s">
        <v>40</v>
      </c>
      <c r="C129" s="94" t="s">
        <v>543</v>
      </c>
      <c r="D129" s="94" t="s">
        <v>544</v>
      </c>
      <c r="E129" s="94" t="s">
        <v>40</v>
      </c>
      <c r="F129" s="95" t="s">
        <v>545</v>
      </c>
      <c r="G129" s="94" t="s">
        <v>40</v>
      </c>
      <c r="H129" s="94" t="s">
        <v>316</v>
      </c>
      <c r="I129" s="94"/>
      <c r="J129" s="94"/>
      <c r="K129" s="94"/>
      <c r="L129" s="96">
        <v>0</v>
      </c>
      <c r="M129" s="96"/>
      <c r="N129" s="97"/>
      <c r="O129" s="41"/>
      <c r="P129" s="94"/>
      <c r="Q129" s="26"/>
      <c r="R129" s="96"/>
      <c r="S129" s="96"/>
      <c r="T129" s="26"/>
      <c r="U129" s="98"/>
      <c r="V129" s="27"/>
    </row>
    <row r="130" spans="1:22" x14ac:dyDescent="0.35">
      <c r="A130" s="93" t="s">
        <v>468</v>
      </c>
      <c r="B130" s="94" t="s">
        <v>40</v>
      </c>
      <c r="C130" s="94" t="s">
        <v>543</v>
      </c>
      <c r="D130" s="94" t="s">
        <v>546</v>
      </c>
      <c r="E130" s="94" t="s">
        <v>40</v>
      </c>
      <c r="F130" s="95" t="s">
        <v>473</v>
      </c>
      <c r="G130" s="94" t="s">
        <v>335</v>
      </c>
      <c r="H130" s="94" t="s">
        <v>254</v>
      </c>
      <c r="I130" s="94" t="s">
        <v>10</v>
      </c>
      <c r="J130" s="94" t="s">
        <v>218</v>
      </c>
      <c r="K130" s="95" t="s">
        <v>255</v>
      </c>
      <c r="L130" s="96">
        <v>6</v>
      </c>
      <c r="M130" s="96">
        <f>L130*VLOOKUP(I130,dagsoorttabel1,2,FALSE)</f>
        <v>6</v>
      </c>
      <c r="N130" s="97">
        <f>prodnorm33</f>
        <v>0</v>
      </c>
      <c r="O130" s="41">
        <f>dagwerk33</f>
        <v>0</v>
      </c>
      <c r="P130" s="94" t="s">
        <v>107</v>
      </c>
      <c r="Q130" s="26">
        <f>uurtarief33</f>
        <v>0</v>
      </c>
      <c r="R130" s="96" t="e">
        <f>IF(ISBLANK(N130),0,M130/ROUND(N130,4))</f>
        <v>#DIV/0!</v>
      </c>
      <c r="S130" s="96" t="e">
        <f>IF(ISBLANK(N130),0,R130*ROUND(O130,2))</f>
        <v>#DIV/0!</v>
      </c>
      <c r="T130" s="26" t="e">
        <f>ROUND(Q130,2)*R130</f>
        <v>#DIV/0!</v>
      </c>
      <c r="U130" s="96" t="e">
        <f>R130*dagenperjaar1</f>
        <v>#DIV/0!</v>
      </c>
      <c r="V130" s="27" t="e">
        <f>U130*ROUND(Q130,2)</f>
        <v>#DIV/0!</v>
      </c>
    </row>
    <row r="131" spans="1:22" x14ac:dyDescent="0.35">
      <c r="A131" s="93" t="s">
        <v>468</v>
      </c>
      <c r="B131" s="94" t="s">
        <v>40</v>
      </c>
      <c r="C131" s="94" t="s">
        <v>543</v>
      </c>
      <c r="D131" s="94" t="s">
        <v>547</v>
      </c>
      <c r="E131" s="94" t="s">
        <v>40</v>
      </c>
      <c r="F131" s="95" t="s">
        <v>548</v>
      </c>
      <c r="G131" s="94" t="s">
        <v>335</v>
      </c>
      <c r="H131" s="94" t="s">
        <v>256</v>
      </c>
      <c r="I131" s="94" t="s">
        <v>13</v>
      </c>
      <c r="J131" s="94" t="s">
        <v>218</v>
      </c>
      <c r="K131" s="95" t="s">
        <v>257</v>
      </c>
      <c r="L131" s="96">
        <v>11</v>
      </c>
      <c r="M131" s="96">
        <f>L131*VLOOKUP(I131,dagsoorttabel1,2,FALSE)</f>
        <v>4.4000000000000004</v>
      </c>
      <c r="N131" s="97">
        <f>prodnorm37</f>
        <v>0</v>
      </c>
      <c r="O131" s="41">
        <f>dagwerk37</f>
        <v>0</v>
      </c>
      <c r="P131" s="94" t="s">
        <v>107</v>
      </c>
      <c r="Q131" s="26">
        <f>uurtarief37</f>
        <v>0</v>
      </c>
      <c r="R131" s="96" t="e">
        <f>IF(ISBLANK(N131),0,M131/ROUND(N131,4))</f>
        <v>#DIV/0!</v>
      </c>
      <c r="S131" s="96" t="e">
        <f>IF(ISBLANK(N131),0,R131*ROUND(O131,2))</f>
        <v>#DIV/0!</v>
      </c>
      <c r="T131" s="26" t="e">
        <f>ROUND(Q131,2)*R131</f>
        <v>#DIV/0!</v>
      </c>
      <c r="U131" s="96" t="e">
        <f>R131*dagenperjaar1</f>
        <v>#DIV/0!</v>
      </c>
      <c r="V131" s="27" t="e">
        <f>U131*ROUND(Q131,2)</f>
        <v>#DIV/0!</v>
      </c>
    </row>
    <row r="132" spans="1:22" x14ac:dyDescent="0.35">
      <c r="A132" s="93" t="s">
        <v>468</v>
      </c>
      <c r="B132" s="94" t="s">
        <v>40</v>
      </c>
      <c r="C132" s="94" t="s">
        <v>543</v>
      </c>
      <c r="D132" s="94" t="s">
        <v>549</v>
      </c>
      <c r="E132" s="94" t="s">
        <v>40</v>
      </c>
      <c r="F132" s="95" t="s">
        <v>477</v>
      </c>
      <c r="G132" s="94" t="s">
        <v>335</v>
      </c>
      <c r="H132" s="94" t="s">
        <v>254</v>
      </c>
      <c r="I132" s="94" t="s">
        <v>14</v>
      </c>
      <c r="J132" s="94" t="s">
        <v>218</v>
      </c>
      <c r="K132" s="95" t="s">
        <v>255</v>
      </c>
      <c r="L132" s="96">
        <v>30</v>
      </c>
      <c r="M132" s="96">
        <f>L132*VLOOKUP(I132,dagsoorttabel1,2,FALSE)</f>
        <v>6</v>
      </c>
      <c r="N132" s="97">
        <f>prodnorm31</f>
        <v>0</v>
      </c>
      <c r="O132" s="41">
        <f>dagwerk31</f>
        <v>0</v>
      </c>
      <c r="P132" s="94" t="s">
        <v>107</v>
      </c>
      <c r="Q132" s="26">
        <f>uurtarief31</f>
        <v>0</v>
      </c>
      <c r="R132" s="96" t="e">
        <f>IF(ISBLANK(N132),0,M132/ROUND(N132,4))</f>
        <v>#DIV/0!</v>
      </c>
      <c r="S132" s="96" t="e">
        <f>IF(ISBLANK(N132),0,R132*ROUND(O132,2))</f>
        <v>#DIV/0!</v>
      </c>
      <c r="T132" s="26" t="e">
        <f>ROUND(Q132,2)*R132</f>
        <v>#DIV/0!</v>
      </c>
      <c r="U132" s="96" t="e">
        <f>R132*dagenperjaar1</f>
        <v>#DIV/0!</v>
      </c>
      <c r="V132" s="27" t="e">
        <f>U132*ROUND(Q132,2)</f>
        <v>#DIV/0!</v>
      </c>
    </row>
    <row r="133" spans="1:22" x14ac:dyDescent="0.35">
      <c r="A133" s="93" t="s">
        <v>468</v>
      </c>
      <c r="B133" s="94" t="s">
        <v>40</v>
      </c>
      <c r="C133" s="94" t="s">
        <v>543</v>
      </c>
      <c r="D133" s="94" t="s">
        <v>550</v>
      </c>
      <c r="E133" s="94" t="s">
        <v>40</v>
      </c>
      <c r="F133" s="95" t="s">
        <v>318</v>
      </c>
      <c r="G133" s="94" t="s">
        <v>40</v>
      </c>
      <c r="H133" s="94" t="s">
        <v>316</v>
      </c>
      <c r="I133" s="94"/>
      <c r="J133" s="94"/>
      <c r="K133" s="94"/>
      <c r="L133" s="96">
        <v>0</v>
      </c>
      <c r="M133" s="96"/>
      <c r="N133" s="97"/>
      <c r="O133" s="41"/>
      <c r="P133" s="94"/>
      <c r="Q133" s="26"/>
      <c r="R133" s="96"/>
      <c r="S133" s="96"/>
      <c r="T133" s="26"/>
      <c r="U133" s="98"/>
      <c r="V133" s="27"/>
    </row>
    <row r="134" spans="1:22" x14ac:dyDescent="0.35">
      <c r="A134" s="93" t="s">
        <v>468</v>
      </c>
      <c r="B134" s="94" t="s">
        <v>40</v>
      </c>
      <c r="C134" s="94" t="s">
        <v>543</v>
      </c>
      <c r="D134" s="94" t="s">
        <v>551</v>
      </c>
      <c r="E134" s="94" t="s">
        <v>40</v>
      </c>
      <c r="F134" s="95" t="s">
        <v>481</v>
      </c>
      <c r="G134" s="94" t="s">
        <v>40</v>
      </c>
      <c r="H134" s="94" t="s">
        <v>316</v>
      </c>
      <c r="I134" s="94"/>
      <c r="J134" s="94"/>
      <c r="K134" s="94"/>
      <c r="L134" s="96">
        <v>0</v>
      </c>
      <c r="M134" s="96"/>
      <c r="N134" s="97"/>
      <c r="O134" s="41"/>
      <c r="P134" s="94"/>
      <c r="Q134" s="26"/>
      <c r="R134" s="96"/>
      <c r="S134" s="96"/>
      <c r="T134" s="26"/>
      <c r="U134" s="98"/>
      <c r="V134" s="27"/>
    </row>
    <row r="135" spans="1:22" x14ac:dyDescent="0.35">
      <c r="A135" s="93" t="s">
        <v>468</v>
      </c>
      <c r="B135" s="94" t="s">
        <v>40</v>
      </c>
      <c r="C135" s="94" t="s">
        <v>543</v>
      </c>
      <c r="D135" s="94" t="s">
        <v>552</v>
      </c>
      <c r="E135" s="94" t="s">
        <v>40</v>
      </c>
      <c r="F135" s="95" t="s">
        <v>411</v>
      </c>
      <c r="G135" s="94" t="s">
        <v>483</v>
      </c>
      <c r="H135" s="94" t="s">
        <v>246</v>
      </c>
      <c r="I135" s="94" t="s">
        <v>14</v>
      </c>
      <c r="J135" s="94" t="s">
        <v>218</v>
      </c>
      <c r="K135" s="95" t="s">
        <v>247</v>
      </c>
      <c r="L135" s="96">
        <v>243</v>
      </c>
      <c r="M135" s="96">
        <f>L135*VLOOKUP(I135,dagsoorttabel1,2,FALSE)</f>
        <v>48.6</v>
      </c>
      <c r="N135" s="97">
        <f>prodnorm24</f>
        <v>0</v>
      </c>
      <c r="O135" s="41">
        <f>dagwerk24</f>
        <v>0</v>
      </c>
      <c r="P135" s="94" t="s">
        <v>107</v>
      </c>
      <c r="Q135" s="26">
        <f>uurtarief24</f>
        <v>0</v>
      </c>
      <c r="R135" s="96" t="e">
        <f>IF(ISBLANK(N135),0,M135/ROUND(N135,4))</f>
        <v>#DIV/0!</v>
      </c>
      <c r="S135" s="96" t="e">
        <f>IF(ISBLANK(N135),0,R135*ROUND(O135,2))</f>
        <v>#DIV/0!</v>
      </c>
      <c r="T135" s="26" t="e">
        <f>ROUND(Q135,2)*R135</f>
        <v>#DIV/0!</v>
      </c>
      <c r="U135" s="96" t="e">
        <f>R135*dagenperjaar1</f>
        <v>#DIV/0!</v>
      </c>
      <c r="V135" s="27" t="e">
        <f>U135*ROUND(Q135,2)</f>
        <v>#DIV/0!</v>
      </c>
    </row>
    <row r="136" spans="1:22" x14ac:dyDescent="0.35">
      <c r="A136" s="93" t="s">
        <v>468</v>
      </c>
      <c r="B136" s="94" t="s">
        <v>40</v>
      </c>
      <c r="C136" s="94" t="s">
        <v>543</v>
      </c>
      <c r="D136" s="94" t="s">
        <v>553</v>
      </c>
      <c r="E136" s="94" t="s">
        <v>40</v>
      </c>
      <c r="F136" s="95" t="s">
        <v>554</v>
      </c>
      <c r="G136" s="94" t="s">
        <v>40</v>
      </c>
      <c r="H136" s="94" t="s">
        <v>316</v>
      </c>
      <c r="I136" s="94"/>
      <c r="J136" s="94"/>
      <c r="K136" s="94"/>
      <c r="L136" s="96">
        <v>0</v>
      </c>
      <c r="M136" s="96"/>
      <c r="N136" s="97"/>
      <c r="O136" s="41"/>
      <c r="P136" s="94"/>
      <c r="Q136" s="26"/>
      <c r="R136" s="96"/>
      <c r="S136" s="96"/>
      <c r="T136" s="26"/>
      <c r="U136" s="98"/>
      <c r="V136" s="27"/>
    </row>
    <row r="137" spans="1:22" x14ac:dyDescent="0.35">
      <c r="A137" s="93" t="s">
        <v>468</v>
      </c>
      <c r="B137" s="94" t="s">
        <v>40</v>
      </c>
      <c r="C137" s="94" t="s">
        <v>543</v>
      </c>
      <c r="D137" s="94" t="s">
        <v>555</v>
      </c>
      <c r="E137" s="94" t="s">
        <v>40</v>
      </c>
      <c r="F137" s="95" t="s">
        <v>556</v>
      </c>
      <c r="G137" s="94" t="s">
        <v>483</v>
      </c>
      <c r="H137" s="94" t="s">
        <v>236</v>
      </c>
      <c r="I137" s="94" t="s">
        <v>16</v>
      </c>
      <c r="J137" s="94" t="s">
        <v>218</v>
      </c>
      <c r="K137" s="95" t="s">
        <v>237</v>
      </c>
      <c r="L137" s="96">
        <v>116</v>
      </c>
      <c r="M137" s="96">
        <f>L137*VLOOKUP(I137,dagsoorttabel1,2,FALSE)</f>
        <v>5.4588235294117649</v>
      </c>
      <c r="N137" s="97">
        <f>prodnorm16</f>
        <v>0</v>
      </c>
      <c r="O137" s="41">
        <f>dagwerk16</f>
        <v>0</v>
      </c>
      <c r="P137" s="94" t="s">
        <v>107</v>
      </c>
      <c r="Q137" s="26">
        <f>uurtarief16</f>
        <v>0</v>
      </c>
      <c r="R137" s="96" t="e">
        <f>IF(ISBLANK(N137),0,M137/ROUND(N137,4))</f>
        <v>#DIV/0!</v>
      </c>
      <c r="S137" s="96" t="e">
        <f>IF(ISBLANK(N137),0,R137*ROUND(O137,2))</f>
        <v>#DIV/0!</v>
      </c>
      <c r="T137" s="26" t="e">
        <f>ROUND(Q137,2)*R137</f>
        <v>#DIV/0!</v>
      </c>
      <c r="U137" s="96" t="e">
        <f>R137*dagenperjaar1</f>
        <v>#DIV/0!</v>
      </c>
      <c r="V137" s="27" t="e">
        <f>U137*ROUND(Q137,2)</f>
        <v>#DIV/0!</v>
      </c>
    </row>
    <row r="138" spans="1:22" x14ac:dyDescent="0.35">
      <c r="A138" s="93" t="s">
        <v>468</v>
      </c>
      <c r="B138" s="94" t="s">
        <v>40</v>
      </c>
      <c r="C138" s="94" t="s">
        <v>543</v>
      </c>
      <c r="D138" s="94" t="s">
        <v>557</v>
      </c>
      <c r="E138" s="94" t="s">
        <v>40</v>
      </c>
      <c r="F138" s="95" t="s">
        <v>411</v>
      </c>
      <c r="G138" s="94" t="s">
        <v>483</v>
      </c>
      <c r="H138" s="94" t="s">
        <v>246</v>
      </c>
      <c r="I138" s="94" t="s">
        <v>13</v>
      </c>
      <c r="J138" s="94" t="s">
        <v>218</v>
      </c>
      <c r="K138" s="95" t="s">
        <v>247</v>
      </c>
      <c r="L138" s="96">
        <v>8</v>
      </c>
      <c r="M138" s="96">
        <f>L138*VLOOKUP(I138,dagsoorttabel1,2,FALSE)</f>
        <v>3.2</v>
      </c>
      <c r="N138" s="97">
        <f>prodnorm25</f>
        <v>0</v>
      </c>
      <c r="O138" s="41">
        <f>dagwerk25</f>
        <v>0</v>
      </c>
      <c r="P138" s="94" t="s">
        <v>107</v>
      </c>
      <c r="Q138" s="26">
        <f>uurtarief25</f>
        <v>0</v>
      </c>
      <c r="R138" s="96" t="e">
        <f>IF(ISBLANK(N138),0,M138/ROUND(N138,4))</f>
        <v>#DIV/0!</v>
      </c>
      <c r="S138" s="96" t="e">
        <f>IF(ISBLANK(N138),0,R138*ROUND(O138,2))</f>
        <v>#DIV/0!</v>
      </c>
      <c r="T138" s="26" t="e">
        <f>ROUND(Q138,2)*R138</f>
        <v>#DIV/0!</v>
      </c>
      <c r="U138" s="96" t="e">
        <f>R138*dagenperjaar1</f>
        <v>#DIV/0!</v>
      </c>
      <c r="V138" s="27" t="e">
        <f>U138*ROUND(Q138,2)</f>
        <v>#DIV/0!</v>
      </c>
    </row>
    <row r="139" spans="1:22" x14ac:dyDescent="0.35">
      <c r="A139" s="93" t="s">
        <v>468</v>
      </c>
      <c r="B139" s="94" t="s">
        <v>40</v>
      </c>
      <c r="C139" s="94" t="s">
        <v>543</v>
      </c>
      <c r="D139" s="94" t="s">
        <v>558</v>
      </c>
      <c r="E139" s="94" t="s">
        <v>40</v>
      </c>
      <c r="F139" s="95" t="s">
        <v>559</v>
      </c>
      <c r="G139" s="94" t="s">
        <v>483</v>
      </c>
      <c r="H139" s="94" t="s">
        <v>236</v>
      </c>
      <c r="I139" s="94" t="s">
        <v>16</v>
      </c>
      <c r="J139" s="94" t="s">
        <v>218</v>
      </c>
      <c r="K139" s="95" t="s">
        <v>237</v>
      </c>
      <c r="L139" s="96">
        <v>66</v>
      </c>
      <c r="M139" s="96">
        <f>L139*VLOOKUP(I139,dagsoorttabel1,2,FALSE)</f>
        <v>3.1058823529411765</v>
      </c>
      <c r="N139" s="97">
        <f>prodnorm16</f>
        <v>0</v>
      </c>
      <c r="O139" s="41">
        <f>dagwerk16</f>
        <v>0</v>
      </c>
      <c r="P139" s="94" t="s">
        <v>107</v>
      </c>
      <c r="Q139" s="26">
        <f>uurtarief16</f>
        <v>0</v>
      </c>
      <c r="R139" s="96" t="e">
        <f>IF(ISBLANK(N139),0,M139/ROUND(N139,4))</f>
        <v>#DIV/0!</v>
      </c>
      <c r="S139" s="96" t="e">
        <f>IF(ISBLANK(N139),0,R139*ROUND(O139,2))</f>
        <v>#DIV/0!</v>
      </c>
      <c r="T139" s="26" t="e">
        <f>ROUND(Q139,2)*R139</f>
        <v>#DIV/0!</v>
      </c>
      <c r="U139" s="96" t="e">
        <f>R139*dagenperjaar1</f>
        <v>#DIV/0!</v>
      </c>
      <c r="V139" s="27" t="e">
        <f>U139*ROUND(Q139,2)</f>
        <v>#DIV/0!</v>
      </c>
    </row>
    <row r="140" spans="1:22" x14ac:dyDescent="0.35">
      <c r="A140" s="93" t="s">
        <v>468</v>
      </c>
      <c r="B140" s="94" t="s">
        <v>40</v>
      </c>
      <c r="C140" s="94" t="s">
        <v>543</v>
      </c>
      <c r="D140" s="94" t="s">
        <v>560</v>
      </c>
      <c r="E140" s="94" t="s">
        <v>40</v>
      </c>
      <c r="F140" s="95" t="s">
        <v>493</v>
      </c>
      <c r="G140" s="94" t="s">
        <v>494</v>
      </c>
      <c r="H140" s="94" t="s">
        <v>254</v>
      </c>
      <c r="I140" s="94" t="s">
        <v>16</v>
      </c>
      <c r="J140" s="94" t="s">
        <v>218</v>
      </c>
      <c r="K140" s="95" t="s">
        <v>255</v>
      </c>
      <c r="L140" s="96">
        <v>51</v>
      </c>
      <c r="M140" s="96">
        <f>L140*VLOOKUP(I140,dagsoorttabel1,2,FALSE)</f>
        <v>2.4</v>
      </c>
      <c r="N140" s="97">
        <f>prodnorm30</f>
        <v>0</v>
      </c>
      <c r="O140" s="41">
        <f>dagwerk30</f>
        <v>0</v>
      </c>
      <c r="P140" s="94" t="s">
        <v>107</v>
      </c>
      <c r="Q140" s="26">
        <f>uurtarief30</f>
        <v>0</v>
      </c>
      <c r="R140" s="96" t="e">
        <f>IF(ISBLANK(N140),0,M140/ROUND(N140,4))</f>
        <v>#DIV/0!</v>
      </c>
      <c r="S140" s="96" t="e">
        <f>IF(ISBLANK(N140),0,R140*ROUND(O140,2))</f>
        <v>#DIV/0!</v>
      </c>
      <c r="T140" s="26" t="e">
        <f>ROUND(Q140,2)*R140</f>
        <v>#DIV/0!</v>
      </c>
      <c r="U140" s="96" t="e">
        <f>R140*dagenperjaar1</f>
        <v>#DIV/0!</v>
      </c>
      <c r="V140" s="27" t="e">
        <f>U140*ROUND(Q140,2)</f>
        <v>#DIV/0!</v>
      </c>
    </row>
    <row r="141" spans="1:22" x14ac:dyDescent="0.35">
      <c r="A141" s="93" t="s">
        <v>468</v>
      </c>
      <c r="B141" s="94" t="s">
        <v>40</v>
      </c>
      <c r="C141" s="94" t="s">
        <v>543</v>
      </c>
      <c r="D141" s="94" t="s">
        <v>561</v>
      </c>
      <c r="E141" s="94" t="s">
        <v>40</v>
      </c>
      <c r="F141" s="95" t="s">
        <v>491</v>
      </c>
      <c r="G141" s="94" t="s">
        <v>483</v>
      </c>
      <c r="H141" s="94" t="s">
        <v>256</v>
      </c>
      <c r="I141" s="94" t="s">
        <v>16</v>
      </c>
      <c r="J141" s="94" t="s">
        <v>218</v>
      </c>
      <c r="K141" s="95" t="s">
        <v>257</v>
      </c>
      <c r="L141" s="96">
        <v>7</v>
      </c>
      <c r="M141" s="96">
        <f>L141*VLOOKUP(I141,dagsoorttabel1,2,FALSE)</f>
        <v>0.32941176470588235</v>
      </c>
      <c r="N141" s="97">
        <f>prodnorm34</f>
        <v>0</v>
      </c>
      <c r="O141" s="41">
        <f>dagwerk34</f>
        <v>0</v>
      </c>
      <c r="P141" s="94" t="s">
        <v>107</v>
      </c>
      <c r="Q141" s="26">
        <f>uurtarief34</f>
        <v>0</v>
      </c>
      <c r="R141" s="96" t="e">
        <f>IF(ISBLANK(N141),0,M141/ROUND(N141,4))</f>
        <v>#DIV/0!</v>
      </c>
      <c r="S141" s="96" t="e">
        <f>IF(ISBLANK(N141),0,R141*ROUND(O141,2))</f>
        <v>#DIV/0!</v>
      </c>
      <c r="T141" s="26" t="e">
        <f>ROUND(Q141,2)*R141</f>
        <v>#DIV/0!</v>
      </c>
      <c r="U141" s="96" t="e">
        <f>R141*dagenperjaar1</f>
        <v>#DIV/0!</v>
      </c>
      <c r="V141" s="27" t="e">
        <f>U141*ROUND(Q141,2)</f>
        <v>#DIV/0!</v>
      </c>
    </row>
    <row r="142" spans="1:22" x14ac:dyDescent="0.35">
      <c r="A142" s="93" t="s">
        <v>468</v>
      </c>
      <c r="B142" s="94" t="s">
        <v>40</v>
      </c>
      <c r="C142" s="94" t="s">
        <v>543</v>
      </c>
      <c r="D142" s="94" t="s">
        <v>562</v>
      </c>
      <c r="E142" s="94" t="s">
        <v>40</v>
      </c>
      <c r="F142" s="95" t="s">
        <v>563</v>
      </c>
      <c r="G142" s="94" t="s">
        <v>483</v>
      </c>
      <c r="H142" s="94" t="s">
        <v>217</v>
      </c>
      <c r="I142" s="94" t="s">
        <v>14</v>
      </c>
      <c r="J142" s="94" t="s">
        <v>218</v>
      </c>
      <c r="K142" s="95" t="s">
        <v>219</v>
      </c>
      <c r="L142" s="96">
        <v>6</v>
      </c>
      <c r="M142" s="96">
        <f>L142*VLOOKUP(I142,dagsoorttabel1,2,FALSE)</f>
        <v>1.2000000000000002</v>
      </c>
      <c r="N142" s="97">
        <f>prodnorm3</f>
        <v>0</v>
      </c>
      <c r="O142" s="41">
        <f>dagwerk3</f>
        <v>0</v>
      </c>
      <c r="P142" s="94" t="s">
        <v>107</v>
      </c>
      <c r="Q142" s="26">
        <f>uurtarief3</f>
        <v>0</v>
      </c>
      <c r="R142" s="96" t="e">
        <f>IF(ISBLANK(N142),0,M142/ROUND(N142,4))</f>
        <v>#DIV/0!</v>
      </c>
      <c r="S142" s="96" t="e">
        <f>IF(ISBLANK(N142),0,R142*ROUND(O142,2))</f>
        <v>#DIV/0!</v>
      </c>
      <c r="T142" s="26" t="e">
        <f>ROUND(Q142,2)*R142</f>
        <v>#DIV/0!</v>
      </c>
      <c r="U142" s="96" t="e">
        <f>R142*dagenperjaar1</f>
        <v>#DIV/0!</v>
      </c>
      <c r="V142" s="27" t="e">
        <f>U142*ROUND(Q142,2)</f>
        <v>#DIV/0!</v>
      </c>
    </row>
    <row r="143" spans="1:22" x14ac:dyDescent="0.35">
      <c r="A143" s="93" t="s">
        <v>468</v>
      </c>
      <c r="B143" s="94" t="s">
        <v>40</v>
      </c>
      <c r="C143" s="94" t="s">
        <v>543</v>
      </c>
      <c r="D143" s="94" t="s">
        <v>564</v>
      </c>
      <c r="E143" s="94" t="s">
        <v>40</v>
      </c>
      <c r="F143" s="95" t="s">
        <v>411</v>
      </c>
      <c r="G143" s="94" t="s">
        <v>483</v>
      </c>
      <c r="H143" s="94" t="s">
        <v>246</v>
      </c>
      <c r="I143" s="94" t="s">
        <v>16</v>
      </c>
      <c r="J143" s="94" t="s">
        <v>218</v>
      </c>
      <c r="K143" s="95" t="s">
        <v>247</v>
      </c>
      <c r="L143" s="96">
        <v>153</v>
      </c>
      <c r="M143" s="96">
        <f>L143*VLOOKUP(I143,dagsoorttabel1,2,FALSE)</f>
        <v>7.2</v>
      </c>
      <c r="N143" s="97">
        <f>prodnorm23</f>
        <v>0</v>
      </c>
      <c r="O143" s="41">
        <f>dagwerk23</f>
        <v>0</v>
      </c>
      <c r="P143" s="94" t="s">
        <v>107</v>
      </c>
      <c r="Q143" s="26">
        <f>uurtarief23</f>
        <v>0</v>
      </c>
      <c r="R143" s="96" t="e">
        <f>IF(ISBLANK(N143),0,M143/ROUND(N143,4))</f>
        <v>#DIV/0!</v>
      </c>
      <c r="S143" s="96" t="e">
        <f>IF(ISBLANK(N143),0,R143*ROUND(O143,2))</f>
        <v>#DIV/0!</v>
      </c>
      <c r="T143" s="26" t="e">
        <f>ROUND(Q143,2)*R143</f>
        <v>#DIV/0!</v>
      </c>
      <c r="U143" s="96" t="e">
        <f>R143*dagenperjaar1</f>
        <v>#DIV/0!</v>
      </c>
      <c r="V143" s="27" t="e">
        <f>U143*ROUND(Q143,2)</f>
        <v>#DIV/0!</v>
      </c>
    </row>
    <row r="144" spans="1:22" x14ac:dyDescent="0.35">
      <c r="A144" s="93" t="s">
        <v>468</v>
      </c>
      <c r="B144" s="94" t="s">
        <v>40</v>
      </c>
      <c r="C144" s="94" t="s">
        <v>543</v>
      </c>
      <c r="D144" s="94" t="s">
        <v>565</v>
      </c>
      <c r="E144" s="94" t="s">
        <v>40</v>
      </c>
      <c r="F144" s="95" t="s">
        <v>566</v>
      </c>
      <c r="G144" s="94" t="s">
        <v>483</v>
      </c>
      <c r="H144" s="94" t="s">
        <v>236</v>
      </c>
      <c r="I144" s="94" t="s">
        <v>16</v>
      </c>
      <c r="J144" s="94" t="s">
        <v>218</v>
      </c>
      <c r="K144" s="95" t="s">
        <v>237</v>
      </c>
      <c r="L144" s="96">
        <v>222</v>
      </c>
      <c r="M144" s="96">
        <f>L144*VLOOKUP(I144,dagsoorttabel1,2,FALSE)</f>
        <v>10.447058823529412</v>
      </c>
      <c r="N144" s="97">
        <f>prodnorm16</f>
        <v>0</v>
      </c>
      <c r="O144" s="41">
        <f>dagwerk16</f>
        <v>0</v>
      </c>
      <c r="P144" s="94" t="s">
        <v>107</v>
      </c>
      <c r="Q144" s="26">
        <f>uurtarief16</f>
        <v>0</v>
      </c>
      <c r="R144" s="96" t="e">
        <f>IF(ISBLANK(N144),0,M144/ROUND(N144,4))</f>
        <v>#DIV/0!</v>
      </c>
      <c r="S144" s="96" t="e">
        <f>IF(ISBLANK(N144),0,R144*ROUND(O144,2))</f>
        <v>#DIV/0!</v>
      </c>
      <c r="T144" s="26" t="e">
        <f>ROUND(Q144,2)*R144</f>
        <v>#DIV/0!</v>
      </c>
      <c r="U144" s="96" t="e">
        <f>R144*dagenperjaar1</f>
        <v>#DIV/0!</v>
      </c>
      <c r="V144" s="27" t="e">
        <f>U144*ROUND(Q144,2)</f>
        <v>#DIV/0!</v>
      </c>
    </row>
    <row r="145" spans="1:22" x14ac:dyDescent="0.35">
      <c r="A145" s="93" t="s">
        <v>468</v>
      </c>
      <c r="B145" s="94" t="s">
        <v>40</v>
      </c>
      <c r="C145" s="94" t="s">
        <v>543</v>
      </c>
      <c r="D145" s="94" t="s">
        <v>567</v>
      </c>
      <c r="E145" s="94" t="s">
        <v>40</v>
      </c>
      <c r="F145" s="95" t="s">
        <v>568</v>
      </c>
      <c r="G145" s="94" t="s">
        <v>321</v>
      </c>
      <c r="H145" s="94" t="s">
        <v>242</v>
      </c>
      <c r="I145" s="94" t="s">
        <v>10</v>
      </c>
      <c r="J145" s="94" t="s">
        <v>218</v>
      </c>
      <c r="K145" s="95" t="s">
        <v>243</v>
      </c>
      <c r="L145" s="96">
        <v>13</v>
      </c>
      <c r="M145" s="96">
        <f>L145*VLOOKUP(I145,dagsoorttabel1,2,FALSE)</f>
        <v>13</v>
      </c>
      <c r="N145" s="97">
        <f>prodnorm21</f>
        <v>0</v>
      </c>
      <c r="O145" s="41">
        <f>dagwerk21</f>
        <v>0</v>
      </c>
      <c r="P145" s="94" t="s">
        <v>107</v>
      </c>
      <c r="Q145" s="26">
        <f>uurtarief21</f>
        <v>0</v>
      </c>
      <c r="R145" s="96" t="e">
        <f>IF(ISBLANK(N145),0,M145/ROUND(N145,4))</f>
        <v>#DIV/0!</v>
      </c>
      <c r="S145" s="96" t="e">
        <f>IF(ISBLANK(N145),0,R145*ROUND(O145,2))</f>
        <v>#DIV/0!</v>
      </c>
      <c r="T145" s="26" t="e">
        <f>ROUND(Q145,2)*R145</f>
        <v>#DIV/0!</v>
      </c>
      <c r="U145" s="96" t="e">
        <f>R145*dagenperjaar1</f>
        <v>#DIV/0!</v>
      </c>
      <c r="V145" s="27" t="e">
        <f>U145*ROUND(Q145,2)</f>
        <v>#DIV/0!</v>
      </c>
    </row>
    <row r="146" spans="1:22" x14ac:dyDescent="0.35">
      <c r="A146" s="93" t="s">
        <v>468</v>
      </c>
      <c r="B146" s="94" t="s">
        <v>40</v>
      </c>
      <c r="C146" s="94" t="s">
        <v>543</v>
      </c>
      <c r="D146" s="94" t="s">
        <v>567</v>
      </c>
      <c r="E146" s="94" t="s">
        <v>40</v>
      </c>
      <c r="F146" s="95" t="s">
        <v>568</v>
      </c>
      <c r="G146" s="94" t="s">
        <v>321</v>
      </c>
      <c r="H146" s="94" t="s">
        <v>244</v>
      </c>
      <c r="I146" s="94" t="s">
        <v>9</v>
      </c>
      <c r="J146" s="94" t="s">
        <v>218</v>
      </c>
      <c r="K146" s="95" t="s">
        <v>245</v>
      </c>
      <c r="L146" s="96">
        <v>13</v>
      </c>
      <c r="M146" s="96">
        <f>L146*VLOOKUP(I146,dagsoorttabel1,2,FALSE)</f>
        <v>39</v>
      </c>
      <c r="N146" s="97">
        <f>prodnorm22</f>
        <v>0</v>
      </c>
      <c r="O146" s="41">
        <f>dagwerk22</f>
        <v>0</v>
      </c>
      <c r="P146" s="94" t="s">
        <v>107</v>
      </c>
      <c r="Q146" s="26">
        <f>uurtarief22</f>
        <v>0</v>
      </c>
      <c r="R146" s="96" t="e">
        <f>IF(ISBLANK(N146),0,M146/ROUND(N146,4))</f>
        <v>#DIV/0!</v>
      </c>
      <c r="S146" s="96" t="e">
        <f>IF(ISBLANK(N146),0,R146*ROUND(O146,2))</f>
        <v>#DIV/0!</v>
      </c>
      <c r="T146" s="26" t="e">
        <f>ROUND(Q146,2)*R146</f>
        <v>#DIV/0!</v>
      </c>
      <c r="U146" s="96" t="e">
        <f>R146*dagenperjaar1</f>
        <v>#DIV/0!</v>
      </c>
      <c r="V146" s="27" t="e">
        <f>U146*ROUND(Q146,2)</f>
        <v>#DIV/0!</v>
      </c>
    </row>
    <row r="147" spans="1:22" x14ac:dyDescent="0.35">
      <c r="A147" s="93" t="s">
        <v>468</v>
      </c>
      <c r="B147" s="94" t="s">
        <v>40</v>
      </c>
      <c r="C147" s="94" t="s">
        <v>543</v>
      </c>
      <c r="D147" s="94" t="s">
        <v>569</v>
      </c>
      <c r="E147" s="94" t="s">
        <v>40</v>
      </c>
      <c r="F147" s="95" t="s">
        <v>568</v>
      </c>
      <c r="G147" s="94" t="s">
        <v>321</v>
      </c>
      <c r="H147" s="94" t="s">
        <v>242</v>
      </c>
      <c r="I147" s="94" t="s">
        <v>10</v>
      </c>
      <c r="J147" s="94" t="s">
        <v>218</v>
      </c>
      <c r="K147" s="95" t="s">
        <v>243</v>
      </c>
      <c r="L147" s="96">
        <v>13</v>
      </c>
      <c r="M147" s="96">
        <f>L147*VLOOKUP(I147,dagsoorttabel1,2,FALSE)</f>
        <v>13</v>
      </c>
      <c r="N147" s="97">
        <f>prodnorm21</f>
        <v>0</v>
      </c>
      <c r="O147" s="41">
        <f>dagwerk21</f>
        <v>0</v>
      </c>
      <c r="P147" s="94" t="s">
        <v>107</v>
      </c>
      <c r="Q147" s="26">
        <f>uurtarief21</f>
        <v>0</v>
      </c>
      <c r="R147" s="96" t="e">
        <f>IF(ISBLANK(N147),0,M147/ROUND(N147,4))</f>
        <v>#DIV/0!</v>
      </c>
      <c r="S147" s="96" t="e">
        <f>IF(ISBLANK(N147),0,R147*ROUND(O147,2))</f>
        <v>#DIV/0!</v>
      </c>
      <c r="T147" s="26" t="e">
        <f>ROUND(Q147,2)*R147</f>
        <v>#DIV/0!</v>
      </c>
      <c r="U147" s="96" t="e">
        <f>R147*dagenperjaar1</f>
        <v>#DIV/0!</v>
      </c>
      <c r="V147" s="27" t="e">
        <f>U147*ROUND(Q147,2)</f>
        <v>#DIV/0!</v>
      </c>
    </row>
    <row r="148" spans="1:22" x14ac:dyDescent="0.35">
      <c r="A148" s="93" t="s">
        <v>468</v>
      </c>
      <c r="B148" s="94" t="s">
        <v>40</v>
      </c>
      <c r="C148" s="94" t="s">
        <v>543</v>
      </c>
      <c r="D148" s="94" t="s">
        <v>569</v>
      </c>
      <c r="E148" s="94" t="s">
        <v>40</v>
      </c>
      <c r="F148" s="95" t="s">
        <v>568</v>
      </c>
      <c r="G148" s="94" t="s">
        <v>321</v>
      </c>
      <c r="H148" s="94" t="s">
        <v>244</v>
      </c>
      <c r="I148" s="94" t="s">
        <v>9</v>
      </c>
      <c r="J148" s="94" t="s">
        <v>218</v>
      </c>
      <c r="K148" s="95" t="s">
        <v>245</v>
      </c>
      <c r="L148" s="96">
        <v>13</v>
      </c>
      <c r="M148" s="96">
        <f>L148*VLOOKUP(I148,dagsoorttabel1,2,FALSE)</f>
        <v>39</v>
      </c>
      <c r="N148" s="97">
        <f>prodnorm22</f>
        <v>0</v>
      </c>
      <c r="O148" s="41">
        <f>dagwerk22</f>
        <v>0</v>
      </c>
      <c r="P148" s="94" t="s">
        <v>107</v>
      </c>
      <c r="Q148" s="26">
        <f>uurtarief22</f>
        <v>0</v>
      </c>
      <c r="R148" s="96" t="e">
        <f>IF(ISBLANK(N148),0,M148/ROUND(N148,4))</f>
        <v>#DIV/0!</v>
      </c>
      <c r="S148" s="96" t="e">
        <f>IF(ISBLANK(N148),0,R148*ROUND(O148,2))</f>
        <v>#DIV/0!</v>
      </c>
      <c r="T148" s="26" t="e">
        <f>ROUND(Q148,2)*R148</f>
        <v>#DIV/0!</v>
      </c>
      <c r="U148" s="96" t="e">
        <f>R148*dagenperjaar1</f>
        <v>#DIV/0!</v>
      </c>
      <c r="V148" s="27" t="e">
        <f>U148*ROUND(Q148,2)</f>
        <v>#DIV/0!</v>
      </c>
    </row>
    <row r="149" spans="1:22" x14ac:dyDescent="0.35">
      <c r="A149" s="93" t="s">
        <v>468</v>
      </c>
      <c r="B149" s="94" t="s">
        <v>40</v>
      </c>
      <c r="C149" s="94" t="s">
        <v>543</v>
      </c>
      <c r="D149" s="94" t="s">
        <v>570</v>
      </c>
      <c r="E149" s="94" t="s">
        <v>40</v>
      </c>
      <c r="F149" s="95" t="s">
        <v>571</v>
      </c>
      <c r="G149" s="94" t="s">
        <v>321</v>
      </c>
      <c r="H149" s="94" t="s">
        <v>242</v>
      </c>
      <c r="I149" s="94" t="s">
        <v>10</v>
      </c>
      <c r="J149" s="94" t="s">
        <v>218</v>
      </c>
      <c r="K149" s="95" t="s">
        <v>243</v>
      </c>
      <c r="L149" s="96">
        <v>5</v>
      </c>
      <c r="M149" s="96">
        <f>L149*VLOOKUP(I149,dagsoorttabel1,2,FALSE)</f>
        <v>5</v>
      </c>
      <c r="N149" s="97">
        <f>prodnorm21</f>
        <v>0</v>
      </c>
      <c r="O149" s="41">
        <f>dagwerk21</f>
        <v>0</v>
      </c>
      <c r="P149" s="94" t="s">
        <v>107</v>
      </c>
      <c r="Q149" s="26">
        <f>uurtarief21</f>
        <v>0</v>
      </c>
      <c r="R149" s="96" t="e">
        <f>IF(ISBLANK(N149),0,M149/ROUND(N149,4))</f>
        <v>#DIV/0!</v>
      </c>
      <c r="S149" s="96" t="e">
        <f>IF(ISBLANK(N149),0,R149*ROUND(O149,2))</f>
        <v>#DIV/0!</v>
      </c>
      <c r="T149" s="26" t="e">
        <f>ROUND(Q149,2)*R149</f>
        <v>#DIV/0!</v>
      </c>
      <c r="U149" s="96" t="e">
        <f>R149*dagenperjaar1</f>
        <v>#DIV/0!</v>
      </c>
      <c r="V149" s="27" t="e">
        <f>U149*ROUND(Q149,2)</f>
        <v>#DIV/0!</v>
      </c>
    </row>
    <row r="150" spans="1:22" x14ac:dyDescent="0.35">
      <c r="A150" s="93" t="s">
        <v>468</v>
      </c>
      <c r="B150" s="94" t="s">
        <v>40</v>
      </c>
      <c r="C150" s="94" t="s">
        <v>543</v>
      </c>
      <c r="D150" s="94" t="s">
        <v>570</v>
      </c>
      <c r="E150" s="94" t="s">
        <v>40</v>
      </c>
      <c r="F150" s="95" t="s">
        <v>571</v>
      </c>
      <c r="G150" s="94" t="s">
        <v>321</v>
      </c>
      <c r="H150" s="94" t="s">
        <v>244</v>
      </c>
      <c r="I150" s="94" t="s">
        <v>9</v>
      </c>
      <c r="J150" s="94" t="s">
        <v>218</v>
      </c>
      <c r="K150" s="95" t="s">
        <v>245</v>
      </c>
      <c r="L150" s="96">
        <v>5</v>
      </c>
      <c r="M150" s="96">
        <f>L150*VLOOKUP(I150,dagsoorttabel1,2,FALSE)</f>
        <v>15</v>
      </c>
      <c r="N150" s="97">
        <f>prodnorm22</f>
        <v>0</v>
      </c>
      <c r="O150" s="41">
        <f>dagwerk22</f>
        <v>0</v>
      </c>
      <c r="P150" s="94" t="s">
        <v>107</v>
      </c>
      <c r="Q150" s="26">
        <f>uurtarief22</f>
        <v>0</v>
      </c>
      <c r="R150" s="96" t="e">
        <f>IF(ISBLANK(N150),0,M150/ROUND(N150,4))</f>
        <v>#DIV/0!</v>
      </c>
      <c r="S150" s="96" t="e">
        <f>IF(ISBLANK(N150),0,R150*ROUND(O150,2))</f>
        <v>#DIV/0!</v>
      </c>
      <c r="T150" s="26" t="e">
        <f>ROUND(Q150,2)*R150</f>
        <v>#DIV/0!</v>
      </c>
      <c r="U150" s="96" t="e">
        <f>R150*dagenperjaar1</f>
        <v>#DIV/0!</v>
      </c>
      <c r="V150" s="27" t="e">
        <f>U150*ROUND(Q150,2)</f>
        <v>#DIV/0!</v>
      </c>
    </row>
    <row r="151" spans="1:22" x14ac:dyDescent="0.35">
      <c r="A151" s="93" t="s">
        <v>468</v>
      </c>
      <c r="B151" s="94" t="s">
        <v>40</v>
      </c>
      <c r="C151" s="94" t="s">
        <v>543</v>
      </c>
      <c r="D151" s="94" t="s">
        <v>572</v>
      </c>
      <c r="E151" s="94" t="s">
        <v>40</v>
      </c>
      <c r="F151" s="95" t="s">
        <v>573</v>
      </c>
      <c r="G151" s="94" t="s">
        <v>335</v>
      </c>
      <c r="H151" s="94" t="s">
        <v>254</v>
      </c>
      <c r="I151" s="94" t="s">
        <v>10</v>
      </c>
      <c r="J151" s="94" t="s">
        <v>218</v>
      </c>
      <c r="K151" s="95" t="s">
        <v>255</v>
      </c>
      <c r="L151" s="96">
        <v>4</v>
      </c>
      <c r="M151" s="96">
        <f>L151*VLOOKUP(I151,dagsoorttabel1,2,FALSE)</f>
        <v>4</v>
      </c>
      <c r="N151" s="97">
        <f>prodnorm33</f>
        <v>0</v>
      </c>
      <c r="O151" s="41">
        <f>dagwerk33</f>
        <v>0</v>
      </c>
      <c r="P151" s="94" t="s">
        <v>107</v>
      </c>
      <c r="Q151" s="26">
        <f>uurtarief33</f>
        <v>0</v>
      </c>
      <c r="R151" s="96" t="e">
        <f>IF(ISBLANK(N151),0,M151/ROUND(N151,4))</f>
        <v>#DIV/0!</v>
      </c>
      <c r="S151" s="96" t="e">
        <f>IF(ISBLANK(N151),0,R151*ROUND(O151,2))</f>
        <v>#DIV/0!</v>
      </c>
      <c r="T151" s="26" t="e">
        <f>ROUND(Q151,2)*R151</f>
        <v>#DIV/0!</v>
      </c>
      <c r="U151" s="96" t="e">
        <f>R151*dagenperjaar1</f>
        <v>#DIV/0!</v>
      </c>
      <c r="V151" s="27" t="e">
        <f>U151*ROUND(Q151,2)</f>
        <v>#DIV/0!</v>
      </c>
    </row>
    <row r="152" spans="1:22" x14ac:dyDescent="0.35">
      <c r="A152" s="93" t="s">
        <v>468</v>
      </c>
      <c r="B152" s="94" t="s">
        <v>40</v>
      </c>
      <c r="C152" s="94" t="s">
        <v>543</v>
      </c>
      <c r="D152" s="94" t="s">
        <v>574</v>
      </c>
      <c r="E152" s="94" t="s">
        <v>40</v>
      </c>
      <c r="F152" s="95" t="s">
        <v>575</v>
      </c>
      <c r="G152" s="94" t="s">
        <v>483</v>
      </c>
      <c r="H152" s="94" t="s">
        <v>236</v>
      </c>
      <c r="I152" s="94" t="s">
        <v>16</v>
      </c>
      <c r="J152" s="94" t="s">
        <v>218</v>
      </c>
      <c r="K152" s="95" t="s">
        <v>237</v>
      </c>
      <c r="L152" s="96">
        <v>9</v>
      </c>
      <c r="M152" s="96">
        <f>L152*VLOOKUP(I152,dagsoorttabel1,2,FALSE)</f>
        <v>0.42352941176470588</v>
      </c>
      <c r="N152" s="97">
        <f>prodnorm16</f>
        <v>0</v>
      </c>
      <c r="O152" s="41">
        <f>dagwerk16</f>
        <v>0</v>
      </c>
      <c r="P152" s="94" t="s">
        <v>107</v>
      </c>
      <c r="Q152" s="26">
        <f>uurtarief16</f>
        <v>0</v>
      </c>
      <c r="R152" s="96" t="e">
        <f>IF(ISBLANK(N152),0,M152/ROUND(N152,4))</f>
        <v>#DIV/0!</v>
      </c>
      <c r="S152" s="96" t="e">
        <f>IF(ISBLANK(N152),0,R152*ROUND(O152,2))</f>
        <v>#DIV/0!</v>
      </c>
      <c r="T152" s="26" t="e">
        <f>ROUND(Q152,2)*R152</f>
        <v>#DIV/0!</v>
      </c>
      <c r="U152" s="96" t="e">
        <f>R152*dagenperjaar1</f>
        <v>#DIV/0!</v>
      </c>
      <c r="V152" s="27" t="e">
        <f>U152*ROUND(Q152,2)</f>
        <v>#DIV/0!</v>
      </c>
    </row>
    <row r="153" spans="1:22" x14ac:dyDescent="0.35">
      <c r="A153" s="93" t="s">
        <v>468</v>
      </c>
      <c r="B153" s="94" t="s">
        <v>40</v>
      </c>
      <c r="C153" s="94" t="s">
        <v>543</v>
      </c>
      <c r="D153" s="94" t="s">
        <v>576</v>
      </c>
      <c r="E153" s="94" t="s">
        <v>40</v>
      </c>
      <c r="F153" s="95" t="s">
        <v>577</v>
      </c>
      <c r="G153" s="94" t="s">
        <v>535</v>
      </c>
      <c r="H153" s="94" t="s">
        <v>246</v>
      </c>
      <c r="I153" s="94" t="s">
        <v>10</v>
      </c>
      <c r="J153" s="94" t="s">
        <v>218</v>
      </c>
      <c r="K153" s="95" t="s">
        <v>247</v>
      </c>
      <c r="L153" s="96">
        <v>215</v>
      </c>
      <c r="M153" s="96">
        <f>L153*VLOOKUP(I153,dagsoorttabel1,2,FALSE)</f>
        <v>215</v>
      </c>
      <c r="N153" s="97">
        <f>prodnorm26</f>
        <v>0</v>
      </c>
      <c r="O153" s="41">
        <f>dagwerk26</f>
        <v>0</v>
      </c>
      <c r="P153" s="94" t="s">
        <v>107</v>
      </c>
      <c r="Q153" s="26">
        <f>uurtarief26</f>
        <v>0</v>
      </c>
      <c r="R153" s="96" t="e">
        <f>IF(ISBLANK(N153),0,M153/ROUND(N153,4))</f>
        <v>#DIV/0!</v>
      </c>
      <c r="S153" s="96" t="e">
        <f>IF(ISBLANK(N153),0,R153*ROUND(O153,2))</f>
        <v>#DIV/0!</v>
      </c>
      <c r="T153" s="26" t="e">
        <f>ROUND(Q153,2)*R153</f>
        <v>#DIV/0!</v>
      </c>
      <c r="U153" s="96" t="e">
        <f>R153*dagenperjaar1</f>
        <v>#DIV/0!</v>
      </c>
      <c r="V153" s="27" t="e">
        <f>U153*ROUND(Q153,2)</f>
        <v>#DIV/0!</v>
      </c>
    </row>
    <row r="154" spans="1:22" x14ac:dyDescent="0.35">
      <c r="A154" s="93" t="s">
        <v>468</v>
      </c>
      <c r="B154" s="94" t="s">
        <v>40</v>
      </c>
      <c r="C154" s="94" t="s">
        <v>543</v>
      </c>
      <c r="D154" s="94" t="s">
        <v>578</v>
      </c>
      <c r="E154" s="94" t="s">
        <v>40</v>
      </c>
      <c r="F154" s="95" t="s">
        <v>579</v>
      </c>
      <c r="G154" s="94" t="s">
        <v>535</v>
      </c>
      <c r="H154" s="94" t="s">
        <v>234</v>
      </c>
      <c r="I154" s="94" t="s">
        <v>10</v>
      </c>
      <c r="J154" s="94" t="s">
        <v>218</v>
      </c>
      <c r="K154" s="95" t="s">
        <v>235</v>
      </c>
      <c r="L154" s="96">
        <v>1084</v>
      </c>
      <c r="M154" s="96">
        <f>L154*VLOOKUP(I154,dagsoorttabel1,2,FALSE)</f>
        <v>1084</v>
      </c>
      <c r="N154" s="97">
        <f>prodnorm15</f>
        <v>0</v>
      </c>
      <c r="O154" s="41">
        <f>dagwerk15</f>
        <v>0</v>
      </c>
      <c r="P154" s="94" t="s">
        <v>107</v>
      </c>
      <c r="Q154" s="26">
        <f>uurtarief15</f>
        <v>0</v>
      </c>
      <c r="R154" s="96" t="e">
        <f>IF(ISBLANK(N154),0,M154/ROUND(N154,4))</f>
        <v>#DIV/0!</v>
      </c>
      <c r="S154" s="96" t="e">
        <f>IF(ISBLANK(N154),0,R154*ROUND(O154,2))</f>
        <v>#DIV/0!</v>
      </c>
      <c r="T154" s="26" t="e">
        <f>ROUND(Q154,2)*R154</f>
        <v>#DIV/0!</v>
      </c>
      <c r="U154" s="96" t="e">
        <f>R154*dagenperjaar1</f>
        <v>#DIV/0!</v>
      </c>
      <c r="V154" s="27" t="e">
        <f>U154*ROUND(Q154,2)</f>
        <v>#DIV/0!</v>
      </c>
    </row>
    <row r="155" spans="1:22" x14ac:dyDescent="0.35">
      <c r="A155" s="93" t="s">
        <v>468</v>
      </c>
      <c r="B155" s="94" t="s">
        <v>40</v>
      </c>
      <c r="C155" s="94" t="s">
        <v>543</v>
      </c>
      <c r="D155" s="94" t="s">
        <v>580</v>
      </c>
      <c r="E155" s="94" t="s">
        <v>40</v>
      </c>
      <c r="F155" s="95" t="s">
        <v>577</v>
      </c>
      <c r="G155" s="94" t="s">
        <v>535</v>
      </c>
      <c r="H155" s="94" t="s">
        <v>246</v>
      </c>
      <c r="I155" s="94" t="s">
        <v>10</v>
      </c>
      <c r="J155" s="94" t="s">
        <v>218</v>
      </c>
      <c r="K155" s="95" t="s">
        <v>247</v>
      </c>
      <c r="L155" s="96">
        <v>47</v>
      </c>
      <c r="M155" s="96">
        <f>L155*VLOOKUP(I155,dagsoorttabel1,2,FALSE)</f>
        <v>47</v>
      </c>
      <c r="N155" s="97">
        <f>prodnorm26</f>
        <v>0</v>
      </c>
      <c r="O155" s="41">
        <f>dagwerk26</f>
        <v>0</v>
      </c>
      <c r="P155" s="94" t="s">
        <v>107</v>
      </c>
      <c r="Q155" s="26">
        <f>uurtarief26</f>
        <v>0</v>
      </c>
      <c r="R155" s="96" t="e">
        <f>IF(ISBLANK(N155),0,M155/ROUND(N155,4))</f>
        <v>#DIV/0!</v>
      </c>
      <c r="S155" s="96" t="e">
        <f>IF(ISBLANK(N155),0,R155*ROUND(O155,2))</f>
        <v>#DIV/0!</v>
      </c>
      <c r="T155" s="26" t="e">
        <f>ROUND(Q155,2)*R155</f>
        <v>#DIV/0!</v>
      </c>
      <c r="U155" s="96" t="e">
        <f>R155*dagenperjaar1</f>
        <v>#DIV/0!</v>
      </c>
      <c r="V155" s="27" t="e">
        <f>U155*ROUND(Q155,2)</f>
        <v>#DIV/0!</v>
      </c>
    </row>
    <row r="156" spans="1:22" x14ac:dyDescent="0.35">
      <c r="A156" s="93" t="s">
        <v>468</v>
      </c>
      <c r="B156" s="94" t="s">
        <v>40</v>
      </c>
      <c r="C156" s="94" t="s">
        <v>543</v>
      </c>
      <c r="D156" s="94" t="s">
        <v>581</v>
      </c>
      <c r="E156" s="94" t="s">
        <v>40</v>
      </c>
      <c r="F156" s="95" t="s">
        <v>582</v>
      </c>
      <c r="G156" s="94" t="s">
        <v>535</v>
      </c>
      <c r="H156" s="94" t="s">
        <v>234</v>
      </c>
      <c r="I156" s="94" t="s">
        <v>10</v>
      </c>
      <c r="J156" s="94" t="s">
        <v>218</v>
      </c>
      <c r="K156" s="95" t="s">
        <v>235</v>
      </c>
      <c r="L156" s="96">
        <v>78</v>
      </c>
      <c r="M156" s="96">
        <f>L156*VLOOKUP(I156,dagsoorttabel1,2,FALSE)</f>
        <v>78</v>
      </c>
      <c r="N156" s="97">
        <f>prodnorm15</f>
        <v>0</v>
      </c>
      <c r="O156" s="41">
        <f>dagwerk15</f>
        <v>0</v>
      </c>
      <c r="P156" s="94" t="s">
        <v>107</v>
      </c>
      <c r="Q156" s="26">
        <f>uurtarief15</f>
        <v>0</v>
      </c>
      <c r="R156" s="96" t="e">
        <f>IF(ISBLANK(N156),0,M156/ROUND(N156,4))</f>
        <v>#DIV/0!</v>
      </c>
      <c r="S156" s="96" t="e">
        <f>IF(ISBLANK(N156),0,R156*ROUND(O156,2))</f>
        <v>#DIV/0!</v>
      </c>
      <c r="T156" s="26" t="e">
        <f>ROUND(Q156,2)*R156</f>
        <v>#DIV/0!</v>
      </c>
      <c r="U156" s="96" t="e">
        <f>R156*dagenperjaar1</f>
        <v>#DIV/0!</v>
      </c>
      <c r="V156" s="27" t="e">
        <f>U156*ROUND(Q156,2)</f>
        <v>#DIV/0!</v>
      </c>
    </row>
    <row r="157" spans="1:22" x14ac:dyDescent="0.35">
      <c r="A157" s="93" t="s">
        <v>468</v>
      </c>
      <c r="B157" s="94" t="s">
        <v>40</v>
      </c>
      <c r="C157" s="94" t="s">
        <v>543</v>
      </c>
      <c r="D157" s="94" t="s">
        <v>583</v>
      </c>
      <c r="E157" s="94" t="s">
        <v>40</v>
      </c>
      <c r="F157" s="95" t="s">
        <v>584</v>
      </c>
      <c r="G157" s="94" t="s">
        <v>483</v>
      </c>
      <c r="H157" s="94" t="s">
        <v>236</v>
      </c>
      <c r="I157" s="94" t="s">
        <v>16</v>
      </c>
      <c r="J157" s="94" t="s">
        <v>218</v>
      </c>
      <c r="K157" s="95" t="s">
        <v>237</v>
      </c>
      <c r="L157" s="96">
        <v>31</v>
      </c>
      <c r="M157" s="96">
        <f>L157*VLOOKUP(I157,dagsoorttabel1,2,FALSE)</f>
        <v>1.4588235294117646</v>
      </c>
      <c r="N157" s="97">
        <f>prodnorm16</f>
        <v>0</v>
      </c>
      <c r="O157" s="41">
        <f>dagwerk16</f>
        <v>0</v>
      </c>
      <c r="P157" s="94" t="s">
        <v>107</v>
      </c>
      <c r="Q157" s="26">
        <f>uurtarief16</f>
        <v>0</v>
      </c>
      <c r="R157" s="96" t="e">
        <f>IF(ISBLANK(N157),0,M157/ROUND(N157,4))</f>
        <v>#DIV/0!</v>
      </c>
      <c r="S157" s="96" t="e">
        <f>IF(ISBLANK(N157),0,R157*ROUND(O157,2))</f>
        <v>#DIV/0!</v>
      </c>
      <c r="T157" s="26" t="e">
        <f>ROUND(Q157,2)*R157</f>
        <v>#DIV/0!</v>
      </c>
      <c r="U157" s="96" t="e">
        <f>R157*dagenperjaar1</f>
        <v>#DIV/0!</v>
      </c>
      <c r="V157" s="27" t="e">
        <f>U157*ROUND(Q157,2)</f>
        <v>#DIV/0!</v>
      </c>
    </row>
    <row r="158" spans="1:22" x14ac:dyDescent="0.35">
      <c r="A158" s="93" t="s">
        <v>468</v>
      </c>
      <c r="B158" s="94" t="s">
        <v>40</v>
      </c>
      <c r="C158" s="94" t="s">
        <v>543</v>
      </c>
      <c r="D158" s="94" t="s">
        <v>585</v>
      </c>
      <c r="E158" s="94" t="s">
        <v>40</v>
      </c>
      <c r="F158" s="95" t="s">
        <v>479</v>
      </c>
      <c r="G158" s="94" t="s">
        <v>40</v>
      </c>
      <c r="H158" s="94" t="s">
        <v>316</v>
      </c>
      <c r="I158" s="94"/>
      <c r="J158" s="94"/>
      <c r="K158" s="94"/>
      <c r="L158" s="96">
        <v>0</v>
      </c>
      <c r="M158" s="96"/>
      <c r="N158" s="97"/>
      <c r="O158" s="41"/>
      <c r="P158" s="94"/>
      <c r="Q158" s="26"/>
      <c r="R158" s="96"/>
      <c r="S158" s="96"/>
      <c r="T158" s="26"/>
      <c r="U158" s="98"/>
      <c r="V158" s="27"/>
    </row>
    <row r="159" spans="1:22" x14ac:dyDescent="0.35">
      <c r="A159" s="93" t="s">
        <v>468</v>
      </c>
      <c r="B159" s="94" t="s">
        <v>40</v>
      </c>
      <c r="C159" s="94" t="s">
        <v>543</v>
      </c>
      <c r="D159" s="94" t="s">
        <v>586</v>
      </c>
      <c r="E159" s="94" t="s">
        <v>40</v>
      </c>
      <c r="F159" s="95" t="s">
        <v>515</v>
      </c>
      <c r="G159" s="94" t="s">
        <v>335</v>
      </c>
      <c r="H159" s="94" t="s">
        <v>256</v>
      </c>
      <c r="I159" s="94" t="s">
        <v>13</v>
      </c>
      <c r="J159" s="94" t="s">
        <v>218</v>
      </c>
      <c r="K159" s="95" t="s">
        <v>257</v>
      </c>
      <c r="L159" s="96">
        <v>12</v>
      </c>
      <c r="M159" s="96">
        <f>L159*VLOOKUP(I159,dagsoorttabel1,2,FALSE)</f>
        <v>4.8000000000000007</v>
      </c>
      <c r="N159" s="97">
        <f>prodnorm37</f>
        <v>0</v>
      </c>
      <c r="O159" s="41">
        <f>dagwerk37</f>
        <v>0</v>
      </c>
      <c r="P159" s="94" t="s">
        <v>107</v>
      </c>
      <c r="Q159" s="26">
        <f>uurtarief37</f>
        <v>0</v>
      </c>
      <c r="R159" s="96" t="e">
        <f>IF(ISBLANK(N159),0,M159/ROUND(N159,4))</f>
        <v>#DIV/0!</v>
      </c>
      <c r="S159" s="96" t="e">
        <f>IF(ISBLANK(N159),0,R159*ROUND(O159,2))</f>
        <v>#DIV/0!</v>
      </c>
      <c r="T159" s="26" t="e">
        <f>ROUND(Q159,2)*R159</f>
        <v>#DIV/0!</v>
      </c>
      <c r="U159" s="96" t="e">
        <f>R159*dagenperjaar1</f>
        <v>#DIV/0!</v>
      </c>
      <c r="V159" s="27" t="e">
        <f>U159*ROUND(Q159,2)</f>
        <v>#DIV/0!</v>
      </c>
    </row>
    <row r="160" spans="1:22" x14ac:dyDescent="0.35">
      <c r="A160" s="93" t="s">
        <v>468</v>
      </c>
      <c r="B160" s="94" t="s">
        <v>40</v>
      </c>
      <c r="C160" s="94" t="s">
        <v>543</v>
      </c>
      <c r="D160" s="94" t="s">
        <v>587</v>
      </c>
      <c r="E160" s="94" t="s">
        <v>40</v>
      </c>
      <c r="F160" s="95" t="s">
        <v>479</v>
      </c>
      <c r="G160" s="94" t="s">
        <v>40</v>
      </c>
      <c r="H160" s="94" t="s">
        <v>316</v>
      </c>
      <c r="I160" s="94"/>
      <c r="J160" s="94"/>
      <c r="K160" s="94"/>
      <c r="L160" s="96">
        <v>0</v>
      </c>
      <c r="M160" s="96"/>
      <c r="N160" s="97"/>
      <c r="O160" s="41"/>
      <c r="P160" s="94"/>
      <c r="Q160" s="26"/>
      <c r="R160" s="96"/>
      <c r="S160" s="96"/>
      <c r="T160" s="26"/>
      <c r="U160" s="98"/>
      <c r="V160" s="27"/>
    </row>
    <row r="161" spans="1:22" x14ac:dyDescent="0.35">
      <c r="A161" s="93" t="s">
        <v>468</v>
      </c>
      <c r="B161" s="94" t="s">
        <v>40</v>
      </c>
      <c r="C161" s="94" t="s">
        <v>543</v>
      </c>
      <c r="D161" s="94" t="s">
        <v>588</v>
      </c>
      <c r="E161" s="94" t="s">
        <v>40</v>
      </c>
      <c r="F161" s="95" t="s">
        <v>589</v>
      </c>
      <c r="G161" s="94" t="s">
        <v>40</v>
      </c>
      <c r="H161" s="94" t="s">
        <v>316</v>
      </c>
      <c r="I161" s="94"/>
      <c r="J161" s="94"/>
      <c r="K161" s="94"/>
      <c r="L161" s="96">
        <v>0</v>
      </c>
      <c r="M161" s="96"/>
      <c r="N161" s="97"/>
      <c r="O161" s="41"/>
      <c r="P161" s="94"/>
      <c r="Q161" s="26"/>
      <c r="R161" s="96"/>
      <c r="S161" s="96"/>
      <c r="T161" s="26"/>
      <c r="U161" s="98"/>
      <c r="V161" s="27"/>
    </row>
    <row r="162" spans="1:22" x14ac:dyDescent="0.35">
      <c r="A162" s="93" t="s">
        <v>468</v>
      </c>
      <c r="B162" s="94" t="s">
        <v>40</v>
      </c>
      <c r="C162" s="94" t="s">
        <v>543</v>
      </c>
      <c r="D162" s="94" t="s">
        <v>590</v>
      </c>
      <c r="E162" s="94" t="s">
        <v>40</v>
      </c>
      <c r="F162" s="95" t="s">
        <v>582</v>
      </c>
      <c r="G162" s="94" t="s">
        <v>535</v>
      </c>
      <c r="H162" s="94" t="s">
        <v>234</v>
      </c>
      <c r="I162" s="94" t="s">
        <v>10</v>
      </c>
      <c r="J162" s="94" t="s">
        <v>218</v>
      </c>
      <c r="K162" s="95" t="s">
        <v>235</v>
      </c>
      <c r="L162" s="96">
        <v>181</v>
      </c>
      <c r="M162" s="96">
        <f>L162*VLOOKUP(I162,dagsoorttabel1,2,FALSE)</f>
        <v>181</v>
      </c>
      <c r="N162" s="97">
        <f>prodnorm15</f>
        <v>0</v>
      </c>
      <c r="O162" s="41">
        <f>dagwerk15</f>
        <v>0</v>
      </c>
      <c r="P162" s="94" t="s">
        <v>107</v>
      </c>
      <c r="Q162" s="26">
        <f>uurtarief15</f>
        <v>0</v>
      </c>
      <c r="R162" s="96" t="e">
        <f>IF(ISBLANK(N162),0,M162/ROUND(N162,4))</f>
        <v>#DIV/0!</v>
      </c>
      <c r="S162" s="96" t="e">
        <f>IF(ISBLANK(N162),0,R162*ROUND(O162,2))</f>
        <v>#DIV/0!</v>
      </c>
      <c r="T162" s="26" t="e">
        <f>ROUND(Q162,2)*R162</f>
        <v>#DIV/0!</v>
      </c>
      <c r="U162" s="96" t="e">
        <f>R162*dagenperjaar1</f>
        <v>#DIV/0!</v>
      </c>
      <c r="V162" s="27" t="e">
        <f>U162*ROUND(Q162,2)</f>
        <v>#DIV/0!</v>
      </c>
    </row>
    <row r="163" spans="1:22" x14ac:dyDescent="0.35">
      <c r="A163" s="93" t="s">
        <v>468</v>
      </c>
      <c r="B163" s="94" t="s">
        <v>40</v>
      </c>
      <c r="C163" s="94" t="s">
        <v>543</v>
      </c>
      <c r="D163" s="94" t="s">
        <v>591</v>
      </c>
      <c r="E163" s="94" t="s">
        <v>40</v>
      </c>
      <c r="F163" s="95" t="s">
        <v>521</v>
      </c>
      <c r="G163" s="94" t="s">
        <v>40</v>
      </c>
      <c r="H163" s="94" t="s">
        <v>316</v>
      </c>
      <c r="I163" s="94"/>
      <c r="J163" s="94"/>
      <c r="K163" s="94"/>
      <c r="L163" s="96">
        <v>0</v>
      </c>
      <c r="M163" s="96"/>
      <c r="N163" s="97"/>
      <c r="O163" s="41"/>
      <c r="P163" s="94"/>
      <c r="Q163" s="26"/>
      <c r="R163" s="96"/>
      <c r="S163" s="96"/>
      <c r="T163" s="26"/>
      <c r="U163" s="98"/>
      <c r="V163" s="27"/>
    </row>
    <row r="164" spans="1:22" x14ac:dyDescent="0.35">
      <c r="A164" s="93" t="s">
        <v>468</v>
      </c>
      <c r="B164" s="94" t="s">
        <v>40</v>
      </c>
      <c r="C164" s="94" t="s">
        <v>543</v>
      </c>
      <c r="D164" s="94" t="s">
        <v>592</v>
      </c>
      <c r="E164" s="94" t="s">
        <v>40</v>
      </c>
      <c r="F164" s="95" t="s">
        <v>589</v>
      </c>
      <c r="G164" s="94" t="s">
        <v>40</v>
      </c>
      <c r="H164" s="94" t="s">
        <v>316</v>
      </c>
      <c r="I164" s="94"/>
      <c r="J164" s="94"/>
      <c r="K164" s="94"/>
      <c r="L164" s="96">
        <v>0</v>
      </c>
      <c r="M164" s="96"/>
      <c r="N164" s="97"/>
      <c r="O164" s="41"/>
      <c r="P164" s="94"/>
      <c r="Q164" s="26"/>
      <c r="R164" s="96"/>
      <c r="S164" s="96"/>
      <c r="T164" s="26"/>
      <c r="U164" s="98"/>
      <c r="V164" s="27"/>
    </row>
    <row r="165" spans="1:22" x14ac:dyDescent="0.35">
      <c r="A165" s="93" t="s">
        <v>468</v>
      </c>
      <c r="B165" s="94" t="s">
        <v>40</v>
      </c>
      <c r="C165" s="94" t="s">
        <v>543</v>
      </c>
      <c r="D165" s="94" t="s">
        <v>593</v>
      </c>
      <c r="E165" s="94" t="s">
        <v>40</v>
      </c>
      <c r="F165" s="95" t="s">
        <v>594</v>
      </c>
      <c r="G165" s="94" t="s">
        <v>40</v>
      </c>
      <c r="H165" s="94" t="s">
        <v>316</v>
      </c>
      <c r="I165" s="94"/>
      <c r="J165" s="94"/>
      <c r="K165" s="94"/>
      <c r="L165" s="96">
        <v>0</v>
      </c>
      <c r="M165" s="96"/>
      <c r="N165" s="97"/>
      <c r="O165" s="41"/>
      <c r="P165" s="94"/>
      <c r="Q165" s="26"/>
      <c r="R165" s="96"/>
      <c r="S165" s="96"/>
      <c r="T165" s="26"/>
      <c r="U165" s="98"/>
      <c r="V165" s="27"/>
    </row>
    <row r="166" spans="1:22" x14ac:dyDescent="0.35">
      <c r="A166" s="93" t="s">
        <v>468</v>
      </c>
      <c r="B166" s="94" t="s">
        <v>40</v>
      </c>
      <c r="C166" s="94" t="s">
        <v>543</v>
      </c>
      <c r="D166" s="94" t="s">
        <v>595</v>
      </c>
      <c r="E166" s="94" t="s">
        <v>40</v>
      </c>
      <c r="F166" s="95" t="s">
        <v>424</v>
      </c>
      <c r="G166" s="94" t="s">
        <v>40</v>
      </c>
      <c r="H166" s="94" t="s">
        <v>316</v>
      </c>
      <c r="I166" s="94"/>
      <c r="J166" s="94"/>
      <c r="K166" s="94"/>
      <c r="L166" s="96">
        <v>0</v>
      </c>
      <c r="M166" s="96"/>
      <c r="N166" s="97"/>
      <c r="O166" s="41"/>
      <c r="P166" s="94"/>
      <c r="Q166" s="26"/>
      <c r="R166" s="96"/>
      <c r="S166" s="96"/>
      <c r="T166" s="26"/>
      <c r="U166" s="98"/>
      <c r="V166" s="27"/>
    </row>
    <row r="167" spans="1:22" x14ac:dyDescent="0.35">
      <c r="A167" s="93" t="s">
        <v>468</v>
      </c>
      <c r="B167" s="94" t="s">
        <v>40</v>
      </c>
      <c r="C167" s="94" t="s">
        <v>543</v>
      </c>
      <c r="D167" s="94" t="s">
        <v>596</v>
      </c>
      <c r="E167" s="94" t="s">
        <v>40</v>
      </c>
      <c r="F167" s="95" t="s">
        <v>318</v>
      </c>
      <c r="G167" s="94" t="s">
        <v>40</v>
      </c>
      <c r="H167" s="94" t="s">
        <v>316</v>
      </c>
      <c r="I167" s="94"/>
      <c r="J167" s="94"/>
      <c r="K167" s="94"/>
      <c r="L167" s="96">
        <v>0</v>
      </c>
      <c r="M167" s="96"/>
      <c r="N167" s="97"/>
      <c r="O167" s="41"/>
      <c r="P167" s="94"/>
      <c r="Q167" s="26"/>
      <c r="R167" s="96"/>
      <c r="S167" s="96"/>
      <c r="T167" s="26"/>
      <c r="U167" s="98"/>
      <c r="V167" s="27"/>
    </row>
    <row r="168" spans="1:22" x14ac:dyDescent="0.35">
      <c r="A168" s="93" t="s">
        <v>468</v>
      </c>
      <c r="B168" s="94" t="s">
        <v>40</v>
      </c>
      <c r="C168" s="94" t="s">
        <v>543</v>
      </c>
      <c r="D168" s="94" t="s">
        <v>597</v>
      </c>
      <c r="E168" s="94" t="s">
        <v>40</v>
      </c>
      <c r="F168" s="95" t="s">
        <v>598</v>
      </c>
      <c r="G168" s="94" t="s">
        <v>483</v>
      </c>
      <c r="H168" s="94" t="s">
        <v>236</v>
      </c>
      <c r="I168" s="94" t="s">
        <v>16</v>
      </c>
      <c r="J168" s="94" t="s">
        <v>218</v>
      </c>
      <c r="K168" s="95" t="s">
        <v>237</v>
      </c>
      <c r="L168" s="96">
        <v>46</v>
      </c>
      <c r="M168" s="96">
        <f>L168*VLOOKUP(I168,dagsoorttabel1,2,FALSE)</f>
        <v>2.164705882352941</v>
      </c>
      <c r="N168" s="97">
        <f>prodnorm16</f>
        <v>0</v>
      </c>
      <c r="O168" s="41">
        <f>dagwerk16</f>
        <v>0</v>
      </c>
      <c r="P168" s="94" t="s">
        <v>107</v>
      </c>
      <c r="Q168" s="26">
        <f>uurtarief16</f>
        <v>0</v>
      </c>
      <c r="R168" s="96" t="e">
        <f>IF(ISBLANK(N168),0,M168/ROUND(N168,4))</f>
        <v>#DIV/0!</v>
      </c>
      <c r="S168" s="96" t="e">
        <f>IF(ISBLANK(N168),0,R168*ROUND(O168,2))</f>
        <v>#DIV/0!</v>
      </c>
      <c r="T168" s="26" t="e">
        <f>ROUND(Q168,2)*R168</f>
        <v>#DIV/0!</v>
      </c>
      <c r="U168" s="96" t="e">
        <f>R168*dagenperjaar1</f>
        <v>#DIV/0!</v>
      </c>
      <c r="V168" s="27" t="e">
        <f>U168*ROUND(Q168,2)</f>
        <v>#DIV/0!</v>
      </c>
    </row>
    <row r="169" spans="1:22" x14ac:dyDescent="0.35">
      <c r="A169" s="93" t="s">
        <v>468</v>
      </c>
      <c r="B169" s="94" t="s">
        <v>40</v>
      </c>
      <c r="C169" s="94" t="s">
        <v>543</v>
      </c>
      <c r="D169" s="94" t="s">
        <v>599</v>
      </c>
      <c r="E169" s="94" t="s">
        <v>40</v>
      </c>
      <c r="F169" s="95" t="s">
        <v>600</v>
      </c>
      <c r="G169" s="94" t="s">
        <v>40</v>
      </c>
      <c r="H169" s="94" t="s">
        <v>316</v>
      </c>
      <c r="I169" s="94"/>
      <c r="J169" s="94"/>
      <c r="K169" s="94"/>
      <c r="L169" s="96">
        <v>0</v>
      </c>
      <c r="M169" s="96"/>
      <c r="N169" s="97"/>
      <c r="O169" s="41"/>
      <c r="P169" s="94"/>
      <c r="Q169" s="26"/>
      <c r="R169" s="96"/>
      <c r="S169" s="96"/>
      <c r="T169" s="26"/>
      <c r="U169" s="98"/>
      <c r="V169" s="27"/>
    </row>
    <row r="170" spans="1:22" x14ac:dyDescent="0.35">
      <c r="A170" s="93" t="s">
        <v>468</v>
      </c>
      <c r="B170" s="94" t="s">
        <v>40</v>
      </c>
      <c r="C170" s="94" t="s">
        <v>309</v>
      </c>
      <c r="D170" s="94" t="s">
        <v>601</v>
      </c>
      <c r="E170" s="94" t="s">
        <v>40</v>
      </c>
      <c r="F170" s="95" t="s">
        <v>602</v>
      </c>
      <c r="G170" s="94" t="s">
        <v>603</v>
      </c>
      <c r="H170" s="94" t="s">
        <v>252</v>
      </c>
      <c r="I170" s="94" t="s">
        <v>10</v>
      </c>
      <c r="J170" s="94" t="s">
        <v>218</v>
      </c>
      <c r="K170" s="95" t="s">
        <v>253</v>
      </c>
      <c r="L170" s="96">
        <v>4</v>
      </c>
      <c r="M170" s="96">
        <f>L170*VLOOKUP(I170,dagsoorttabel1,2,FALSE)</f>
        <v>4</v>
      </c>
      <c r="N170" s="97">
        <f>prodnorm29</f>
        <v>0</v>
      </c>
      <c r="O170" s="41">
        <f>dagwerk29</f>
        <v>0</v>
      </c>
      <c r="P170" s="94" t="s">
        <v>107</v>
      </c>
      <c r="Q170" s="26">
        <f>uurtarief29</f>
        <v>0</v>
      </c>
      <c r="R170" s="96" t="e">
        <f>IF(ISBLANK(N170),0,M170/ROUND(N170,4))</f>
        <v>#DIV/0!</v>
      </c>
      <c r="S170" s="96" t="e">
        <f>IF(ISBLANK(N170),0,R170*ROUND(O170,2))</f>
        <v>#DIV/0!</v>
      </c>
      <c r="T170" s="26" t="e">
        <f>ROUND(Q170,2)*R170</f>
        <v>#DIV/0!</v>
      </c>
      <c r="U170" s="96" t="e">
        <f>R170*dagenperjaar1</f>
        <v>#DIV/0!</v>
      </c>
      <c r="V170" s="27" t="e">
        <f>U170*ROUND(Q170,2)</f>
        <v>#DIV/0!</v>
      </c>
    </row>
    <row r="171" spans="1:22" x14ac:dyDescent="0.35">
      <c r="A171" s="93" t="s">
        <v>468</v>
      </c>
      <c r="B171" s="94" t="s">
        <v>40</v>
      </c>
      <c r="C171" s="94" t="s">
        <v>309</v>
      </c>
      <c r="D171" s="94" t="s">
        <v>604</v>
      </c>
      <c r="E171" s="94" t="s">
        <v>40</v>
      </c>
      <c r="F171" s="95" t="s">
        <v>473</v>
      </c>
      <c r="G171" s="94" t="s">
        <v>40</v>
      </c>
      <c r="H171" s="94" t="s">
        <v>316</v>
      </c>
      <c r="I171" s="94"/>
      <c r="J171" s="94"/>
      <c r="K171" s="94"/>
      <c r="L171" s="96">
        <v>0</v>
      </c>
      <c r="M171" s="96"/>
      <c r="N171" s="97"/>
      <c r="O171" s="41"/>
      <c r="P171" s="94"/>
      <c r="Q171" s="26"/>
      <c r="R171" s="96"/>
      <c r="S171" s="96"/>
      <c r="T171" s="26"/>
      <c r="U171" s="98"/>
      <c r="V171" s="27"/>
    </row>
    <row r="172" spans="1:22" x14ac:dyDescent="0.35">
      <c r="A172" s="93" t="s">
        <v>468</v>
      </c>
      <c r="B172" s="94" t="s">
        <v>40</v>
      </c>
      <c r="C172" s="94" t="s">
        <v>309</v>
      </c>
      <c r="D172" s="94" t="s">
        <v>605</v>
      </c>
      <c r="E172" s="94" t="s">
        <v>40</v>
      </c>
      <c r="F172" s="95" t="s">
        <v>548</v>
      </c>
      <c r="G172" s="94" t="s">
        <v>335</v>
      </c>
      <c r="H172" s="94" t="s">
        <v>256</v>
      </c>
      <c r="I172" s="94" t="s">
        <v>13</v>
      </c>
      <c r="J172" s="94" t="s">
        <v>218</v>
      </c>
      <c r="K172" s="95" t="s">
        <v>257</v>
      </c>
      <c r="L172" s="96">
        <v>11</v>
      </c>
      <c r="M172" s="96">
        <f>L172*VLOOKUP(I172,dagsoorttabel1,2,FALSE)</f>
        <v>4.4000000000000004</v>
      </c>
      <c r="N172" s="97">
        <f>prodnorm37</f>
        <v>0</v>
      </c>
      <c r="O172" s="41">
        <f>dagwerk37</f>
        <v>0</v>
      </c>
      <c r="P172" s="94" t="s">
        <v>107</v>
      </c>
      <c r="Q172" s="26">
        <f>uurtarief37</f>
        <v>0</v>
      </c>
      <c r="R172" s="96" t="e">
        <f>IF(ISBLANK(N172),0,M172/ROUND(N172,4))</f>
        <v>#DIV/0!</v>
      </c>
      <c r="S172" s="96" t="e">
        <f>IF(ISBLANK(N172),0,R172*ROUND(O172,2))</f>
        <v>#DIV/0!</v>
      </c>
      <c r="T172" s="26" t="e">
        <f>ROUND(Q172,2)*R172</f>
        <v>#DIV/0!</v>
      </c>
      <c r="U172" s="96" t="e">
        <f>R172*dagenperjaar1</f>
        <v>#DIV/0!</v>
      </c>
      <c r="V172" s="27" t="e">
        <f>U172*ROUND(Q172,2)</f>
        <v>#DIV/0!</v>
      </c>
    </row>
    <row r="173" spans="1:22" x14ac:dyDescent="0.35">
      <c r="A173" s="93" t="s">
        <v>468</v>
      </c>
      <c r="B173" s="94" t="s">
        <v>40</v>
      </c>
      <c r="C173" s="94" t="s">
        <v>309</v>
      </c>
      <c r="D173" s="94" t="s">
        <v>606</v>
      </c>
      <c r="E173" s="94" t="s">
        <v>40</v>
      </c>
      <c r="F173" s="95" t="s">
        <v>477</v>
      </c>
      <c r="G173" s="94" t="s">
        <v>40</v>
      </c>
      <c r="H173" s="94" t="s">
        <v>316</v>
      </c>
      <c r="I173" s="94"/>
      <c r="J173" s="94"/>
      <c r="K173" s="94"/>
      <c r="L173" s="96">
        <v>0</v>
      </c>
      <c r="M173" s="96"/>
      <c r="N173" s="97"/>
      <c r="O173" s="41"/>
      <c r="P173" s="94"/>
      <c r="Q173" s="26"/>
      <c r="R173" s="96"/>
      <c r="S173" s="96"/>
      <c r="T173" s="26"/>
      <c r="U173" s="98"/>
      <c r="V173" s="27"/>
    </row>
    <row r="174" spans="1:22" x14ac:dyDescent="0.35">
      <c r="A174" s="93" t="s">
        <v>468</v>
      </c>
      <c r="B174" s="94" t="s">
        <v>40</v>
      </c>
      <c r="C174" s="94" t="s">
        <v>309</v>
      </c>
      <c r="D174" s="94" t="s">
        <v>607</v>
      </c>
      <c r="E174" s="94" t="s">
        <v>40</v>
      </c>
      <c r="F174" s="95" t="s">
        <v>479</v>
      </c>
      <c r="G174" s="94" t="s">
        <v>40</v>
      </c>
      <c r="H174" s="94" t="s">
        <v>316</v>
      </c>
      <c r="I174" s="94"/>
      <c r="J174" s="94"/>
      <c r="K174" s="94"/>
      <c r="L174" s="96">
        <v>0</v>
      </c>
      <c r="M174" s="96"/>
      <c r="N174" s="97"/>
      <c r="O174" s="41"/>
      <c r="P174" s="94"/>
      <c r="Q174" s="26"/>
      <c r="R174" s="96"/>
      <c r="S174" s="96"/>
      <c r="T174" s="26"/>
      <c r="U174" s="98"/>
      <c r="V174" s="27"/>
    </row>
    <row r="175" spans="1:22" x14ac:dyDescent="0.35">
      <c r="A175" s="93" t="s">
        <v>468</v>
      </c>
      <c r="B175" s="94" t="s">
        <v>40</v>
      </c>
      <c r="C175" s="94" t="s">
        <v>309</v>
      </c>
      <c r="D175" s="94" t="s">
        <v>608</v>
      </c>
      <c r="E175" s="94" t="s">
        <v>40</v>
      </c>
      <c r="F175" s="95" t="s">
        <v>481</v>
      </c>
      <c r="G175" s="94" t="s">
        <v>40</v>
      </c>
      <c r="H175" s="94" t="s">
        <v>316</v>
      </c>
      <c r="I175" s="94"/>
      <c r="J175" s="94"/>
      <c r="K175" s="94"/>
      <c r="L175" s="96">
        <v>0</v>
      </c>
      <c r="M175" s="96"/>
      <c r="N175" s="97"/>
      <c r="O175" s="41"/>
      <c r="P175" s="94"/>
      <c r="Q175" s="26"/>
      <c r="R175" s="96"/>
      <c r="S175" s="96"/>
      <c r="T175" s="26"/>
      <c r="U175" s="98"/>
      <c r="V175" s="27"/>
    </row>
    <row r="176" spans="1:22" x14ac:dyDescent="0.35">
      <c r="A176" s="93" t="s">
        <v>468</v>
      </c>
      <c r="B176" s="94" t="s">
        <v>40</v>
      </c>
      <c r="C176" s="94" t="s">
        <v>309</v>
      </c>
      <c r="D176" s="94" t="s">
        <v>609</v>
      </c>
      <c r="E176" s="94" t="s">
        <v>40</v>
      </c>
      <c r="F176" s="95" t="s">
        <v>610</v>
      </c>
      <c r="G176" s="94" t="s">
        <v>504</v>
      </c>
      <c r="H176" s="94" t="s">
        <v>256</v>
      </c>
      <c r="I176" s="94" t="s">
        <v>10</v>
      </c>
      <c r="J176" s="94" t="s">
        <v>218</v>
      </c>
      <c r="K176" s="95" t="s">
        <v>257</v>
      </c>
      <c r="L176" s="96">
        <v>11</v>
      </c>
      <c r="M176" s="96">
        <f>L176*VLOOKUP(I176,dagsoorttabel1,2,FALSE)</f>
        <v>11</v>
      </c>
      <c r="N176" s="97">
        <f>prodnorm38</f>
        <v>0</v>
      </c>
      <c r="O176" s="41">
        <f>dagwerk38</f>
        <v>0</v>
      </c>
      <c r="P176" s="94" t="s">
        <v>107</v>
      </c>
      <c r="Q176" s="26">
        <f>uurtarief38</f>
        <v>0</v>
      </c>
      <c r="R176" s="96" t="e">
        <f>IF(ISBLANK(N176),0,M176/ROUND(N176,4))</f>
        <v>#DIV/0!</v>
      </c>
      <c r="S176" s="96" t="e">
        <f>IF(ISBLANK(N176),0,R176*ROUND(O176,2))</f>
        <v>#DIV/0!</v>
      </c>
      <c r="T176" s="26" t="e">
        <f>ROUND(Q176,2)*R176</f>
        <v>#DIV/0!</v>
      </c>
      <c r="U176" s="96" t="e">
        <f>R176*dagenperjaar1</f>
        <v>#DIV/0!</v>
      </c>
      <c r="V176" s="27" t="e">
        <f>U176*ROUND(Q176,2)</f>
        <v>#DIV/0!</v>
      </c>
    </row>
    <row r="177" spans="1:22" x14ac:dyDescent="0.35">
      <c r="A177" s="93" t="s">
        <v>468</v>
      </c>
      <c r="B177" s="94" t="s">
        <v>40</v>
      </c>
      <c r="C177" s="94" t="s">
        <v>309</v>
      </c>
      <c r="D177" s="94" t="s">
        <v>611</v>
      </c>
      <c r="E177" s="94" t="s">
        <v>40</v>
      </c>
      <c r="F177" s="95" t="s">
        <v>612</v>
      </c>
      <c r="G177" s="94" t="s">
        <v>40</v>
      </c>
      <c r="H177" s="94" t="s">
        <v>316</v>
      </c>
      <c r="I177" s="94"/>
      <c r="J177" s="94"/>
      <c r="K177" s="94"/>
      <c r="L177" s="96">
        <v>0</v>
      </c>
      <c r="M177" s="96"/>
      <c r="N177" s="97"/>
      <c r="O177" s="41"/>
      <c r="P177" s="94"/>
      <c r="Q177" s="26"/>
      <c r="R177" s="96"/>
      <c r="S177" s="96"/>
      <c r="T177" s="26"/>
      <c r="U177" s="98"/>
      <c r="V177" s="27"/>
    </row>
    <row r="178" spans="1:22" ht="29" x14ac:dyDescent="0.35">
      <c r="A178" s="93" t="s">
        <v>468</v>
      </c>
      <c r="B178" s="94" t="s">
        <v>40</v>
      </c>
      <c r="C178" s="94" t="s">
        <v>309</v>
      </c>
      <c r="D178" s="94" t="s">
        <v>613</v>
      </c>
      <c r="E178" s="94" t="s">
        <v>40</v>
      </c>
      <c r="F178" s="95" t="s">
        <v>614</v>
      </c>
      <c r="G178" s="94" t="s">
        <v>504</v>
      </c>
      <c r="H178" s="94" t="s">
        <v>316</v>
      </c>
      <c r="I178" s="94"/>
      <c r="J178" s="94"/>
      <c r="K178" s="94"/>
      <c r="L178" s="96">
        <v>309</v>
      </c>
      <c r="M178" s="96"/>
      <c r="N178" s="97"/>
      <c r="O178" s="41"/>
      <c r="P178" s="94"/>
      <c r="Q178" s="26"/>
      <c r="R178" s="96"/>
      <c r="S178" s="96"/>
      <c r="T178" s="26"/>
      <c r="U178" s="98"/>
      <c r="V178" s="27"/>
    </row>
    <row r="179" spans="1:22" x14ac:dyDescent="0.35">
      <c r="A179" s="93" t="s">
        <v>468</v>
      </c>
      <c r="B179" s="94" t="s">
        <v>40</v>
      </c>
      <c r="C179" s="94" t="s">
        <v>309</v>
      </c>
      <c r="D179" s="94" t="s">
        <v>615</v>
      </c>
      <c r="E179" s="94" t="s">
        <v>40</v>
      </c>
      <c r="F179" s="95" t="s">
        <v>507</v>
      </c>
      <c r="G179" s="94" t="s">
        <v>40</v>
      </c>
      <c r="H179" s="94" t="s">
        <v>316</v>
      </c>
      <c r="I179" s="94"/>
      <c r="J179" s="94"/>
      <c r="K179" s="94"/>
      <c r="L179" s="96">
        <v>0</v>
      </c>
      <c r="M179" s="96"/>
      <c r="N179" s="97"/>
      <c r="O179" s="41"/>
      <c r="P179" s="94"/>
      <c r="Q179" s="26"/>
      <c r="R179" s="96"/>
      <c r="S179" s="96"/>
      <c r="T179" s="26"/>
      <c r="U179" s="98"/>
      <c r="V179" s="27"/>
    </row>
    <row r="180" spans="1:22" x14ac:dyDescent="0.35">
      <c r="A180" s="93" t="s">
        <v>468</v>
      </c>
      <c r="B180" s="94" t="s">
        <v>40</v>
      </c>
      <c r="C180" s="94" t="s">
        <v>309</v>
      </c>
      <c r="D180" s="94" t="s">
        <v>616</v>
      </c>
      <c r="E180" s="94" t="s">
        <v>40</v>
      </c>
      <c r="F180" s="95" t="s">
        <v>617</v>
      </c>
      <c r="G180" s="94" t="s">
        <v>504</v>
      </c>
      <c r="H180" s="94" t="s">
        <v>256</v>
      </c>
      <c r="I180" s="94" t="s">
        <v>10</v>
      </c>
      <c r="J180" s="94" t="s">
        <v>218</v>
      </c>
      <c r="K180" s="95" t="s">
        <v>257</v>
      </c>
      <c r="L180" s="96">
        <v>62.5</v>
      </c>
      <c r="M180" s="96">
        <f>L180*VLOOKUP(I180,dagsoorttabel1,2,FALSE)</f>
        <v>62.5</v>
      </c>
      <c r="N180" s="97">
        <f>prodnorm38</f>
        <v>0</v>
      </c>
      <c r="O180" s="41">
        <f>dagwerk38</f>
        <v>0</v>
      </c>
      <c r="P180" s="94" t="s">
        <v>107</v>
      </c>
      <c r="Q180" s="26">
        <f>uurtarief38</f>
        <v>0</v>
      </c>
      <c r="R180" s="96" t="e">
        <f>IF(ISBLANK(N180),0,M180/ROUND(N180,4))</f>
        <v>#DIV/0!</v>
      </c>
      <c r="S180" s="96" t="e">
        <f>IF(ISBLANK(N180),0,R180*ROUND(O180,2))</f>
        <v>#DIV/0!</v>
      </c>
      <c r="T180" s="26" t="e">
        <f>ROUND(Q180,2)*R180</f>
        <v>#DIV/0!</v>
      </c>
      <c r="U180" s="96" t="e">
        <f>R180*dagenperjaar1</f>
        <v>#DIV/0!</v>
      </c>
      <c r="V180" s="27" t="e">
        <f>U180*ROUND(Q180,2)</f>
        <v>#DIV/0!</v>
      </c>
    </row>
    <row r="181" spans="1:22" x14ac:dyDescent="0.35">
      <c r="A181" s="93" t="s">
        <v>468</v>
      </c>
      <c r="B181" s="94" t="s">
        <v>40</v>
      </c>
      <c r="C181" s="94" t="s">
        <v>309</v>
      </c>
      <c r="D181" s="94" t="s">
        <v>618</v>
      </c>
      <c r="E181" s="94" t="s">
        <v>40</v>
      </c>
      <c r="F181" s="95" t="s">
        <v>619</v>
      </c>
      <c r="G181" s="94" t="s">
        <v>504</v>
      </c>
      <c r="H181" s="94" t="s">
        <v>246</v>
      </c>
      <c r="I181" s="94" t="s">
        <v>10</v>
      </c>
      <c r="J181" s="94" t="s">
        <v>218</v>
      </c>
      <c r="K181" s="95" t="s">
        <v>247</v>
      </c>
      <c r="L181" s="96">
        <v>942</v>
      </c>
      <c r="M181" s="96">
        <f>L181*VLOOKUP(I181,dagsoorttabel1,2,FALSE)</f>
        <v>942</v>
      </c>
      <c r="N181" s="97">
        <f>prodnorm26</f>
        <v>0</v>
      </c>
      <c r="O181" s="41">
        <f>dagwerk26</f>
        <v>0</v>
      </c>
      <c r="P181" s="94" t="s">
        <v>107</v>
      </c>
      <c r="Q181" s="26">
        <f>uurtarief26</f>
        <v>0</v>
      </c>
      <c r="R181" s="96" t="e">
        <f>IF(ISBLANK(N181),0,M181/ROUND(N181,4))</f>
        <v>#DIV/0!</v>
      </c>
      <c r="S181" s="96" t="e">
        <f>IF(ISBLANK(N181),0,R181*ROUND(O181,2))</f>
        <v>#DIV/0!</v>
      </c>
      <c r="T181" s="26" t="e">
        <f>ROUND(Q181,2)*R181</f>
        <v>#DIV/0!</v>
      </c>
      <c r="U181" s="96" t="e">
        <f>R181*dagenperjaar1</f>
        <v>#DIV/0!</v>
      </c>
      <c r="V181" s="27" t="e">
        <f>U181*ROUND(Q181,2)</f>
        <v>#DIV/0!</v>
      </c>
    </row>
    <row r="182" spans="1:22" x14ac:dyDescent="0.35">
      <c r="A182" s="93" t="s">
        <v>468</v>
      </c>
      <c r="B182" s="94" t="s">
        <v>40</v>
      </c>
      <c r="C182" s="94" t="s">
        <v>309</v>
      </c>
      <c r="D182" s="94" t="s">
        <v>620</v>
      </c>
      <c r="E182" s="94" t="s">
        <v>40</v>
      </c>
      <c r="F182" s="95" t="s">
        <v>621</v>
      </c>
      <c r="G182" s="94" t="s">
        <v>504</v>
      </c>
      <c r="H182" s="94" t="s">
        <v>250</v>
      </c>
      <c r="I182" s="94" t="s">
        <v>10</v>
      </c>
      <c r="J182" s="94" t="s">
        <v>218</v>
      </c>
      <c r="K182" s="95" t="s">
        <v>251</v>
      </c>
      <c r="L182" s="96">
        <v>47</v>
      </c>
      <c r="M182" s="96">
        <f>L182*VLOOKUP(I182,dagsoorttabel1,2,FALSE)</f>
        <v>47</v>
      </c>
      <c r="N182" s="97">
        <f>prodnorm28</f>
        <v>0</v>
      </c>
      <c r="O182" s="41">
        <f>dagwerk28</f>
        <v>0</v>
      </c>
      <c r="P182" s="94" t="s">
        <v>107</v>
      </c>
      <c r="Q182" s="26">
        <f>uurtarief28</f>
        <v>0</v>
      </c>
      <c r="R182" s="96" t="e">
        <f>IF(ISBLANK(N182),0,M182/ROUND(N182,4))</f>
        <v>#DIV/0!</v>
      </c>
      <c r="S182" s="96" t="e">
        <f>IF(ISBLANK(N182),0,R182*ROUND(O182,2))</f>
        <v>#DIV/0!</v>
      </c>
      <c r="T182" s="26" t="e">
        <f>ROUND(Q182,2)*R182</f>
        <v>#DIV/0!</v>
      </c>
      <c r="U182" s="96" t="e">
        <f>R182*dagenperjaar1</f>
        <v>#DIV/0!</v>
      </c>
      <c r="V182" s="27" t="e">
        <f>U182*ROUND(Q182,2)</f>
        <v>#DIV/0!</v>
      </c>
    </row>
    <row r="183" spans="1:22" x14ac:dyDescent="0.35">
      <c r="A183" s="93" t="s">
        <v>468</v>
      </c>
      <c r="B183" s="94" t="s">
        <v>40</v>
      </c>
      <c r="C183" s="94" t="s">
        <v>309</v>
      </c>
      <c r="D183" s="94" t="s">
        <v>622</v>
      </c>
      <c r="E183" s="94" t="s">
        <v>40</v>
      </c>
      <c r="F183" s="95" t="s">
        <v>479</v>
      </c>
      <c r="G183" s="94" t="s">
        <v>40</v>
      </c>
      <c r="H183" s="94" t="s">
        <v>316</v>
      </c>
      <c r="I183" s="94"/>
      <c r="J183" s="94"/>
      <c r="K183" s="94"/>
      <c r="L183" s="96">
        <v>0</v>
      </c>
      <c r="M183" s="96"/>
      <c r="N183" s="97"/>
      <c r="O183" s="41"/>
      <c r="P183" s="94"/>
      <c r="Q183" s="26"/>
      <c r="R183" s="96"/>
      <c r="S183" s="96"/>
      <c r="T183" s="26"/>
      <c r="U183" s="98"/>
      <c r="V183" s="27"/>
    </row>
    <row r="184" spans="1:22" x14ac:dyDescent="0.35">
      <c r="A184" s="93" t="s">
        <v>468</v>
      </c>
      <c r="B184" s="94" t="s">
        <v>40</v>
      </c>
      <c r="C184" s="94" t="s">
        <v>309</v>
      </c>
      <c r="D184" s="94" t="s">
        <v>623</v>
      </c>
      <c r="E184" s="94" t="s">
        <v>40</v>
      </c>
      <c r="F184" s="95" t="s">
        <v>515</v>
      </c>
      <c r="G184" s="94" t="s">
        <v>335</v>
      </c>
      <c r="H184" s="94" t="s">
        <v>256</v>
      </c>
      <c r="I184" s="94" t="s">
        <v>13</v>
      </c>
      <c r="J184" s="94" t="s">
        <v>218</v>
      </c>
      <c r="K184" s="95" t="s">
        <v>257</v>
      </c>
      <c r="L184" s="96">
        <v>14</v>
      </c>
      <c r="M184" s="96">
        <f>L184*VLOOKUP(I184,dagsoorttabel1,2,FALSE)</f>
        <v>5.6000000000000005</v>
      </c>
      <c r="N184" s="97">
        <f>prodnorm37</f>
        <v>0</v>
      </c>
      <c r="O184" s="41">
        <f>dagwerk37</f>
        <v>0</v>
      </c>
      <c r="P184" s="94" t="s">
        <v>107</v>
      </c>
      <c r="Q184" s="26">
        <f>uurtarief37</f>
        <v>0</v>
      </c>
      <c r="R184" s="96" t="e">
        <f>IF(ISBLANK(N184),0,M184/ROUND(N184,4))</f>
        <v>#DIV/0!</v>
      </c>
      <c r="S184" s="96" t="e">
        <f>IF(ISBLANK(N184),0,R184*ROUND(O184,2))</f>
        <v>#DIV/0!</v>
      </c>
      <c r="T184" s="26" t="e">
        <f>ROUND(Q184,2)*R184</f>
        <v>#DIV/0!</v>
      </c>
      <c r="U184" s="96" t="e">
        <f>R184*dagenperjaar1</f>
        <v>#DIV/0!</v>
      </c>
      <c r="V184" s="27" t="e">
        <f>U184*ROUND(Q184,2)</f>
        <v>#DIV/0!</v>
      </c>
    </row>
    <row r="185" spans="1:22" x14ac:dyDescent="0.35">
      <c r="A185" s="93" t="s">
        <v>468</v>
      </c>
      <c r="B185" s="94" t="s">
        <v>40</v>
      </c>
      <c r="C185" s="94" t="s">
        <v>309</v>
      </c>
      <c r="D185" s="94" t="s">
        <v>624</v>
      </c>
      <c r="E185" s="94" t="s">
        <v>40</v>
      </c>
      <c r="F185" s="95" t="s">
        <v>625</v>
      </c>
      <c r="G185" s="94" t="s">
        <v>504</v>
      </c>
      <c r="H185" s="94" t="s">
        <v>246</v>
      </c>
      <c r="I185" s="94" t="s">
        <v>13</v>
      </c>
      <c r="J185" s="94" t="s">
        <v>218</v>
      </c>
      <c r="K185" s="95" t="s">
        <v>247</v>
      </c>
      <c r="L185" s="96">
        <v>19</v>
      </c>
      <c r="M185" s="96">
        <f>L185*VLOOKUP(I185,dagsoorttabel1,2,FALSE)</f>
        <v>7.6000000000000005</v>
      </c>
      <c r="N185" s="97">
        <f>prodnorm25</f>
        <v>0</v>
      </c>
      <c r="O185" s="41">
        <f>dagwerk25</f>
        <v>0</v>
      </c>
      <c r="P185" s="94" t="s">
        <v>107</v>
      </c>
      <c r="Q185" s="26">
        <f>uurtarief25</f>
        <v>0</v>
      </c>
      <c r="R185" s="96" t="e">
        <f>IF(ISBLANK(N185),0,M185/ROUND(N185,4))</f>
        <v>#DIV/0!</v>
      </c>
      <c r="S185" s="96" t="e">
        <f>IF(ISBLANK(N185),0,R185*ROUND(O185,2))</f>
        <v>#DIV/0!</v>
      </c>
      <c r="T185" s="26" t="e">
        <f>ROUND(Q185,2)*R185</f>
        <v>#DIV/0!</v>
      </c>
      <c r="U185" s="96" t="e">
        <f>R185*dagenperjaar1</f>
        <v>#DIV/0!</v>
      </c>
      <c r="V185" s="27" t="e">
        <f>U185*ROUND(Q185,2)</f>
        <v>#DIV/0!</v>
      </c>
    </row>
    <row r="186" spans="1:22" x14ac:dyDescent="0.35">
      <c r="A186" s="93" t="s">
        <v>468</v>
      </c>
      <c r="B186" s="94" t="s">
        <v>40</v>
      </c>
      <c r="C186" s="94" t="s">
        <v>309</v>
      </c>
      <c r="D186" s="94" t="s">
        <v>626</v>
      </c>
      <c r="E186" s="94" t="s">
        <v>40</v>
      </c>
      <c r="F186" s="95" t="s">
        <v>627</v>
      </c>
      <c r="G186" s="94" t="s">
        <v>504</v>
      </c>
      <c r="H186" s="94" t="s">
        <v>246</v>
      </c>
      <c r="I186" s="94" t="s">
        <v>10</v>
      </c>
      <c r="J186" s="94" t="s">
        <v>218</v>
      </c>
      <c r="K186" s="95" t="s">
        <v>247</v>
      </c>
      <c r="L186" s="96">
        <v>120</v>
      </c>
      <c r="M186" s="96">
        <f>L186*VLOOKUP(I186,dagsoorttabel1,2,FALSE)</f>
        <v>120</v>
      </c>
      <c r="N186" s="97">
        <f>prodnorm26</f>
        <v>0</v>
      </c>
      <c r="O186" s="41">
        <f>dagwerk26</f>
        <v>0</v>
      </c>
      <c r="P186" s="94" t="s">
        <v>107</v>
      </c>
      <c r="Q186" s="26">
        <f>uurtarief26</f>
        <v>0</v>
      </c>
      <c r="R186" s="96" t="e">
        <f>IF(ISBLANK(N186),0,M186/ROUND(N186,4))</f>
        <v>#DIV/0!</v>
      </c>
      <c r="S186" s="96" t="e">
        <f>IF(ISBLANK(N186),0,R186*ROUND(O186,2))</f>
        <v>#DIV/0!</v>
      </c>
      <c r="T186" s="26" t="e">
        <f>ROUND(Q186,2)*R186</f>
        <v>#DIV/0!</v>
      </c>
      <c r="U186" s="96" t="e">
        <f>R186*dagenperjaar1</f>
        <v>#DIV/0!</v>
      </c>
      <c r="V186" s="27" t="e">
        <f>U186*ROUND(Q186,2)</f>
        <v>#DIV/0!</v>
      </c>
    </row>
    <row r="187" spans="1:22" x14ac:dyDescent="0.35">
      <c r="A187" s="93" t="s">
        <v>468</v>
      </c>
      <c r="B187" s="94" t="s">
        <v>40</v>
      </c>
      <c r="C187" s="94" t="s">
        <v>309</v>
      </c>
      <c r="D187" s="94" t="s">
        <v>628</v>
      </c>
      <c r="E187" s="94" t="s">
        <v>40</v>
      </c>
      <c r="F187" s="95" t="s">
        <v>629</v>
      </c>
      <c r="G187" s="94" t="s">
        <v>40</v>
      </c>
      <c r="H187" s="94" t="s">
        <v>316</v>
      </c>
      <c r="I187" s="94"/>
      <c r="J187" s="94"/>
      <c r="K187" s="94"/>
      <c r="L187" s="96">
        <v>0</v>
      </c>
      <c r="M187" s="96"/>
      <c r="N187" s="97"/>
      <c r="O187" s="41"/>
      <c r="P187" s="94"/>
      <c r="Q187" s="26"/>
      <c r="R187" s="96"/>
      <c r="S187" s="96"/>
      <c r="T187" s="26"/>
      <c r="U187" s="98"/>
      <c r="V187" s="27"/>
    </row>
    <row r="188" spans="1:22" x14ac:dyDescent="0.35">
      <c r="A188" s="93" t="s">
        <v>468</v>
      </c>
      <c r="B188" s="94" t="s">
        <v>40</v>
      </c>
      <c r="C188" s="94" t="s">
        <v>309</v>
      </c>
      <c r="D188" s="94" t="s">
        <v>630</v>
      </c>
      <c r="E188" s="94" t="s">
        <v>40</v>
      </c>
      <c r="F188" s="95" t="s">
        <v>631</v>
      </c>
      <c r="G188" s="94" t="s">
        <v>40</v>
      </c>
      <c r="H188" s="94" t="s">
        <v>316</v>
      </c>
      <c r="I188" s="94"/>
      <c r="J188" s="94"/>
      <c r="K188" s="94"/>
      <c r="L188" s="96">
        <v>0</v>
      </c>
      <c r="M188" s="96"/>
      <c r="N188" s="97"/>
      <c r="O188" s="41"/>
      <c r="P188" s="94"/>
      <c r="Q188" s="26"/>
      <c r="R188" s="96"/>
      <c r="S188" s="96"/>
      <c r="T188" s="26"/>
      <c r="U188" s="98"/>
      <c r="V188" s="27"/>
    </row>
    <row r="189" spans="1:22" x14ac:dyDescent="0.35">
      <c r="A189" s="93" t="s">
        <v>468</v>
      </c>
      <c r="B189" s="94" t="s">
        <v>40</v>
      </c>
      <c r="C189" s="94" t="s">
        <v>309</v>
      </c>
      <c r="D189" s="94" t="s">
        <v>632</v>
      </c>
      <c r="E189" s="94" t="s">
        <v>40</v>
      </c>
      <c r="F189" s="95" t="s">
        <v>493</v>
      </c>
      <c r="G189" s="94" t="s">
        <v>494</v>
      </c>
      <c r="H189" s="94" t="s">
        <v>316</v>
      </c>
      <c r="I189" s="94"/>
      <c r="J189" s="94"/>
      <c r="K189" s="94"/>
      <c r="L189" s="96">
        <v>51</v>
      </c>
      <c r="M189" s="96"/>
      <c r="N189" s="97"/>
      <c r="O189" s="41"/>
      <c r="P189" s="94"/>
      <c r="Q189" s="26"/>
      <c r="R189" s="96"/>
      <c r="S189" s="96"/>
      <c r="T189" s="26"/>
      <c r="U189" s="98"/>
      <c r="V189" s="27"/>
    </row>
    <row r="190" spans="1:22" x14ac:dyDescent="0.35">
      <c r="A190" s="93" t="s">
        <v>468</v>
      </c>
      <c r="B190" s="94" t="s">
        <v>40</v>
      </c>
      <c r="C190" s="94" t="s">
        <v>309</v>
      </c>
      <c r="D190" s="94" t="s">
        <v>633</v>
      </c>
      <c r="E190" s="94" t="s">
        <v>40</v>
      </c>
      <c r="F190" s="95" t="s">
        <v>634</v>
      </c>
      <c r="G190" s="94" t="s">
        <v>40</v>
      </c>
      <c r="H190" s="94" t="s">
        <v>316</v>
      </c>
      <c r="I190" s="94"/>
      <c r="J190" s="94"/>
      <c r="K190" s="94"/>
      <c r="L190" s="96">
        <v>0</v>
      </c>
      <c r="M190" s="96"/>
      <c r="N190" s="97"/>
      <c r="O190" s="41"/>
      <c r="P190" s="94"/>
      <c r="Q190" s="26"/>
      <c r="R190" s="96"/>
      <c r="S190" s="96"/>
      <c r="T190" s="26"/>
      <c r="U190" s="98"/>
      <c r="V190" s="27"/>
    </row>
    <row r="191" spans="1:22" x14ac:dyDescent="0.35">
      <c r="A191" s="93" t="s">
        <v>468</v>
      </c>
      <c r="B191" s="94" t="s">
        <v>40</v>
      </c>
      <c r="C191" s="94" t="s">
        <v>309</v>
      </c>
      <c r="D191" s="94" t="s">
        <v>635</v>
      </c>
      <c r="E191" s="94" t="s">
        <v>40</v>
      </c>
      <c r="F191" s="95" t="s">
        <v>636</v>
      </c>
      <c r="G191" s="94" t="s">
        <v>40</v>
      </c>
      <c r="H191" s="94" t="s">
        <v>316</v>
      </c>
      <c r="I191" s="94"/>
      <c r="J191" s="94"/>
      <c r="K191" s="94"/>
      <c r="L191" s="96">
        <v>0</v>
      </c>
      <c r="M191" s="96"/>
      <c r="N191" s="97"/>
      <c r="O191" s="41"/>
      <c r="P191" s="94"/>
      <c r="Q191" s="26"/>
      <c r="R191" s="96"/>
      <c r="S191" s="96"/>
      <c r="T191" s="26"/>
      <c r="U191" s="98"/>
      <c r="V191" s="27"/>
    </row>
    <row r="192" spans="1:22" x14ac:dyDescent="0.35">
      <c r="A192" s="93" t="s">
        <v>468</v>
      </c>
      <c r="B192" s="94" t="s">
        <v>40</v>
      </c>
      <c r="C192" s="94" t="s">
        <v>309</v>
      </c>
      <c r="D192" s="94" t="s">
        <v>637</v>
      </c>
      <c r="E192" s="94" t="s">
        <v>40</v>
      </c>
      <c r="F192" s="95" t="s">
        <v>479</v>
      </c>
      <c r="G192" s="94" t="s">
        <v>40</v>
      </c>
      <c r="H192" s="94" t="s">
        <v>316</v>
      </c>
      <c r="I192" s="94"/>
      <c r="J192" s="94"/>
      <c r="K192" s="94"/>
      <c r="L192" s="96">
        <v>0</v>
      </c>
      <c r="M192" s="96"/>
      <c r="N192" s="97"/>
      <c r="O192" s="41"/>
      <c r="P192" s="94"/>
      <c r="Q192" s="26"/>
      <c r="R192" s="96"/>
      <c r="S192" s="96"/>
      <c r="T192" s="26"/>
      <c r="U192" s="98"/>
      <c r="V192" s="27"/>
    </row>
    <row r="193" spans="1:22" x14ac:dyDescent="0.35">
      <c r="A193" s="93" t="s">
        <v>468</v>
      </c>
      <c r="B193" s="94" t="s">
        <v>40</v>
      </c>
      <c r="C193" s="94" t="s">
        <v>309</v>
      </c>
      <c r="D193" s="94" t="s">
        <v>638</v>
      </c>
      <c r="E193" s="94" t="s">
        <v>40</v>
      </c>
      <c r="F193" s="95" t="s">
        <v>589</v>
      </c>
      <c r="G193" s="94" t="s">
        <v>40</v>
      </c>
      <c r="H193" s="94" t="s">
        <v>316</v>
      </c>
      <c r="I193" s="94"/>
      <c r="J193" s="94"/>
      <c r="K193" s="94"/>
      <c r="L193" s="96">
        <v>0</v>
      </c>
      <c r="M193" s="96"/>
      <c r="N193" s="97"/>
      <c r="O193" s="41"/>
      <c r="P193" s="94"/>
      <c r="Q193" s="26"/>
      <c r="R193" s="96"/>
      <c r="S193" s="96"/>
      <c r="T193" s="26"/>
      <c r="U193" s="98"/>
      <c r="V193" s="27"/>
    </row>
    <row r="194" spans="1:22" x14ac:dyDescent="0.35">
      <c r="A194" s="93" t="s">
        <v>468</v>
      </c>
      <c r="B194" s="94" t="s">
        <v>40</v>
      </c>
      <c r="C194" s="94" t="s">
        <v>309</v>
      </c>
      <c r="D194" s="94" t="s">
        <v>639</v>
      </c>
      <c r="E194" s="94" t="s">
        <v>40</v>
      </c>
      <c r="F194" s="95" t="s">
        <v>640</v>
      </c>
      <c r="G194" s="94" t="s">
        <v>504</v>
      </c>
      <c r="H194" s="94" t="s">
        <v>316</v>
      </c>
      <c r="I194" s="94"/>
      <c r="J194" s="94"/>
      <c r="K194" s="94"/>
      <c r="L194" s="96">
        <v>6</v>
      </c>
      <c r="M194" s="96"/>
      <c r="N194" s="97"/>
      <c r="O194" s="41"/>
      <c r="P194" s="94"/>
      <c r="Q194" s="26"/>
      <c r="R194" s="96"/>
      <c r="S194" s="96"/>
      <c r="T194" s="26"/>
      <c r="U194" s="98"/>
      <c r="V194" s="27"/>
    </row>
    <row r="195" spans="1:22" x14ac:dyDescent="0.35">
      <c r="A195" s="93" t="s">
        <v>468</v>
      </c>
      <c r="B195" s="94" t="s">
        <v>40</v>
      </c>
      <c r="C195" s="94" t="s">
        <v>309</v>
      </c>
      <c r="D195" s="94" t="s">
        <v>641</v>
      </c>
      <c r="E195" s="94" t="s">
        <v>40</v>
      </c>
      <c r="F195" s="95" t="s">
        <v>479</v>
      </c>
      <c r="G195" s="94" t="s">
        <v>40</v>
      </c>
      <c r="H195" s="94" t="s">
        <v>316</v>
      </c>
      <c r="I195" s="94"/>
      <c r="J195" s="94"/>
      <c r="K195" s="94"/>
      <c r="L195" s="96">
        <v>0</v>
      </c>
      <c r="M195" s="96"/>
      <c r="N195" s="97"/>
      <c r="O195" s="41"/>
      <c r="P195" s="94"/>
      <c r="Q195" s="26"/>
      <c r="R195" s="96"/>
      <c r="S195" s="96"/>
      <c r="T195" s="26"/>
      <c r="U195" s="98"/>
      <c r="V195" s="27"/>
    </row>
    <row r="196" spans="1:22" x14ac:dyDescent="0.35">
      <c r="A196" s="93" t="s">
        <v>468</v>
      </c>
      <c r="B196" s="94" t="s">
        <v>40</v>
      </c>
      <c r="C196" s="94" t="s">
        <v>309</v>
      </c>
      <c r="D196" s="94" t="s">
        <v>642</v>
      </c>
      <c r="E196" s="94" t="s">
        <v>40</v>
      </c>
      <c r="F196" s="95" t="s">
        <v>411</v>
      </c>
      <c r="G196" s="94" t="s">
        <v>504</v>
      </c>
      <c r="H196" s="94" t="s">
        <v>246</v>
      </c>
      <c r="I196" s="94" t="s">
        <v>13</v>
      </c>
      <c r="J196" s="94" t="s">
        <v>218</v>
      </c>
      <c r="K196" s="95" t="s">
        <v>247</v>
      </c>
      <c r="L196" s="96">
        <v>8</v>
      </c>
      <c r="M196" s="96">
        <f>L196*VLOOKUP(I196,dagsoorttabel1,2,FALSE)</f>
        <v>3.2</v>
      </c>
      <c r="N196" s="97">
        <f>prodnorm25</f>
        <v>0</v>
      </c>
      <c r="O196" s="41">
        <f>dagwerk25</f>
        <v>0</v>
      </c>
      <c r="P196" s="94" t="s">
        <v>107</v>
      </c>
      <c r="Q196" s="26">
        <f>uurtarief25</f>
        <v>0</v>
      </c>
      <c r="R196" s="96" t="e">
        <f>IF(ISBLANK(N196),0,M196/ROUND(N196,4))</f>
        <v>#DIV/0!</v>
      </c>
      <c r="S196" s="96" t="e">
        <f>IF(ISBLANK(N196),0,R196*ROUND(O196,2))</f>
        <v>#DIV/0!</v>
      </c>
      <c r="T196" s="26" t="e">
        <f>ROUND(Q196,2)*R196</f>
        <v>#DIV/0!</v>
      </c>
      <c r="U196" s="96" t="e">
        <f>R196*dagenperjaar1</f>
        <v>#DIV/0!</v>
      </c>
      <c r="V196" s="27" t="e">
        <f>U196*ROUND(Q196,2)</f>
        <v>#DIV/0!</v>
      </c>
    </row>
    <row r="197" spans="1:22" x14ac:dyDescent="0.35">
      <c r="A197" s="93" t="s">
        <v>468</v>
      </c>
      <c r="B197" s="94" t="s">
        <v>40</v>
      </c>
      <c r="C197" s="94" t="s">
        <v>309</v>
      </c>
      <c r="D197" s="94" t="s">
        <v>643</v>
      </c>
      <c r="E197" s="94" t="s">
        <v>40</v>
      </c>
      <c r="F197" s="95" t="s">
        <v>644</v>
      </c>
      <c r="G197" s="94" t="s">
        <v>40</v>
      </c>
      <c r="H197" s="94" t="s">
        <v>316</v>
      </c>
      <c r="I197" s="94"/>
      <c r="J197" s="94"/>
      <c r="K197" s="94"/>
      <c r="L197" s="96">
        <v>26</v>
      </c>
      <c r="M197" s="96"/>
      <c r="N197" s="97"/>
      <c r="O197" s="41"/>
      <c r="P197" s="94"/>
      <c r="Q197" s="26"/>
      <c r="R197" s="96"/>
      <c r="S197" s="96"/>
      <c r="T197" s="26"/>
      <c r="U197" s="98"/>
      <c r="V197" s="27"/>
    </row>
    <row r="198" spans="1:22" x14ac:dyDescent="0.35">
      <c r="A198" s="93" t="s">
        <v>468</v>
      </c>
      <c r="B198" s="94" t="s">
        <v>40</v>
      </c>
      <c r="C198" s="94" t="s">
        <v>391</v>
      </c>
      <c r="D198" s="94" t="s">
        <v>645</v>
      </c>
      <c r="E198" s="94" t="s">
        <v>40</v>
      </c>
      <c r="F198" s="95" t="s">
        <v>473</v>
      </c>
      <c r="G198" s="94" t="s">
        <v>40</v>
      </c>
      <c r="H198" s="94" t="s">
        <v>316</v>
      </c>
      <c r="I198" s="94"/>
      <c r="J198" s="94"/>
      <c r="K198" s="94"/>
      <c r="L198" s="96">
        <v>0</v>
      </c>
      <c r="M198" s="96"/>
      <c r="N198" s="97"/>
      <c r="O198" s="41"/>
      <c r="P198" s="94"/>
      <c r="Q198" s="26"/>
      <c r="R198" s="96"/>
      <c r="S198" s="96"/>
      <c r="T198" s="26"/>
      <c r="U198" s="98"/>
      <c r="V198" s="27"/>
    </row>
    <row r="199" spans="1:22" x14ac:dyDescent="0.35">
      <c r="A199" s="93" t="s">
        <v>468</v>
      </c>
      <c r="B199" s="94" t="s">
        <v>40</v>
      </c>
      <c r="C199" s="94" t="s">
        <v>391</v>
      </c>
      <c r="D199" s="94" t="s">
        <v>646</v>
      </c>
      <c r="E199" s="94" t="s">
        <v>40</v>
      </c>
      <c r="F199" s="95" t="s">
        <v>548</v>
      </c>
      <c r="G199" s="94" t="s">
        <v>335</v>
      </c>
      <c r="H199" s="94" t="s">
        <v>256</v>
      </c>
      <c r="I199" s="94" t="s">
        <v>13</v>
      </c>
      <c r="J199" s="94" t="s">
        <v>218</v>
      </c>
      <c r="K199" s="95" t="s">
        <v>257</v>
      </c>
      <c r="L199" s="96">
        <v>19</v>
      </c>
      <c r="M199" s="96">
        <f>L199*VLOOKUP(I199,dagsoorttabel1,2,FALSE)</f>
        <v>7.6000000000000005</v>
      </c>
      <c r="N199" s="97">
        <f>prodnorm37</f>
        <v>0</v>
      </c>
      <c r="O199" s="41">
        <f>dagwerk37</f>
        <v>0</v>
      </c>
      <c r="P199" s="94" t="s">
        <v>107</v>
      </c>
      <c r="Q199" s="26">
        <f>uurtarief37</f>
        <v>0</v>
      </c>
      <c r="R199" s="96" t="e">
        <f>IF(ISBLANK(N199),0,M199/ROUND(N199,4))</f>
        <v>#DIV/0!</v>
      </c>
      <c r="S199" s="96" t="e">
        <f>IF(ISBLANK(N199),0,R199*ROUND(O199,2))</f>
        <v>#DIV/0!</v>
      </c>
      <c r="T199" s="26" t="e">
        <f>ROUND(Q199,2)*R199</f>
        <v>#DIV/0!</v>
      </c>
      <c r="U199" s="96" t="e">
        <f>R199*dagenperjaar1</f>
        <v>#DIV/0!</v>
      </c>
      <c r="V199" s="27" t="e">
        <f>U199*ROUND(Q199,2)</f>
        <v>#DIV/0!</v>
      </c>
    </row>
    <row r="200" spans="1:22" x14ac:dyDescent="0.35">
      <c r="A200" s="93" t="s">
        <v>468</v>
      </c>
      <c r="B200" s="94" t="s">
        <v>40</v>
      </c>
      <c r="C200" s="94" t="s">
        <v>391</v>
      </c>
      <c r="D200" s="94" t="s">
        <v>647</v>
      </c>
      <c r="E200" s="94" t="s">
        <v>40</v>
      </c>
      <c r="F200" s="95" t="s">
        <v>477</v>
      </c>
      <c r="G200" s="94" t="s">
        <v>40</v>
      </c>
      <c r="H200" s="94" t="s">
        <v>316</v>
      </c>
      <c r="I200" s="94"/>
      <c r="J200" s="94"/>
      <c r="K200" s="94"/>
      <c r="L200" s="96">
        <v>0</v>
      </c>
      <c r="M200" s="96"/>
      <c r="N200" s="97"/>
      <c r="O200" s="41"/>
      <c r="P200" s="94"/>
      <c r="Q200" s="26"/>
      <c r="R200" s="96"/>
      <c r="S200" s="96"/>
      <c r="T200" s="26"/>
      <c r="U200" s="98"/>
      <c r="V200" s="27"/>
    </row>
    <row r="201" spans="1:22" x14ac:dyDescent="0.35">
      <c r="A201" s="93" t="s">
        <v>468</v>
      </c>
      <c r="B201" s="94" t="s">
        <v>40</v>
      </c>
      <c r="C201" s="94" t="s">
        <v>391</v>
      </c>
      <c r="D201" s="94" t="s">
        <v>648</v>
      </c>
      <c r="E201" s="94" t="s">
        <v>40</v>
      </c>
      <c r="F201" s="95" t="s">
        <v>479</v>
      </c>
      <c r="G201" s="94" t="s">
        <v>40</v>
      </c>
      <c r="H201" s="94" t="s">
        <v>316</v>
      </c>
      <c r="I201" s="94"/>
      <c r="J201" s="94"/>
      <c r="K201" s="94"/>
      <c r="L201" s="96">
        <v>0</v>
      </c>
      <c r="M201" s="96"/>
      <c r="N201" s="97"/>
      <c r="O201" s="41"/>
      <c r="P201" s="94"/>
      <c r="Q201" s="26"/>
      <c r="R201" s="96"/>
      <c r="S201" s="96"/>
      <c r="T201" s="26"/>
      <c r="U201" s="98"/>
      <c r="V201" s="27"/>
    </row>
    <row r="202" spans="1:22" x14ac:dyDescent="0.35">
      <c r="A202" s="93" t="s">
        <v>468</v>
      </c>
      <c r="B202" s="94" t="s">
        <v>40</v>
      </c>
      <c r="C202" s="94" t="s">
        <v>391</v>
      </c>
      <c r="D202" s="94" t="s">
        <v>649</v>
      </c>
      <c r="E202" s="94" t="s">
        <v>40</v>
      </c>
      <c r="F202" s="95" t="s">
        <v>481</v>
      </c>
      <c r="G202" s="94" t="s">
        <v>40</v>
      </c>
      <c r="H202" s="94" t="s">
        <v>316</v>
      </c>
      <c r="I202" s="94"/>
      <c r="J202" s="94"/>
      <c r="K202" s="94"/>
      <c r="L202" s="96">
        <v>0</v>
      </c>
      <c r="M202" s="96"/>
      <c r="N202" s="97"/>
      <c r="O202" s="41"/>
      <c r="P202" s="94"/>
      <c r="Q202" s="26"/>
      <c r="R202" s="96"/>
      <c r="S202" s="96"/>
      <c r="T202" s="26"/>
      <c r="U202" s="98"/>
      <c r="V202" s="27"/>
    </row>
    <row r="203" spans="1:22" x14ac:dyDescent="0.35">
      <c r="A203" s="93" t="s">
        <v>468</v>
      </c>
      <c r="B203" s="94" t="s">
        <v>40</v>
      </c>
      <c r="C203" s="94" t="s">
        <v>391</v>
      </c>
      <c r="D203" s="94" t="s">
        <v>650</v>
      </c>
      <c r="E203" s="94" t="s">
        <v>40</v>
      </c>
      <c r="F203" s="95" t="s">
        <v>411</v>
      </c>
      <c r="G203" s="94" t="s">
        <v>335</v>
      </c>
      <c r="H203" s="94" t="s">
        <v>246</v>
      </c>
      <c r="I203" s="94" t="s">
        <v>14</v>
      </c>
      <c r="J203" s="94" t="s">
        <v>218</v>
      </c>
      <c r="K203" s="95" t="s">
        <v>247</v>
      </c>
      <c r="L203" s="96">
        <v>44</v>
      </c>
      <c r="M203" s="96">
        <f>L203*VLOOKUP(I203,dagsoorttabel1,2,FALSE)</f>
        <v>8.8000000000000007</v>
      </c>
      <c r="N203" s="97">
        <f>prodnorm24</f>
        <v>0</v>
      </c>
      <c r="O203" s="41">
        <f>dagwerk24</f>
        <v>0</v>
      </c>
      <c r="P203" s="94" t="s">
        <v>107</v>
      </c>
      <c r="Q203" s="26">
        <f>uurtarief24</f>
        <v>0</v>
      </c>
      <c r="R203" s="96" t="e">
        <f>IF(ISBLANK(N203),0,M203/ROUND(N203,4))</f>
        <v>#DIV/0!</v>
      </c>
      <c r="S203" s="96" t="e">
        <f>IF(ISBLANK(N203),0,R203*ROUND(O203,2))</f>
        <v>#DIV/0!</v>
      </c>
      <c r="T203" s="26" t="e">
        <f>ROUND(Q203,2)*R203</f>
        <v>#DIV/0!</v>
      </c>
      <c r="U203" s="96" t="e">
        <f>R203*dagenperjaar1</f>
        <v>#DIV/0!</v>
      </c>
      <c r="V203" s="27" t="e">
        <f>U203*ROUND(Q203,2)</f>
        <v>#DIV/0!</v>
      </c>
    </row>
    <row r="204" spans="1:22" ht="29" x14ac:dyDescent="0.35">
      <c r="A204" s="93" t="s">
        <v>468</v>
      </c>
      <c r="B204" s="94" t="s">
        <v>40</v>
      </c>
      <c r="C204" s="94" t="s">
        <v>391</v>
      </c>
      <c r="D204" s="94" t="s">
        <v>651</v>
      </c>
      <c r="E204" s="94" t="s">
        <v>40</v>
      </c>
      <c r="F204" s="95" t="s">
        <v>652</v>
      </c>
      <c r="G204" s="94" t="s">
        <v>321</v>
      </c>
      <c r="H204" s="94" t="s">
        <v>242</v>
      </c>
      <c r="I204" s="94" t="s">
        <v>10</v>
      </c>
      <c r="J204" s="94" t="s">
        <v>218</v>
      </c>
      <c r="K204" s="95" t="s">
        <v>243</v>
      </c>
      <c r="L204" s="96">
        <v>13</v>
      </c>
      <c r="M204" s="96">
        <f>L204*VLOOKUP(I204,dagsoorttabel1,2,FALSE)</f>
        <v>13</v>
      </c>
      <c r="N204" s="97">
        <f>prodnorm21</f>
        <v>0</v>
      </c>
      <c r="O204" s="41">
        <f>dagwerk21</f>
        <v>0</v>
      </c>
      <c r="P204" s="94" t="s">
        <v>107</v>
      </c>
      <c r="Q204" s="26">
        <f>uurtarief21</f>
        <v>0</v>
      </c>
      <c r="R204" s="96" t="e">
        <f>IF(ISBLANK(N204),0,M204/ROUND(N204,4))</f>
        <v>#DIV/0!</v>
      </c>
      <c r="S204" s="96" t="e">
        <f>IF(ISBLANK(N204),0,R204*ROUND(O204,2))</f>
        <v>#DIV/0!</v>
      </c>
      <c r="T204" s="26" t="e">
        <f>ROUND(Q204,2)*R204</f>
        <v>#DIV/0!</v>
      </c>
      <c r="U204" s="96" t="e">
        <f>R204*dagenperjaar1</f>
        <v>#DIV/0!</v>
      </c>
      <c r="V204" s="27" t="e">
        <f>U204*ROUND(Q204,2)</f>
        <v>#DIV/0!</v>
      </c>
    </row>
    <row r="205" spans="1:22" ht="29" x14ac:dyDescent="0.35">
      <c r="A205" s="93" t="s">
        <v>468</v>
      </c>
      <c r="B205" s="94" t="s">
        <v>40</v>
      </c>
      <c r="C205" s="94" t="s">
        <v>391</v>
      </c>
      <c r="D205" s="94" t="s">
        <v>651</v>
      </c>
      <c r="E205" s="94" t="s">
        <v>40</v>
      </c>
      <c r="F205" s="95" t="s">
        <v>652</v>
      </c>
      <c r="G205" s="94" t="s">
        <v>321</v>
      </c>
      <c r="H205" s="94" t="s">
        <v>244</v>
      </c>
      <c r="I205" s="94" t="s">
        <v>9</v>
      </c>
      <c r="J205" s="94" t="s">
        <v>218</v>
      </c>
      <c r="K205" s="95" t="s">
        <v>245</v>
      </c>
      <c r="L205" s="96">
        <v>13</v>
      </c>
      <c r="M205" s="96">
        <f>L205*VLOOKUP(I205,dagsoorttabel1,2,FALSE)</f>
        <v>39</v>
      </c>
      <c r="N205" s="97">
        <f>prodnorm22</f>
        <v>0</v>
      </c>
      <c r="O205" s="41">
        <f>dagwerk22</f>
        <v>0</v>
      </c>
      <c r="P205" s="94" t="s">
        <v>107</v>
      </c>
      <c r="Q205" s="26">
        <f>uurtarief22</f>
        <v>0</v>
      </c>
      <c r="R205" s="96" t="e">
        <f>IF(ISBLANK(N205),0,M205/ROUND(N205,4))</f>
        <v>#DIV/0!</v>
      </c>
      <c r="S205" s="96" t="e">
        <f>IF(ISBLANK(N205),0,R205*ROUND(O205,2))</f>
        <v>#DIV/0!</v>
      </c>
      <c r="T205" s="26" t="e">
        <f>ROUND(Q205,2)*R205</f>
        <v>#DIV/0!</v>
      </c>
      <c r="U205" s="96" t="e">
        <f>R205*dagenperjaar1</f>
        <v>#DIV/0!</v>
      </c>
      <c r="V205" s="27" t="e">
        <f>U205*ROUND(Q205,2)</f>
        <v>#DIV/0!</v>
      </c>
    </row>
    <row r="206" spans="1:22" x14ac:dyDescent="0.35">
      <c r="A206" s="93" t="s">
        <v>468</v>
      </c>
      <c r="B206" s="94" t="s">
        <v>40</v>
      </c>
      <c r="C206" s="94" t="s">
        <v>391</v>
      </c>
      <c r="D206" s="94" t="s">
        <v>653</v>
      </c>
      <c r="E206" s="94" t="s">
        <v>40</v>
      </c>
      <c r="F206" s="95" t="s">
        <v>654</v>
      </c>
      <c r="G206" s="94" t="s">
        <v>504</v>
      </c>
      <c r="H206" s="94" t="s">
        <v>256</v>
      </c>
      <c r="I206" s="94" t="s">
        <v>10</v>
      </c>
      <c r="J206" s="94" t="s">
        <v>218</v>
      </c>
      <c r="K206" s="95" t="s">
        <v>257</v>
      </c>
      <c r="L206" s="96">
        <v>62.5</v>
      </c>
      <c r="M206" s="96">
        <f>L206*VLOOKUP(I206,dagsoorttabel1,2,FALSE)</f>
        <v>62.5</v>
      </c>
      <c r="N206" s="97">
        <f>prodnorm38</f>
        <v>0</v>
      </c>
      <c r="O206" s="41">
        <f>dagwerk38</f>
        <v>0</v>
      </c>
      <c r="P206" s="94" t="s">
        <v>107</v>
      </c>
      <c r="Q206" s="26">
        <f>uurtarief38</f>
        <v>0</v>
      </c>
      <c r="R206" s="96" t="e">
        <f>IF(ISBLANK(N206),0,M206/ROUND(N206,4))</f>
        <v>#DIV/0!</v>
      </c>
      <c r="S206" s="96" t="e">
        <f>IF(ISBLANK(N206),0,R206*ROUND(O206,2))</f>
        <v>#DIV/0!</v>
      </c>
      <c r="T206" s="26" t="e">
        <f>ROUND(Q206,2)*R206</f>
        <v>#DIV/0!</v>
      </c>
      <c r="U206" s="96" t="e">
        <f>R206*dagenperjaar1</f>
        <v>#DIV/0!</v>
      </c>
      <c r="V206" s="27" t="e">
        <f>U206*ROUND(Q206,2)</f>
        <v>#DIV/0!</v>
      </c>
    </row>
    <row r="207" spans="1:22" x14ac:dyDescent="0.35">
      <c r="A207" s="93" t="s">
        <v>468</v>
      </c>
      <c r="B207" s="94" t="s">
        <v>40</v>
      </c>
      <c r="C207" s="94" t="s">
        <v>391</v>
      </c>
      <c r="D207" s="94" t="s">
        <v>655</v>
      </c>
      <c r="E207" s="94" t="s">
        <v>40</v>
      </c>
      <c r="F207" s="95" t="s">
        <v>507</v>
      </c>
      <c r="G207" s="94" t="s">
        <v>40</v>
      </c>
      <c r="H207" s="94" t="s">
        <v>316</v>
      </c>
      <c r="I207" s="94"/>
      <c r="J207" s="94"/>
      <c r="K207" s="94"/>
      <c r="L207" s="96">
        <v>0</v>
      </c>
      <c r="M207" s="96"/>
      <c r="N207" s="97"/>
      <c r="O207" s="41"/>
      <c r="P207" s="94"/>
      <c r="Q207" s="26"/>
      <c r="R207" s="96"/>
      <c r="S207" s="96"/>
      <c r="T207" s="26"/>
      <c r="U207" s="98"/>
      <c r="V207" s="27"/>
    </row>
    <row r="208" spans="1:22" x14ac:dyDescent="0.35">
      <c r="A208" s="93" t="s">
        <v>468</v>
      </c>
      <c r="B208" s="94" t="s">
        <v>40</v>
      </c>
      <c r="C208" s="94" t="s">
        <v>391</v>
      </c>
      <c r="D208" s="94" t="s">
        <v>656</v>
      </c>
      <c r="E208" s="94" t="s">
        <v>40</v>
      </c>
      <c r="F208" s="95" t="s">
        <v>657</v>
      </c>
      <c r="G208" s="94" t="s">
        <v>40</v>
      </c>
      <c r="H208" s="94" t="s">
        <v>316</v>
      </c>
      <c r="I208" s="94"/>
      <c r="J208" s="94"/>
      <c r="K208" s="94"/>
      <c r="L208" s="96">
        <v>0</v>
      </c>
      <c r="M208" s="96"/>
      <c r="N208" s="97"/>
      <c r="O208" s="41"/>
      <c r="P208" s="94"/>
      <c r="Q208" s="26"/>
      <c r="R208" s="96"/>
      <c r="S208" s="96"/>
      <c r="T208" s="26"/>
      <c r="U208" s="98"/>
      <c r="V208" s="27"/>
    </row>
    <row r="209" spans="1:22" x14ac:dyDescent="0.35">
      <c r="A209" s="93" t="s">
        <v>468</v>
      </c>
      <c r="B209" s="94" t="s">
        <v>40</v>
      </c>
      <c r="C209" s="94" t="s">
        <v>391</v>
      </c>
      <c r="D209" s="94" t="s">
        <v>658</v>
      </c>
      <c r="E209" s="94" t="s">
        <v>40</v>
      </c>
      <c r="F209" s="95" t="s">
        <v>659</v>
      </c>
      <c r="G209" s="94" t="s">
        <v>335</v>
      </c>
      <c r="H209" s="94" t="s">
        <v>230</v>
      </c>
      <c r="I209" s="94" t="s">
        <v>13</v>
      </c>
      <c r="J209" s="94" t="s">
        <v>218</v>
      </c>
      <c r="K209" s="95" t="s">
        <v>231</v>
      </c>
      <c r="L209" s="96">
        <v>209</v>
      </c>
      <c r="M209" s="96">
        <f>L209*VLOOKUP(I209,dagsoorttabel1,2,FALSE)</f>
        <v>83.600000000000009</v>
      </c>
      <c r="N209" s="97">
        <f>prodnorm12</f>
        <v>0</v>
      </c>
      <c r="O209" s="41">
        <f>dagwerk12</f>
        <v>0</v>
      </c>
      <c r="P209" s="94" t="s">
        <v>107</v>
      </c>
      <c r="Q209" s="26">
        <f>uurtarief12</f>
        <v>0</v>
      </c>
      <c r="R209" s="96" t="e">
        <f>IF(ISBLANK(N209),0,M209/ROUND(N209,4))</f>
        <v>#DIV/0!</v>
      </c>
      <c r="S209" s="96" t="e">
        <f>IF(ISBLANK(N209),0,R209*ROUND(O209,2))</f>
        <v>#DIV/0!</v>
      </c>
      <c r="T209" s="26" t="e">
        <f>ROUND(Q209,2)*R209</f>
        <v>#DIV/0!</v>
      </c>
      <c r="U209" s="96" t="e">
        <f>R209*dagenperjaar1</f>
        <v>#DIV/0!</v>
      </c>
      <c r="V209" s="27" t="e">
        <f>U209*ROUND(Q209,2)</f>
        <v>#DIV/0!</v>
      </c>
    </row>
    <row r="210" spans="1:22" x14ac:dyDescent="0.35">
      <c r="A210" s="93" t="s">
        <v>468</v>
      </c>
      <c r="B210" s="94" t="s">
        <v>40</v>
      </c>
      <c r="C210" s="94" t="s">
        <v>391</v>
      </c>
      <c r="D210" s="94" t="s">
        <v>660</v>
      </c>
      <c r="E210" s="94" t="s">
        <v>40</v>
      </c>
      <c r="F210" s="95" t="s">
        <v>661</v>
      </c>
      <c r="G210" s="94" t="s">
        <v>535</v>
      </c>
      <c r="H210" s="94" t="s">
        <v>246</v>
      </c>
      <c r="I210" s="94" t="s">
        <v>10</v>
      </c>
      <c r="J210" s="94" t="s">
        <v>218</v>
      </c>
      <c r="K210" s="95" t="s">
        <v>247</v>
      </c>
      <c r="L210" s="96">
        <v>100</v>
      </c>
      <c r="M210" s="96">
        <f>L210*VLOOKUP(I210,dagsoorttabel1,2,FALSE)</f>
        <v>100</v>
      </c>
      <c r="N210" s="97">
        <f>prodnorm26</f>
        <v>0</v>
      </c>
      <c r="O210" s="41">
        <f>dagwerk26</f>
        <v>0</v>
      </c>
      <c r="P210" s="94" t="s">
        <v>107</v>
      </c>
      <c r="Q210" s="26">
        <f>uurtarief26</f>
        <v>0</v>
      </c>
      <c r="R210" s="96" t="e">
        <f>IF(ISBLANK(N210),0,M210/ROUND(N210,4))</f>
        <v>#DIV/0!</v>
      </c>
      <c r="S210" s="96" t="e">
        <f>IF(ISBLANK(N210),0,R210*ROUND(O210,2))</f>
        <v>#DIV/0!</v>
      </c>
      <c r="T210" s="26" t="e">
        <f>ROUND(Q210,2)*R210</f>
        <v>#DIV/0!</v>
      </c>
      <c r="U210" s="96" t="e">
        <f>R210*dagenperjaar1</f>
        <v>#DIV/0!</v>
      </c>
      <c r="V210" s="27" t="e">
        <f>U210*ROUND(Q210,2)</f>
        <v>#DIV/0!</v>
      </c>
    </row>
    <row r="211" spans="1:22" x14ac:dyDescent="0.35">
      <c r="A211" s="93" t="s">
        <v>468</v>
      </c>
      <c r="B211" s="94" t="s">
        <v>40</v>
      </c>
      <c r="C211" s="94" t="s">
        <v>391</v>
      </c>
      <c r="D211" s="94" t="s">
        <v>662</v>
      </c>
      <c r="E211" s="94" t="s">
        <v>40</v>
      </c>
      <c r="F211" s="95" t="s">
        <v>663</v>
      </c>
      <c r="G211" s="94" t="s">
        <v>535</v>
      </c>
      <c r="H211" s="94" t="s">
        <v>256</v>
      </c>
      <c r="I211" s="94" t="s">
        <v>10</v>
      </c>
      <c r="J211" s="94" t="s">
        <v>218</v>
      </c>
      <c r="K211" s="95" t="s">
        <v>257</v>
      </c>
      <c r="L211" s="96">
        <v>11.7</v>
      </c>
      <c r="M211" s="96">
        <f>L211*VLOOKUP(I211,dagsoorttabel1,2,FALSE)</f>
        <v>11.7</v>
      </c>
      <c r="N211" s="97">
        <f>prodnorm38</f>
        <v>0</v>
      </c>
      <c r="O211" s="41">
        <f>dagwerk38</f>
        <v>0</v>
      </c>
      <c r="P211" s="94" t="s">
        <v>107</v>
      </c>
      <c r="Q211" s="26">
        <f>uurtarief38</f>
        <v>0</v>
      </c>
      <c r="R211" s="96" t="e">
        <f>IF(ISBLANK(N211),0,M211/ROUND(N211,4))</f>
        <v>#DIV/0!</v>
      </c>
      <c r="S211" s="96" t="e">
        <f>IF(ISBLANK(N211),0,R211*ROUND(O211,2))</f>
        <v>#DIV/0!</v>
      </c>
      <c r="T211" s="26" t="e">
        <f>ROUND(Q211,2)*R211</f>
        <v>#DIV/0!</v>
      </c>
      <c r="U211" s="96" t="e">
        <f>R211*dagenperjaar1</f>
        <v>#DIV/0!</v>
      </c>
      <c r="V211" s="27" t="e">
        <f>U211*ROUND(Q211,2)</f>
        <v>#DIV/0!</v>
      </c>
    </row>
    <row r="212" spans="1:22" x14ac:dyDescent="0.35">
      <c r="A212" s="93" t="s">
        <v>468</v>
      </c>
      <c r="B212" s="94" t="s">
        <v>40</v>
      </c>
      <c r="C212" s="94" t="s">
        <v>391</v>
      </c>
      <c r="D212" s="94" t="s">
        <v>664</v>
      </c>
      <c r="E212" s="94" t="s">
        <v>40</v>
      </c>
      <c r="F212" s="95" t="s">
        <v>479</v>
      </c>
      <c r="G212" s="94" t="s">
        <v>40</v>
      </c>
      <c r="H212" s="94" t="s">
        <v>316</v>
      </c>
      <c r="I212" s="94"/>
      <c r="J212" s="94"/>
      <c r="K212" s="94"/>
      <c r="L212" s="96">
        <v>0</v>
      </c>
      <c r="M212" s="96"/>
      <c r="N212" s="97"/>
      <c r="O212" s="41"/>
      <c r="P212" s="94"/>
      <c r="Q212" s="26"/>
      <c r="R212" s="96"/>
      <c r="S212" s="96"/>
      <c r="T212" s="26"/>
      <c r="U212" s="98"/>
      <c r="V212" s="27"/>
    </row>
    <row r="213" spans="1:22" x14ac:dyDescent="0.35">
      <c r="A213" s="93" t="s">
        <v>468</v>
      </c>
      <c r="B213" s="94" t="s">
        <v>40</v>
      </c>
      <c r="C213" s="94" t="s">
        <v>391</v>
      </c>
      <c r="D213" s="94" t="s">
        <v>665</v>
      </c>
      <c r="E213" s="94" t="s">
        <v>40</v>
      </c>
      <c r="F213" s="95" t="s">
        <v>479</v>
      </c>
      <c r="G213" s="94" t="s">
        <v>40</v>
      </c>
      <c r="H213" s="94" t="s">
        <v>316</v>
      </c>
      <c r="I213" s="94"/>
      <c r="J213" s="94"/>
      <c r="K213" s="94"/>
      <c r="L213" s="96">
        <v>0</v>
      </c>
      <c r="M213" s="96"/>
      <c r="N213" s="97"/>
      <c r="O213" s="41"/>
      <c r="P213" s="94"/>
      <c r="Q213" s="26"/>
      <c r="R213" s="96"/>
      <c r="S213" s="96"/>
      <c r="T213" s="26"/>
      <c r="U213" s="98"/>
      <c r="V213" s="27"/>
    </row>
    <row r="214" spans="1:22" x14ac:dyDescent="0.35">
      <c r="A214" s="93" t="s">
        <v>468</v>
      </c>
      <c r="B214" s="94" t="s">
        <v>40</v>
      </c>
      <c r="C214" s="94" t="s">
        <v>391</v>
      </c>
      <c r="D214" s="94" t="s">
        <v>666</v>
      </c>
      <c r="E214" s="94" t="s">
        <v>40</v>
      </c>
      <c r="F214" s="95" t="s">
        <v>515</v>
      </c>
      <c r="G214" s="94" t="s">
        <v>335</v>
      </c>
      <c r="H214" s="94" t="s">
        <v>256</v>
      </c>
      <c r="I214" s="94" t="s">
        <v>13</v>
      </c>
      <c r="J214" s="94" t="s">
        <v>218</v>
      </c>
      <c r="K214" s="95" t="s">
        <v>257</v>
      </c>
      <c r="L214" s="96">
        <v>11</v>
      </c>
      <c r="M214" s="96">
        <f>L214*VLOOKUP(I214,dagsoorttabel1,2,FALSE)</f>
        <v>4.4000000000000004</v>
      </c>
      <c r="N214" s="97">
        <f>prodnorm37</f>
        <v>0</v>
      </c>
      <c r="O214" s="41">
        <f>dagwerk37</f>
        <v>0</v>
      </c>
      <c r="P214" s="94" t="s">
        <v>107</v>
      </c>
      <c r="Q214" s="26">
        <f>uurtarief37</f>
        <v>0</v>
      </c>
      <c r="R214" s="96" t="e">
        <f>IF(ISBLANK(N214),0,M214/ROUND(N214,4))</f>
        <v>#DIV/0!</v>
      </c>
      <c r="S214" s="96" t="e">
        <f>IF(ISBLANK(N214),0,R214*ROUND(O214,2))</f>
        <v>#DIV/0!</v>
      </c>
      <c r="T214" s="26" t="e">
        <f>ROUND(Q214,2)*R214</f>
        <v>#DIV/0!</v>
      </c>
      <c r="U214" s="96" t="e">
        <f>R214*dagenperjaar1</f>
        <v>#DIV/0!</v>
      </c>
      <c r="V214" s="27" t="e">
        <f>U214*ROUND(Q214,2)</f>
        <v>#DIV/0!</v>
      </c>
    </row>
    <row r="215" spans="1:22" ht="29" x14ac:dyDescent="0.35">
      <c r="A215" s="93" t="s">
        <v>468</v>
      </c>
      <c r="B215" s="94" t="s">
        <v>40</v>
      </c>
      <c r="C215" s="94" t="s">
        <v>391</v>
      </c>
      <c r="D215" s="94" t="s">
        <v>667</v>
      </c>
      <c r="E215" s="94" t="s">
        <v>40</v>
      </c>
      <c r="F215" s="95" t="s">
        <v>668</v>
      </c>
      <c r="G215" s="94" t="s">
        <v>321</v>
      </c>
      <c r="H215" s="94" t="s">
        <v>242</v>
      </c>
      <c r="I215" s="94" t="s">
        <v>10</v>
      </c>
      <c r="J215" s="94" t="s">
        <v>218</v>
      </c>
      <c r="K215" s="95" t="s">
        <v>243</v>
      </c>
      <c r="L215" s="96">
        <v>9</v>
      </c>
      <c r="M215" s="96">
        <f>L215*VLOOKUP(I215,dagsoorttabel1,2,FALSE)</f>
        <v>9</v>
      </c>
      <c r="N215" s="97">
        <f>prodnorm21</f>
        <v>0</v>
      </c>
      <c r="O215" s="41">
        <f>dagwerk21</f>
        <v>0</v>
      </c>
      <c r="P215" s="94" t="s">
        <v>107</v>
      </c>
      <c r="Q215" s="26">
        <f>uurtarief21</f>
        <v>0</v>
      </c>
      <c r="R215" s="96" t="e">
        <f>IF(ISBLANK(N215),0,M215/ROUND(N215,4))</f>
        <v>#DIV/0!</v>
      </c>
      <c r="S215" s="96" t="e">
        <f>IF(ISBLANK(N215),0,R215*ROUND(O215,2))</f>
        <v>#DIV/0!</v>
      </c>
      <c r="T215" s="26" t="e">
        <f>ROUND(Q215,2)*R215</f>
        <v>#DIV/0!</v>
      </c>
      <c r="U215" s="96" t="e">
        <f>R215*dagenperjaar1</f>
        <v>#DIV/0!</v>
      </c>
      <c r="V215" s="27" t="e">
        <f>U215*ROUND(Q215,2)</f>
        <v>#DIV/0!</v>
      </c>
    </row>
    <row r="216" spans="1:22" ht="29" x14ac:dyDescent="0.35">
      <c r="A216" s="93" t="s">
        <v>468</v>
      </c>
      <c r="B216" s="94" t="s">
        <v>40</v>
      </c>
      <c r="C216" s="94" t="s">
        <v>391</v>
      </c>
      <c r="D216" s="94" t="s">
        <v>667</v>
      </c>
      <c r="E216" s="94" t="s">
        <v>40</v>
      </c>
      <c r="F216" s="95" t="s">
        <v>668</v>
      </c>
      <c r="G216" s="94" t="s">
        <v>321</v>
      </c>
      <c r="H216" s="94" t="s">
        <v>244</v>
      </c>
      <c r="I216" s="94" t="s">
        <v>9</v>
      </c>
      <c r="J216" s="94" t="s">
        <v>218</v>
      </c>
      <c r="K216" s="95" t="s">
        <v>245</v>
      </c>
      <c r="L216" s="96">
        <v>9</v>
      </c>
      <c r="M216" s="96">
        <f>L216*VLOOKUP(I216,dagsoorttabel1,2,FALSE)</f>
        <v>27</v>
      </c>
      <c r="N216" s="97">
        <f>prodnorm22</f>
        <v>0</v>
      </c>
      <c r="O216" s="41">
        <f>dagwerk22</f>
        <v>0</v>
      </c>
      <c r="P216" s="94" t="s">
        <v>107</v>
      </c>
      <c r="Q216" s="26">
        <f>uurtarief22</f>
        <v>0</v>
      </c>
      <c r="R216" s="96" t="e">
        <f>IF(ISBLANK(N216),0,M216/ROUND(N216,4))</f>
        <v>#DIV/0!</v>
      </c>
      <c r="S216" s="96" t="e">
        <f>IF(ISBLANK(N216),0,R216*ROUND(O216,2))</f>
        <v>#DIV/0!</v>
      </c>
      <c r="T216" s="26" t="e">
        <f>ROUND(Q216,2)*R216</f>
        <v>#DIV/0!</v>
      </c>
      <c r="U216" s="96" t="e">
        <f>R216*dagenperjaar1</f>
        <v>#DIV/0!</v>
      </c>
      <c r="V216" s="27" t="e">
        <f>U216*ROUND(Q216,2)</f>
        <v>#DIV/0!</v>
      </c>
    </row>
    <row r="217" spans="1:22" x14ac:dyDescent="0.35">
      <c r="A217" s="93" t="s">
        <v>468</v>
      </c>
      <c r="B217" s="94" t="s">
        <v>40</v>
      </c>
      <c r="C217" s="94" t="s">
        <v>391</v>
      </c>
      <c r="D217" s="94" t="s">
        <v>669</v>
      </c>
      <c r="E217" s="94" t="s">
        <v>40</v>
      </c>
      <c r="F217" s="95" t="s">
        <v>589</v>
      </c>
      <c r="G217" s="94" t="s">
        <v>40</v>
      </c>
      <c r="H217" s="94" t="s">
        <v>316</v>
      </c>
      <c r="I217" s="94"/>
      <c r="J217" s="94"/>
      <c r="K217" s="94"/>
      <c r="L217" s="96">
        <v>0</v>
      </c>
      <c r="M217" s="96"/>
      <c r="N217" s="97"/>
      <c r="O217" s="41"/>
      <c r="P217" s="94"/>
      <c r="Q217" s="26"/>
      <c r="R217" s="96"/>
      <c r="S217" s="96"/>
      <c r="T217" s="26"/>
      <c r="U217" s="98"/>
      <c r="V217" s="27"/>
    </row>
    <row r="218" spans="1:22" x14ac:dyDescent="0.35">
      <c r="A218" s="93" t="s">
        <v>468</v>
      </c>
      <c r="B218" s="94" t="s">
        <v>40</v>
      </c>
      <c r="C218" s="94" t="s">
        <v>391</v>
      </c>
      <c r="D218" s="94" t="s">
        <v>670</v>
      </c>
      <c r="E218" s="94" t="s">
        <v>40</v>
      </c>
      <c r="F218" s="95" t="s">
        <v>411</v>
      </c>
      <c r="G218" s="94" t="s">
        <v>335</v>
      </c>
      <c r="H218" s="94" t="s">
        <v>246</v>
      </c>
      <c r="I218" s="94" t="s">
        <v>13</v>
      </c>
      <c r="J218" s="94" t="s">
        <v>218</v>
      </c>
      <c r="K218" s="95" t="s">
        <v>247</v>
      </c>
      <c r="L218" s="96">
        <v>4</v>
      </c>
      <c r="M218" s="96">
        <f>L218*VLOOKUP(I218,dagsoorttabel1,2,FALSE)</f>
        <v>1.6</v>
      </c>
      <c r="N218" s="97">
        <f>prodnorm25</f>
        <v>0</v>
      </c>
      <c r="O218" s="41">
        <f>dagwerk25</f>
        <v>0</v>
      </c>
      <c r="P218" s="94" t="s">
        <v>107</v>
      </c>
      <c r="Q218" s="26">
        <f>uurtarief25</f>
        <v>0</v>
      </c>
      <c r="R218" s="96" t="e">
        <f>IF(ISBLANK(N218),0,M218/ROUND(N218,4))</f>
        <v>#DIV/0!</v>
      </c>
      <c r="S218" s="96" t="e">
        <f>IF(ISBLANK(N218),0,R218*ROUND(O218,2))</f>
        <v>#DIV/0!</v>
      </c>
      <c r="T218" s="26" t="e">
        <f>ROUND(Q218,2)*R218</f>
        <v>#DIV/0!</v>
      </c>
      <c r="U218" s="96" t="e">
        <f>R218*dagenperjaar1</f>
        <v>#DIV/0!</v>
      </c>
      <c r="V218" s="27" t="e">
        <f>U218*ROUND(Q218,2)</f>
        <v>#DIV/0!</v>
      </c>
    </row>
    <row r="219" spans="1:22" x14ac:dyDescent="0.35">
      <c r="A219" s="93" t="s">
        <v>468</v>
      </c>
      <c r="B219" s="94" t="s">
        <v>40</v>
      </c>
      <c r="C219" s="94" t="s">
        <v>391</v>
      </c>
      <c r="D219" s="94" t="s">
        <v>671</v>
      </c>
      <c r="E219" s="94" t="s">
        <v>40</v>
      </c>
      <c r="F219" s="95" t="s">
        <v>411</v>
      </c>
      <c r="G219" s="94" t="s">
        <v>335</v>
      </c>
      <c r="H219" s="94" t="s">
        <v>246</v>
      </c>
      <c r="I219" s="94" t="s">
        <v>13</v>
      </c>
      <c r="J219" s="94" t="s">
        <v>218</v>
      </c>
      <c r="K219" s="95" t="s">
        <v>247</v>
      </c>
      <c r="L219" s="96">
        <v>4</v>
      </c>
      <c r="M219" s="96">
        <f>L219*VLOOKUP(I219,dagsoorttabel1,2,FALSE)</f>
        <v>1.6</v>
      </c>
      <c r="N219" s="97">
        <f>prodnorm25</f>
        <v>0</v>
      </c>
      <c r="O219" s="41">
        <f>dagwerk25</f>
        <v>0</v>
      </c>
      <c r="P219" s="94" t="s">
        <v>107</v>
      </c>
      <c r="Q219" s="26">
        <f>uurtarief25</f>
        <v>0</v>
      </c>
      <c r="R219" s="96" t="e">
        <f>IF(ISBLANK(N219),0,M219/ROUND(N219,4))</f>
        <v>#DIV/0!</v>
      </c>
      <c r="S219" s="96" t="e">
        <f>IF(ISBLANK(N219),0,R219*ROUND(O219,2))</f>
        <v>#DIV/0!</v>
      </c>
      <c r="T219" s="26" t="e">
        <f>ROUND(Q219,2)*R219</f>
        <v>#DIV/0!</v>
      </c>
      <c r="U219" s="96" t="e">
        <f>R219*dagenperjaar1</f>
        <v>#DIV/0!</v>
      </c>
      <c r="V219" s="27" t="e">
        <f>U219*ROUND(Q219,2)</f>
        <v>#DIV/0!</v>
      </c>
    </row>
    <row r="220" spans="1:22" x14ac:dyDescent="0.35">
      <c r="A220" s="93" t="s">
        <v>468</v>
      </c>
      <c r="B220" s="94" t="s">
        <v>40</v>
      </c>
      <c r="C220" s="94" t="s">
        <v>391</v>
      </c>
      <c r="D220" s="94" t="s">
        <v>672</v>
      </c>
      <c r="E220" s="94" t="s">
        <v>40</v>
      </c>
      <c r="F220" s="95" t="s">
        <v>411</v>
      </c>
      <c r="G220" s="94" t="s">
        <v>535</v>
      </c>
      <c r="H220" s="94" t="s">
        <v>246</v>
      </c>
      <c r="I220" s="94" t="s">
        <v>10</v>
      </c>
      <c r="J220" s="94" t="s">
        <v>218</v>
      </c>
      <c r="K220" s="95" t="s">
        <v>247</v>
      </c>
      <c r="L220" s="96">
        <v>7</v>
      </c>
      <c r="M220" s="96">
        <f>L220*VLOOKUP(I220,dagsoorttabel1,2,FALSE)</f>
        <v>7</v>
      </c>
      <c r="N220" s="97">
        <f>prodnorm26</f>
        <v>0</v>
      </c>
      <c r="O220" s="41">
        <f>dagwerk26</f>
        <v>0</v>
      </c>
      <c r="P220" s="94" t="s">
        <v>107</v>
      </c>
      <c r="Q220" s="26">
        <f>uurtarief26</f>
        <v>0</v>
      </c>
      <c r="R220" s="96" t="e">
        <f>IF(ISBLANK(N220),0,M220/ROUND(N220,4))</f>
        <v>#DIV/0!</v>
      </c>
      <c r="S220" s="96" t="e">
        <f>IF(ISBLANK(N220),0,R220*ROUND(O220,2))</f>
        <v>#DIV/0!</v>
      </c>
      <c r="T220" s="26" t="e">
        <f>ROUND(Q220,2)*R220</f>
        <v>#DIV/0!</v>
      </c>
      <c r="U220" s="96" t="e">
        <f>R220*dagenperjaar1</f>
        <v>#DIV/0!</v>
      </c>
      <c r="V220" s="27" t="e">
        <f>U220*ROUND(Q220,2)</f>
        <v>#DIV/0!</v>
      </c>
    </row>
    <row r="221" spans="1:22" x14ac:dyDescent="0.35">
      <c r="A221" s="93" t="s">
        <v>468</v>
      </c>
      <c r="B221" s="94" t="s">
        <v>40</v>
      </c>
      <c r="C221" s="94" t="s">
        <v>391</v>
      </c>
      <c r="D221" s="94" t="s">
        <v>673</v>
      </c>
      <c r="E221" s="94" t="s">
        <v>40</v>
      </c>
      <c r="F221" s="95" t="s">
        <v>674</v>
      </c>
      <c r="G221" s="94" t="s">
        <v>335</v>
      </c>
      <c r="H221" s="94" t="s">
        <v>236</v>
      </c>
      <c r="I221" s="94" t="s">
        <v>16</v>
      </c>
      <c r="J221" s="94" t="s">
        <v>218</v>
      </c>
      <c r="K221" s="95" t="s">
        <v>237</v>
      </c>
      <c r="L221" s="96">
        <v>11</v>
      </c>
      <c r="M221" s="96">
        <f>L221*VLOOKUP(I221,dagsoorttabel1,2,FALSE)</f>
        <v>0.51764705882352935</v>
      </c>
      <c r="N221" s="97">
        <f>prodnorm16</f>
        <v>0</v>
      </c>
      <c r="O221" s="41">
        <f>dagwerk16</f>
        <v>0</v>
      </c>
      <c r="P221" s="94" t="s">
        <v>107</v>
      </c>
      <c r="Q221" s="26">
        <f>uurtarief16</f>
        <v>0</v>
      </c>
      <c r="R221" s="96" t="e">
        <f>IF(ISBLANK(N221),0,M221/ROUND(N221,4))</f>
        <v>#DIV/0!</v>
      </c>
      <c r="S221" s="96" t="e">
        <f>IF(ISBLANK(N221),0,R221*ROUND(O221,2))</f>
        <v>#DIV/0!</v>
      </c>
      <c r="T221" s="26" t="e">
        <f>ROUND(Q221,2)*R221</f>
        <v>#DIV/0!</v>
      </c>
      <c r="U221" s="96" t="e">
        <f>R221*dagenperjaar1</f>
        <v>#DIV/0!</v>
      </c>
      <c r="V221" s="27" t="e">
        <f>U221*ROUND(Q221,2)</f>
        <v>#DIV/0!</v>
      </c>
    </row>
    <row r="222" spans="1:22" x14ac:dyDescent="0.35">
      <c r="A222" s="93" t="s">
        <v>468</v>
      </c>
      <c r="B222" s="94" t="s">
        <v>40</v>
      </c>
      <c r="C222" s="94" t="s">
        <v>391</v>
      </c>
      <c r="D222" s="94" t="s">
        <v>675</v>
      </c>
      <c r="E222" s="94" t="s">
        <v>40</v>
      </c>
      <c r="F222" s="95" t="s">
        <v>676</v>
      </c>
      <c r="G222" s="94" t="s">
        <v>40</v>
      </c>
      <c r="H222" s="94" t="s">
        <v>316</v>
      </c>
      <c r="I222" s="94"/>
      <c r="J222" s="94"/>
      <c r="K222" s="94"/>
      <c r="L222" s="96">
        <v>0</v>
      </c>
      <c r="M222" s="96"/>
      <c r="N222" s="97"/>
      <c r="O222" s="41"/>
      <c r="P222" s="94"/>
      <c r="Q222" s="26"/>
      <c r="R222" s="96"/>
      <c r="S222" s="96"/>
      <c r="T222" s="26"/>
      <c r="U222" s="98"/>
      <c r="V222" s="27"/>
    </row>
    <row r="223" spans="1:22" x14ac:dyDescent="0.35">
      <c r="A223" s="93" t="s">
        <v>468</v>
      </c>
      <c r="B223" s="94" t="s">
        <v>40</v>
      </c>
      <c r="C223" s="94" t="s">
        <v>391</v>
      </c>
      <c r="D223" s="94" t="s">
        <v>677</v>
      </c>
      <c r="E223" s="94" t="s">
        <v>40</v>
      </c>
      <c r="F223" s="95" t="s">
        <v>678</v>
      </c>
      <c r="G223" s="94" t="s">
        <v>679</v>
      </c>
      <c r="H223" s="94" t="s">
        <v>256</v>
      </c>
      <c r="I223" s="94" t="s">
        <v>16</v>
      </c>
      <c r="J223" s="94" t="s">
        <v>218</v>
      </c>
      <c r="K223" s="95" t="s">
        <v>257</v>
      </c>
      <c r="L223" s="96">
        <v>7</v>
      </c>
      <c r="M223" s="96">
        <f>L223*VLOOKUP(I223,dagsoorttabel1,2,FALSE)</f>
        <v>0.32941176470588235</v>
      </c>
      <c r="N223" s="97">
        <f>prodnorm34</f>
        <v>0</v>
      </c>
      <c r="O223" s="41">
        <f>dagwerk34</f>
        <v>0</v>
      </c>
      <c r="P223" s="94" t="s">
        <v>107</v>
      </c>
      <c r="Q223" s="26">
        <f>uurtarief34</f>
        <v>0</v>
      </c>
      <c r="R223" s="96" t="e">
        <f>IF(ISBLANK(N223),0,M223/ROUND(N223,4))</f>
        <v>#DIV/0!</v>
      </c>
      <c r="S223" s="96" t="e">
        <f>IF(ISBLANK(N223),0,R223*ROUND(O223,2))</f>
        <v>#DIV/0!</v>
      </c>
      <c r="T223" s="26" t="e">
        <f>ROUND(Q223,2)*R223</f>
        <v>#DIV/0!</v>
      </c>
      <c r="U223" s="96" t="e">
        <f>R223*dagenperjaar1</f>
        <v>#DIV/0!</v>
      </c>
      <c r="V223" s="27" t="e">
        <f>U223*ROUND(Q223,2)</f>
        <v>#DIV/0!</v>
      </c>
    </row>
    <row r="224" spans="1:22" x14ac:dyDescent="0.35">
      <c r="A224" s="93" t="s">
        <v>468</v>
      </c>
      <c r="B224" s="94" t="s">
        <v>40</v>
      </c>
      <c r="C224" s="94" t="s">
        <v>391</v>
      </c>
      <c r="D224" s="94" t="s">
        <v>680</v>
      </c>
      <c r="E224" s="94" t="s">
        <v>40</v>
      </c>
      <c r="F224" s="95" t="s">
        <v>681</v>
      </c>
      <c r="G224" s="94" t="s">
        <v>40</v>
      </c>
      <c r="H224" s="94" t="s">
        <v>316</v>
      </c>
      <c r="I224" s="94"/>
      <c r="J224" s="94"/>
      <c r="K224" s="94"/>
      <c r="L224" s="96">
        <v>0</v>
      </c>
      <c r="M224" s="96"/>
      <c r="N224" s="97"/>
      <c r="O224" s="41"/>
      <c r="P224" s="94"/>
      <c r="Q224" s="26"/>
      <c r="R224" s="96"/>
      <c r="S224" s="96"/>
      <c r="T224" s="26"/>
      <c r="U224" s="98"/>
      <c r="V224" s="27"/>
    </row>
    <row r="225" spans="1:22" x14ac:dyDescent="0.35">
      <c r="A225" s="93" t="s">
        <v>468</v>
      </c>
      <c r="B225" s="94" t="s">
        <v>40</v>
      </c>
      <c r="C225" s="94" t="s">
        <v>391</v>
      </c>
      <c r="D225" s="94" t="s">
        <v>682</v>
      </c>
      <c r="E225" s="94" t="s">
        <v>40</v>
      </c>
      <c r="F225" s="95" t="s">
        <v>493</v>
      </c>
      <c r="G225" s="94" t="s">
        <v>494</v>
      </c>
      <c r="H225" s="94" t="s">
        <v>316</v>
      </c>
      <c r="I225" s="94"/>
      <c r="J225" s="94"/>
      <c r="K225" s="94"/>
      <c r="L225" s="96">
        <v>51</v>
      </c>
      <c r="M225" s="96"/>
      <c r="N225" s="97"/>
      <c r="O225" s="41"/>
      <c r="P225" s="94"/>
      <c r="Q225" s="26"/>
      <c r="R225" s="96"/>
      <c r="S225" s="96"/>
      <c r="T225" s="26"/>
      <c r="U225" s="98"/>
      <c r="V225" s="27"/>
    </row>
    <row r="226" spans="1:22" x14ac:dyDescent="0.35">
      <c r="A226" s="93" t="s">
        <v>468</v>
      </c>
      <c r="B226" s="94" t="s">
        <v>40</v>
      </c>
      <c r="C226" s="94" t="s">
        <v>391</v>
      </c>
      <c r="D226" s="94" t="s">
        <v>683</v>
      </c>
      <c r="E226" s="94" t="s">
        <v>40</v>
      </c>
      <c r="F226" s="95" t="s">
        <v>589</v>
      </c>
      <c r="G226" s="94" t="s">
        <v>40</v>
      </c>
      <c r="H226" s="94" t="s">
        <v>316</v>
      </c>
      <c r="I226" s="94"/>
      <c r="J226" s="94"/>
      <c r="K226" s="94"/>
      <c r="L226" s="96">
        <v>0</v>
      </c>
      <c r="M226" s="96"/>
      <c r="N226" s="97"/>
      <c r="O226" s="41"/>
      <c r="P226" s="94"/>
      <c r="Q226" s="26"/>
      <c r="R226" s="96"/>
      <c r="S226" s="96"/>
      <c r="T226" s="26"/>
      <c r="U226" s="98"/>
      <c r="V226" s="27"/>
    </row>
    <row r="227" spans="1:22" x14ac:dyDescent="0.35">
      <c r="A227" s="93" t="s">
        <v>468</v>
      </c>
      <c r="B227" s="94" t="s">
        <v>40</v>
      </c>
      <c r="C227" s="94" t="s">
        <v>391</v>
      </c>
      <c r="D227" s="94" t="s">
        <v>684</v>
      </c>
      <c r="E227" s="94" t="s">
        <v>40</v>
      </c>
      <c r="F227" s="95" t="s">
        <v>473</v>
      </c>
      <c r="G227" s="94" t="s">
        <v>40</v>
      </c>
      <c r="H227" s="94" t="s">
        <v>316</v>
      </c>
      <c r="I227" s="94"/>
      <c r="J227" s="94"/>
      <c r="K227" s="94"/>
      <c r="L227" s="96">
        <v>0</v>
      </c>
      <c r="M227" s="96"/>
      <c r="N227" s="97"/>
      <c r="O227" s="41"/>
      <c r="P227" s="94"/>
      <c r="Q227" s="26"/>
      <c r="R227" s="96"/>
      <c r="S227" s="96"/>
      <c r="T227" s="26"/>
      <c r="U227" s="98"/>
      <c r="V227" s="27"/>
    </row>
    <row r="228" spans="1:22" x14ac:dyDescent="0.35">
      <c r="A228" s="93" t="s">
        <v>468</v>
      </c>
      <c r="B228" s="94" t="s">
        <v>40</v>
      </c>
      <c r="C228" s="94" t="s">
        <v>391</v>
      </c>
      <c r="D228" s="94" t="s">
        <v>685</v>
      </c>
      <c r="E228" s="94" t="s">
        <v>40</v>
      </c>
      <c r="F228" s="95" t="s">
        <v>548</v>
      </c>
      <c r="G228" s="94" t="s">
        <v>335</v>
      </c>
      <c r="H228" s="94" t="s">
        <v>256</v>
      </c>
      <c r="I228" s="94" t="s">
        <v>13</v>
      </c>
      <c r="J228" s="94" t="s">
        <v>218</v>
      </c>
      <c r="K228" s="95" t="s">
        <v>257</v>
      </c>
      <c r="L228" s="96">
        <v>13</v>
      </c>
      <c r="M228" s="96">
        <f>L228*VLOOKUP(I228,dagsoorttabel1,2,FALSE)</f>
        <v>5.2</v>
      </c>
      <c r="N228" s="97">
        <f>prodnorm37</f>
        <v>0</v>
      </c>
      <c r="O228" s="41">
        <f>dagwerk37</f>
        <v>0</v>
      </c>
      <c r="P228" s="94" t="s">
        <v>107</v>
      </c>
      <c r="Q228" s="26">
        <f>uurtarief37</f>
        <v>0</v>
      </c>
      <c r="R228" s="96" t="e">
        <f>IF(ISBLANK(N228),0,M228/ROUND(N228,4))</f>
        <v>#DIV/0!</v>
      </c>
      <c r="S228" s="96" t="e">
        <f>IF(ISBLANK(N228),0,R228*ROUND(O228,2))</f>
        <v>#DIV/0!</v>
      </c>
      <c r="T228" s="26" t="e">
        <f>ROUND(Q228,2)*R228</f>
        <v>#DIV/0!</v>
      </c>
      <c r="U228" s="96" t="e">
        <f>R228*dagenperjaar1</f>
        <v>#DIV/0!</v>
      </c>
      <c r="V228" s="27" t="e">
        <f>U228*ROUND(Q228,2)</f>
        <v>#DIV/0!</v>
      </c>
    </row>
    <row r="229" spans="1:22" x14ac:dyDescent="0.35">
      <c r="A229" s="93" t="s">
        <v>468</v>
      </c>
      <c r="B229" s="94" t="s">
        <v>40</v>
      </c>
      <c r="C229" s="94" t="s">
        <v>391</v>
      </c>
      <c r="D229" s="94" t="s">
        <v>686</v>
      </c>
      <c r="E229" s="94" t="s">
        <v>40</v>
      </c>
      <c r="F229" s="95" t="s">
        <v>477</v>
      </c>
      <c r="G229" s="94" t="s">
        <v>40</v>
      </c>
      <c r="H229" s="94" t="s">
        <v>316</v>
      </c>
      <c r="I229" s="94"/>
      <c r="J229" s="94"/>
      <c r="K229" s="94"/>
      <c r="L229" s="96">
        <v>0</v>
      </c>
      <c r="M229" s="96"/>
      <c r="N229" s="97"/>
      <c r="O229" s="41"/>
      <c r="P229" s="94"/>
      <c r="Q229" s="26"/>
      <c r="R229" s="96"/>
      <c r="S229" s="96"/>
      <c r="T229" s="26"/>
      <c r="U229" s="98"/>
      <c r="V229" s="27"/>
    </row>
    <row r="230" spans="1:22" x14ac:dyDescent="0.35">
      <c r="A230" s="93" t="s">
        <v>468</v>
      </c>
      <c r="B230" s="94" t="s">
        <v>40</v>
      </c>
      <c r="C230" s="94" t="s">
        <v>391</v>
      </c>
      <c r="D230" s="94" t="s">
        <v>687</v>
      </c>
      <c r="E230" s="94" t="s">
        <v>40</v>
      </c>
      <c r="F230" s="95" t="s">
        <v>479</v>
      </c>
      <c r="G230" s="94" t="s">
        <v>40</v>
      </c>
      <c r="H230" s="94" t="s">
        <v>316</v>
      </c>
      <c r="I230" s="94"/>
      <c r="J230" s="94"/>
      <c r="K230" s="94"/>
      <c r="L230" s="96">
        <v>0</v>
      </c>
      <c r="M230" s="96"/>
      <c r="N230" s="97"/>
      <c r="O230" s="41"/>
      <c r="P230" s="94"/>
      <c r="Q230" s="26"/>
      <c r="R230" s="96"/>
      <c r="S230" s="96"/>
      <c r="T230" s="26"/>
      <c r="U230" s="98"/>
      <c r="V230" s="27"/>
    </row>
    <row r="231" spans="1:22" ht="29" x14ac:dyDescent="0.35">
      <c r="A231" s="93" t="s">
        <v>468</v>
      </c>
      <c r="B231" s="94" t="s">
        <v>40</v>
      </c>
      <c r="C231" s="94" t="s">
        <v>391</v>
      </c>
      <c r="D231" s="94" t="s">
        <v>688</v>
      </c>
      <c r="E231" s="94" t="s">
        <v>40</v>
      </c>
      <c r="F231" s="95" t="s">
        <v>689</v>
      </c>
      <c r="G231" s="94" t="s">
        <v>335</v>
      </c>
      <c r="H231" s="94" t="s">
        <v>236</v>
      </c>
      <c r="I231" s="94" t="s">
        <v>16</v>
      </c>
      <c r="J231" s="94" t="s">
        <v>218</v>
      </c>
      <c r="K231" s="95" t="s">
        <v>237</v>
      </c>
      <c r="L231" s="96">
        <v>8</v>
      </c>
      <c r="M231" s="96">
        <f>L231*VLOOKUP(I231,dagsoorttabel1,2,FALSE)</f>
        <v>0.37647058823529411</v>
      </c>
      <c r="N231" s="97">
        <f>prodnorm16</f>
        <v>0</v>
      </c>
      <c r="O231" s="41">
        <f>dagwerk16</f>
        <v>0</v>
      </c>
      <c r="P231" s="94" t="s">
        <v>107</v>
      </c>
      <c r="Q231" s="26">
        <f>uurtarief16</f>
        <v>0</v>
      </c>
      <c r="R231" s="96" t="e">
        <f>IF(ISBLANK(N231),0,M231/ROUND(N231,4))</f>
        <v>#DIV/0!</v>
      </c>
      <c r="S231" s="96" t="e">
        <f>IF(ISBLANK(N231),0,R231*ROUND(O231,2))</f>
        <v>#DIV/0!</v>
      </c>
      <c r="T231" s="26" t="e">
        <f>ROUND(Q231,2)*R231</f>
        <v>#DIV/0!</v>
      </c>
      <c r="U231" s="96" t="e">
        <f>R231*dagenperjaar1</f>
        <v>#DIV/0!</v>
      </c>
      <c r="V231" s="27" t="e">
        <f>U231*ROUND(Q231,2)</f>
        <v>#DIV/0!</v>
      </c>
    </row>
    <row r="232" spans="1:22" x14ac:dyDescent="0.35">
      <c r="A232" s="93" t="s">
        <v>468</v>
      </c>
      <c r="B232" s="94" t="s">
        <v>40</v>
      </c>
      <c r="C232" s="94" t="s">
        <v>391</v>
      </c>
      <c r="D232" s="94" t="s">
        <v>690</v>
      </c>
      <c r="E232" s="94" t="s">
        <v>40</v>
      </c>
      <c r="F232" s="95" t="s">
        <v>691</v>
      </c>
      <c r="G232" s="94" t="s">
        <v>335</v>
      </c>
      <c r="H232" s="94" t="s">
        <v>217</v>
      </c>
      <c r="I232" s="94" t="s">
        <v>14</v>
      </c>
      <c r="J232" s="94" t="s">
        <v>218</v>
      </c>
      <c r="K232" s="95" t="s">
        <v>219</v>
      </c>
      <c r="L232" s="96">
        <v>9</v>
      </c>
      <c r="M232" s="96">
        <f>L232*VLOOKUP(I232,dagsoorttabel1,2,FALSE)</f>
        <v>1.8</v>
      </c>
      <c r="N232" s="97">
        <f>prodnorm3</f>
        <v>0</v>
      </c>
      <c r="O232" s="41">
        <f>dagwerk3</f>
        <v>0</v>
      </c>
      <c r="P232" s="94" t="s">
        <v>107</v>
      </c>
      <c r="Q232" s="26">
        <f>uurtarief3</f>
        <v>0</v>
      </c>
      <c r="R232" s="96" t="e">
        <f>IF(ISBLANK(N232),0,M232/ROUND(N232,4))</f>
        <v>#DIV/0!</v>
      </c>
      <c r="S232" s="96" t="e">
        <f>IF(ISBLANK(N232),0,R232*ROUND(O232,2))</f>
        <v>#DIV/0!</v>
      </c>
      <c r="T232" s="26" t="e">
        <f>ROUND(Q232,2)*R232</f>
        <v>#DIV/0!</v>
      </c>
      <c r="U232" s="96" t="e">
        <f>R232*dagenperjaar1</f>
        <v>#DIV/0!</v>
      </c>
      <c r="V232" s="27" t="e">
        <f>U232*ROUND(Q232,2)</f>
        <v>#DIV/0!</v>
      </c>
    </row>
    <row r="233" spans="1:22" x14ac:dyDescent="0.35">
      <c r="A233" s="93" t="s">
        <v>468</v>
      </c>
      <c r="B233" s="94" t="s">
        <v>40</v>
      </c>
      <c r="C233" s="94" t="s">
        <v>391</v>
      </c>
      <c r="D233" s="94" t="s">
        <v>692</v>
      </c>
      <c r="E233" s="94" t="s">
        <v>40</v>
      </c>
      <c r="F233" s="95" t="s">
        <v>411</v>
      </c>
      <c r="G233" s="94" t="s">
        <v>335</v>
      </c>
      <c r="H233" s="94" t="s">
        <v>246</v>
      </c>
      <c r="I233" s="94" t="s">
        <v>10</v>
      </c>
      <c r="J233" s="94" t="s">
        <v>218</v>
      </c>
      <c r="K233" s="95" t="s">
        <v>247</v>
      </c>
      <c r="L233" s="96">
        <v>5</v>
      </c>
      <c r="M233" s="96">
        <f>L233*VLOOKUP(I233,dagsoorttabel1,2,FALSE)</f>
        <v>5</v>
      </c>
      <c r="N233" s="97">
        <f>prodnorm26</f>
        <v>0</v>
      </c>
      <c r="O233" s="41">
        <f>dagwerk26</f>
        <v>0</v>
      </c>
      <c r="P233" s="94" t="s">
        <v>107</v>
      </c>
      <c r="Q233" s="26">
        <f>uurtarief26</f>
        <v>0</v>
      </c>
      <c r="R233" s="96" t="e">
        <f>IF(ISBLANK(N233),0,M233/ROUND(N233,4))</f>
        <v>#DIV/0!</v>
      </c>
      <c r="S233" s="96" t="e">
        <f>IF(ISBLANK(N233),0,R233*ROUND(O233,2))</f>
        <v>#DIV/0!</v>
      </c>
      <c r="T233" s="26" t="e">
        <f>ROUND(Q233,2)*R233</f>
        <v>#DIV/0!</v>
      </c>
      <c r="U233" s="96" t="e">
        <f>R233*dagenperjaar1</f>
        <v>#DIV/0!</v>
      </c>
      <c r="V233" s="27" t="e">
        <f>U233*ROUND(Q233,2)</f>
        <v>#DIV/0!</v>
      </c>
    </row>
    <row r="234" spans="1:22" x14ac:dyDescent="0.35">
      <c r="A234" s="93" t="s">
        <v>468</v>
      </c>
      <c r="B234" s="94" t="s">
        <v>40</v>
      </c>
      <c r="C234" s="94" t="s">
        <v>391</v>
      </c>
      <c r="D234" s="94" t="s">
        <v>693</v>
      </c>
      <c r="E234" s="94" t="s">
        <v>40</v>
      </c>
      <c r="F234" s="95" t="s">
        <v>507</v>
      </c>
      <c r="G234" s="94" t="s">
        <v>40</v>
      </c>
      <c r="H234" s="94" t="s">
        <v>316</v>
      </c>
      <c r="I234" s="94"/>
      <c r="J234" s="94"/>
      <c r="K234" s="94"/>
      <c r="L234" s="96">
        <v>0</v>
      </c>
      <c r="M234" s="96"/>
      <c r="N234" s="97"/>
      <c r="O234" s="41"/>
      <c r="P234" s="94"/>
      <c r="Q234" s="26"/>
      <c r="R234" s="96"/>
      <c r="S234" s="96"/>
      <c r="T234" s="26"/>
      <c r="U234" s="98"/>
      <c r="V234" s="27"/>
    </row>
    <row r="235" spans="1:22" x14ac:dyDescent="0.35">
      <c r="A235" s="93" t="s">
        <v>468</v>
      </c>
      <c r="B235" s="94" t="s">
        <v>40</v>
      </c>
      <c r="C235" s="94" t="s">
        <v>391</v>
      </c>
      <c r="D235" s="94" t="s">
        <v>694</v>
      </c>
      <c r="E235" s="94" t="s">
        <v>40</v>
      </c>
      <c r="F235" s="95" t="s">
        <v>577</v>
      </c>
      <c r="G235" s="94" t="s">
        <v>535</v>
      </c>
      <c r="H235" s="94" t="s">
        <v>234</v>
      </c>
      <c r="I235" s="94" t="s">
        <v>10</v>
      </c>
      <c r="J235" s="94" t="s">
        <v>218</v>
      </c>
      <c r="K235" s="95" t="s">
        <v>235</v>
      </c>
      <c r="L235" s="96">
        <v>42</v>
      </c>
      <c r="M235" s="96">
        <f>L235*VLOOKUP(I235,dagsoorttabel1,2,FALSE)</f>
        <v>42</v>
      </c>
      <c r="N235" s="97">
        <f>prodnorm15</f>
        <v>0</v>
      </c>
      <c r="O235" s="41">
        <f>dagwerk15</f>
        <v>0</v>
      </c>
      <c r="P235" s="94" t="s">
        <v>107</v>
      </c>
      <c r="Q235" s="26">
        <f>uurtarief15</f>
        <v>0</v>
      </c>
      <c r="R235" s="96" t="e">
        <f>IF(ISBLANK(N235),0,M235/ROUND(N235,4))</f>
        <v>#DIV/0!</v>
      </c>
      <c r="S235" s="96" t="e">
        <f>IF(ISBLANK(N235),0,R235*ROUND(O235,2))</f>
        <v>#DIV/0!</v>
      </c>
      <c r="T235" s="26" t="e">
        <f>ROUND(Q235,2)*R235</f>
        <v>#DIV/0!</v>
      </c>
      <c r="U235" s="96" t="e">
        <f>R235*dagenperjaar1</f>
        <v>#DIV/0!</v>
      </c>
      <c r="V235" s="27" t="e">
        <f>U235*ROUND(Q235,2)</f>
        <v>#DIV/0!</v>
      </c>
    </row>
    <row r="236" spans="1:22" x14ac:dyDescent="0.35">
      <c r="A236" s="93" t="s">
        <v>468</v>
      </c>
      <c r="B236" s="94" t="s">
        <v>40</v>
      </c>
      <c r="C236" s="94" t="s">
        <v>391</v>
      </c>
      <c r="D236" s="94" t="s">
        <v>695</v>
      </c>
      <c r="E236" s="94" t="s">
        <v>40</v>
      </c>
      <c r="F236" s="95" t="s">
        <v>696</v>
      </c>
      <c r="G236" s="94" t="s">
        <v>535</v>
      </c>
      <c r="H236" s="94" t="s">
        <v>234</v>
      </c>
      <c r="I236" s="94" t="s">
        <v>10</v>
      </c>
      <c r="J236" s="94" t="s">
        <v>218</v>
      </c>
      <c r="K236" s="95" t="s">
        <v>235</v>
      </c>
      <c r="L236" s="96">
        <v>37</v>
      </c>
      <c r="M236" s="96">
        <f>L236*VLOOKUP(I236,dagsoorttabel1,2,FALSE)</f>
        <v>37</v>
      </c>
      <c r="N236" s="97">
        <f>prodnorm15</f>
        <v>0</v>
      </c>
      <c r="O236" s="41">
        <f>dagwerk15</f>
        <v>0</v>
      </c>
      <c r="P236" s="94" t="s">
        <v>107</v>
      </c>
      <c r="Q236" s="26">
        <f>uurtarief15</f>
        <v>0</v>
      </c>
      <c r="R236" s="96" t="e">
        <f>IF(ISBLANK(N236),0,M236/ROUND(N236,4))</f>
        <v>#DIV/0!</v>
      </c>
      <c r="S236" s="96" t="e">
        <f>IF(ISBLANK(N236),0,R236*ROUND(O236,2))</f>
        <v>#DIV/0!</v>
      </c>
      <c r="T236" s="26" t="e">
        <f>ROUND(Q236,2)*R236</f>
        <v>#DIV/0!</v>
      </c>
      <c r="U236" s="96" t="e">
        <f>R236*dagenperjaar1</f>
        <v>#DIV/0!</v>
      </c>
      <c r="V236" s="27" t="e">
        <f>U236*ROUND(Q236,2)</f>
        <v>#DIV/0!</v>
      </c>
    </row>
    <row r="237" spans="1:22" x14ac:dyDescent="0.35">
      <c r="A237" s="93" t="s">
        <v>468</v>
      </c>
      <c r="B237" s="94" t="s">
        <v>40</v>
      </c>
      <c r="C237" s="94" t="s">
        <v>391</v>
      </c>
      <c r="D237" s="94" t="s">
        <v>697</v>
      </c>
      <c r="E237" s="94" t="s">
        <v>40</v>
      </c>
      <c r="F237" s="95" t="s">
        <v>698</v>
      </c>
      <c r="G237" s="94" t="s">
        <v>535</v>
      </c>
      <c r="H237" s="94" t="s">
        <v>234</v>
      </c>
      <c r="I237" s="94" t="s">
        <v>10</v>
      </c>
      <c r="J237" s="94" t="s">
        <v>218</v>
      </c>
      <c r="K237" s="95" t="s">
        <v>235</v>
      </c>
      <c r="L237" s="96">
        <v>142</v>
      </c>
      <c r="M237" s="96">
        <f>L237*VLOOKUP(I237,dagsoorttabel1,2,FALSE)</f>
        <v>142</v>
      </c>
      <c r="N237" s="97">
        <f>prodnorm15</f>
        <v>0</v>
      </c>
      <c r="O237" s="41">
        <f>dagwerk15</f>
        <v>0</v>
      </c>
      <c r="P237" s="94" t="s">
        <v>107</v>
      </c>
      <c r="Q237" s="26">
        <f>uurtarief15</f>
        <v>0</v>
      </c>
      <c r="R237" s="96" t="e">
        <f>IF(ISBLANK(N237),0,M237/ROUND(N237,4))</f>
        <v>#DIV/0!</v>
      </c>
      <c r="S237" s="96" t="e">
        <f>IF(ISBLANK(N237),0,R237*ROUND(O237,2))</f>
        <v>#DIV/0!</v>
      </c>
      <c r="T237" s="26" t="e">
        <f>ROUND(Q237,2)*R237</f>
        <v>#DIV/0!</v>
      </c>
      <c r="U237" s="96" t="e">
        <f>R237*dagenperjaar1</f>
        <v>#DIV/0!</v>
      </c>
      <c r="V237" s="27" t="e">
        <f>U237*ROUND(Q237,2)</f>
        <v>#DIV/0!</v>
      </c>
    </row>
    <row r="238" spans="1:22" ht="29" x14ac:dyDescent="0.35">
      <c r="A238" s="93" t="s">
        <v>468</v>
      </c>
      <c r="B238" s="94" t="s">
        <v>40</v>
      </c>
      <c r="C238" s="94" t="s">
        <v>391</v>
      </c>
      <c r="D238" s="94" t="s">
        <v>699</v>
      </c>
      <c r="E238" s="94" t="s">
        <v>40</v>
      </c>
      <c r="F238" s="95" t="s">
        <v>700</v>
      </c>
      <c r="G238" s="94" t="s">
        <v>535</v>
      </c>
      <c r="H238" s="94" t="s">
        <v>234</v>
      </c>
      <c r="I238" s="94" t="s">
        <v>10</v>
      </c>
      <c r="J238" s="94" t="s">
        <v>218</v>
      </c>
      <c r="K238" s="95" t="s">
        <v>235</v>
      </c>
      <c r="L238" s="96">
        <v>116</v>
      </c>
      <c r="M238" s="96">
        <f>L238*VLOOKUP(I238,dagsoorttabel1,2,FALSE)</f>
        <v>116</v>
      </c>
      <c r="N238" s="97">
        <f>prodnorm15</f>
        <v>0</v>
      </c>
      <c r="O238" s="41">
        <f>dagwerk15</f>
        <v>0</v>
      </c>
      <c r="P238" s="94" t="s">
        <v>107</v>
      </c>
      <c r="Q238" s="26">
        <f>uurtarief15</f>
        <v>0</v>
      </c>
      <c r="R238" s="96" t="e">
        <f>IF(ISBLANK(N238),0,M238/ROUND(N238,4))</f>
        <v>#DIV/0!</v>
      </c>
      <c r="S238" s="96" t="e">
        <f>IF(ISBLANK(N238),0,R238*ROUND(O238,2))</f>
        <v>#DIV/0!</v>
      </c>
      <c r="T238" s="26" t="e">
        <f>ROUND(Q238,2)*R238</f>
        <v>#DIV/0!</v>
      </c>
      <c r="U238" s="96" t="e">
        <f>R238*dagenperjaar1</f>
        <v>#DIV/0!</v>
      </c>
      <c r="V238" s="27" t="e">
        <f>U238*ROUND(Q238,2)</f>
        <v>#DIV/0!</v>
      </c>
    </row>
    <row r="239" spans="1:22" x14ac:dyDescent="0.35">
      <c r="A239" s="93" t="s">
        <v>468</v>
      </c>
      <c r="B239" s="94" t="s">
        <v>40</v>
      </c>
      <c r="C239" s="94" t="s">
        <v>391</v>
      </c>
      <c r="D239" s="94" t="s">
        <v>701</v>
      </c>
      <c r="E239" s="94" t="s">
        <v>40</v>
      </c>
      <c r="F239" s="95" t="s">
        <v>481</v>
      </c>
      <c r="G239" s="94" t="s">
        <v>40</v>
      </c>
      <c r="H239" s="94" t="s">
        <v>316</v>
      </c>
      <c r="I239" s="94"/>
      <c r="J239" s="94"/>
      <c r="K239" s="94"/>
      <c r="L239" s="96">
        <v>0</v>
      </c>
      <c r="M239" s="96"/>
      <c r="N239" s="97"/>
      <c r="O239" s="41"/>
      <c r="P239" s="94"/>
      <c r="Q239" s="26"/>
      <c r="R239" s="96"/>
      <c r="S239" s="96"/>
      <c r="T239" s="26"/>
      <c r="U239" s="98"/>
      <c r="V239" s="27"/>
    </row>
    <row r="240" spans="1:22" x14ac:dyDescent="0.35">
      <c r="A240" s="93" t="s">
        <v>468</v>
      </c>
      <c r="B240" s="94" t="s">
        <v>40</v>
      </c>
      <c r="C240" s="94" t="s">
        <v>391</v>
      </c>
      <c r="D240" s="94" t="s">
        <v>702</v>
      </c>
      <c r="E240" s="94" t="s">
        <v>40</v>
      </c>
      <c r="F240" s="95" t="s">
        <v>589</v>
      </c>
      <c r="G240" s="94" t="s">
        <v>40</v>
      </c>
      <c r="H240" s="94" t="s">
        <v>316</v>
      </c>
      <c r="I240" s="94"/>
      <c r="J240" s="94"/>
      <c r="K240" s="94"/>
      <c r="L240" s="96">
        <v>0</v>
      </c>
      <c r="M240" s="96"/>
      <c r="N240" s="97"/>
      <c r="O240" s="41"/>
      <c r="P240" s="94"/>
      <c r="Q240" s="26"/>
      <c r="R240" s="96"/>
      <c r="S240" s="96"/>
      <c r="T240" s="26"/>
      <c r="U240" s="98"/>
      <c r="V240" s="27"/>
    </row>
    <row r="241" spans="1:22" x14ac:dyDescent="0.35">
      <c r="A241" s="93" t="s">
        <v>468</v>
      </c>
      <c r="B241" s="94" t="s">
        <v>40</v>
      </c>
      <c r="C241" s="94" t="s">
        <v>391</v>
      </c>
      <c r="D241" s="94" t="s">
        <v>703</v>
      </c>
      <c r="E241" s="94" t="s">
        <v>40</v>
      </c>
      <c r="F241" s="95" t="s">
        <v>704</v>
      </c>
      <c r="G241" s="94" t="s">
        <v>321</v>
      </c>
      <c r="H241" s="94" t="s">
        <v>240</v>
      </c>
      <c r="I241" s="94" t="s">
        <v>14</v>
      </c>
      <c r="J241" s="94" t="s">
        <v>218</v>
      </c>
      <c r="K241" s="95" t="s">
        <v>241</v>
      </c>
      <c r="L241" s="96">
        <v>6</v>
      </c>
      <c r="M241" s="96">
        <f>L241*VLOOKUP(I241,dagsoorttabel1,2,FALSE)</f>
        <v>1.2000000000000002</v>
      </c>
      <c r="N241" s="97">
        <f>prodnorm19</f>
        <v>0</v>
      </c>
      <c r="O241" s="41">
        <f>dagwerk19</f>
        <v>0</v>
      </c>
      <c r="P241" s="94" t="s">
        <v>107</v>
      </c>
      <c r="Q241" s="26">
        <f>uurtarief19</f>
        <v>0</v>
      </c>
      <c r="R241" s="96" t="e">
        <f>IF(ISBLANK(N241),0,M241/ROUND(N241,4))</f>
        <v>#DIV/0!</v>
      </c>
      <c r="S241" s="96" t="e">
        <f>IF(ISBLANK(N241),0,R241*ROUND(O241,2))</f>
        <v>#DIV/0!</v>
      </c>
      <c r="T241" s="26" t="e">
        <f>ROUND(Q241,2)*R241</f>
        <v>#DIV/0!</v>
      </c>
      <c r="U241" s="96" t="e">
        <f>R241*dagenperjaar1</f>
        <v>#DIV/0!</v>
      </c>
      <c r="V241" s="27" t="e">
        <f>U241*ROUND(Q241,2)</f>
        <v>#DIV/0!</v>
      </c>
    </row>
    <row r="242" spans="1:22" x14ac:dyDescent="0.35">
      <c r="A242" s="93" t="s">
        <v>468</v>
      </c>
      <c r="B242" s="94" t="s">
        <v>40</v>
      </c>
      <c r="C242" s="94" t="s">
        <v>391</v>
      </c>
      <c r="D242" s="94" t="s">
        <v>705</v>
      </c>
      <c r="E242" s="94" t="s">
        <v>40</v>
      </c>
      <c r="F242" s="95" t="s">
        <v>706</v>
      </c>
      <c r="G242" s="94" t="s">
        <v>535</v>
      </c>
      <c r="H242" s="94" t="s">
        <v>234</v>
      </c>
      <c r="I242" s="94" t="s">
        <v>10</v>
      </c>
      <c r="J242" s="94" t="s">
        <v>218</v>
      </c>
      <c r="K242" s="95" t="s">
        <v>235</v>
      </c>
      <c r="L242" s="96">
        <v>12</v>
      </c>
      <c r="M242" s="96">
        <f>L242*VLOOKUP(I242,dagsoorttabel1,2,FALSE)</f>
        <v>12</v>
      </c>
      <c r="N242" s="97">
        <f>prodnorm15</f>
        <v>0</v>
      </c>
      <c r="O242" s="41">
        <f>dagwerk15</f>
        <v>0</v>
      </c>
      <c r="P242" s="94" t="s">
        <v>107</v>
      </c>
      <c r="Q242" s="26">
        <f>uurtarief15</f>
        <v>0</v>
      </c>
      <c r="R242" s="96" t="e">
        <f>IF(ISBLANK(N242),0,M242/ROUND(N242,4))</f>
        <v>#DIV/0!</v>
      </c>
      <c r="S242" s="96" t="e">
        <f>IF(ISBLANK(N242),0,R242*ROUND(O242,2))</f>
        <v>#DIV/0!</v>
      </c>
      <c r="T242" s="26" t="e">
        <f>ROUND(Q242,2)*R242</f>
        <v>#DIV/0!</v>
      </c>
      <c r="U242" s="96" t="e">
        <f>R242*dagenperjaar1</f>
        <v>#DIV/0!</v>
      </c>
      <c r="V242" s="27" t="e">
        <f>U242*ROUND(Q242,2)</f>
        <v>#DIV/0!</v>
      </c>
    </row>
    <row r="243" spans="1:22" x14ac:dyDescent="0.35">
      <c r="A243" s="93" t="s">
        <v>468</v>
      </c>
      <c r="B243" s="94" t="s">
        <v>40</v>
      </c>
      <c r="C243" s="94" t="s">
        <v>391</v>
      </c>
      <c r="D243" s="94" t="s">
        <v>707</v>
      </c>
      <c r="E243" s="94" t="s">
        <v>40</v>
      </c>
      <c r="F243" s="95" t="s">
        <v>706</v>
      </c>
      <c r="G243" s="94" t="s">
        <v>535</v>
      </c>
      <c r="H243" s="94" t="s">
        <v>234</v>
      </c>
      <c r="I243" s="94" t="s">
        <v>10</v>
      </c>
      <c r="J243" s="94" t="s">
        <v>218</v>
      </c>
      <c r="K243" s="95" t="s">
        <v>235</v>
      </c>
      <c r="L243" s="96">
        <v>12</v>
      </c>
      <c r="M243" s="96">
        <f>L243*VLOOKUP(I243,dagsoorttabel1,2,FALSE)</f>
        <v>12</v>
      </c>
      <c r="N243" s="97">
        <f>prodnorm15</f>
        <v>0</v>
      </c>
      <c r="O243" s="41">
        <f>dagwerk15</f>
        <v>0</v>
      </c>
      <c r="P243" s="94" t="s">
        <v>107</v>
      </c>
      <c r="Q243" s="26">
        <f>uurtarief15</f>
        <v>0</v>
      </c>
      <c r="R243" s="96" t="e">
        <f>IF(ISBLANK(N243),0,M243/ROUND(N243,4))</f>
        <v>#DIV/0!</v>
      </c>
      <c r="S243" s="96" t="e">
        <f>IF(ISBLANK(N243),0,R243*ROUND(O243,2))</f>
        <v>#DIV/0!</v>
      </c>
      <c r="T243" s="26" t="e">
        <f>ROUND(Q243,2)*R243</f>
        <v>#DIV/0!</v>
      </c>
      <c r="U243" s="96" t="e">
        <f>R243*dagenperjaar1</f>
        <v>#DIV/0!</v>
      </c>
      <c r="V243" s="27" t="e">
        <f>U243*ROUND(Q243,2)</f>
        <v>#DIV/0!</v>
      </c>
    </row>
    <row r="244" spans="1:22" x14ac:dyDescent="0.35">
      <c r="A244" s="93" t="s">
        <v>468</v>
      </c>
      <c r="B244" s="94" t="s">
        <v>40</v>
      </c>
      <c r="C244" s="94" t="s">
        <v>391</v>
      </c>
      <c r="D244" s="94" t="s">
        <v>708</v>
      </c>
      <c r="E244" s="94" t="s">
        <v>40</v>
      </c>
      <c r="F244" s="95" t="s">
        <v>479</v>
      </c>
      <c r="G244" s="94" t="s">
        <v>40</v>
      </c>
      <c r="H244" s="94" t="s">
        <v>316</v>
      </c>
      <c r="I244" s="94"/>
      <c r="J244" s="94"/>
      <c r="K244" s="94"/>
      <c r="L244" s="96">
        <v>0</v>
      </c>
      <c r="M244" s="96"/>
      <c r="N244" s="97"/>
      <c r="O244" s="41"/>
      <c r="P244" s="94"/>
      <c r="Q244" s="26"/>
      <c r="R244" s="96"/>
      <c r="S244" s="96"/>
      <c r="T244" s="26"/>
      <c r="U244" s="98"/>
      <c r="V244" s="27"/>
    </row>
    <row r="245" spans="1:22" x14ac:dyDescent="0.35">
      <c r="A245" s="93" t="s">
        <v>468</v>
      </c>
      <c r="B245" s="94" t="s">
        <v>40</v>
      </c>
      <c r="C245" s="94" t="s">
        <v>391</v>
      </c>
      <c r="D245" s="94" t="s">
        <v>709</v>
      </c>
      <c r="E245" s="94" t="s">
        <v>40</v>
      </c>
      <c r="F245" s="95" t="s">
        <v>515</v>
      </c>
      <c r="G245" s="94" t="s">
        <v>335</v>
      </c>
      <c r="H245" s="94" t="s">
        <v>256</v>
      </c>
      <c r="I245" s="94" t="s">
        <v>13</v>
      </c>
      <c r="J245" s="94" t="s">
        <v>218</v>
      </c>
      <c r="K245" s="95" t="s">
        <v>257</v>
      </c>
      <c r="L245" s="96">
        <v>18</v>
      </c>
      <c r="M245" s="96">
        <f>L245*VLOOKUP(I245,dagsoorttabel1,2,FALSE)</f>
        <v>7.2</v>
      </c>
      <c r="N245" s="97">
        <f>prodnorm37</f>
        <v>0</v>
      </c>
      <c r="O245" s="41">
        <f>dagwerk37</f>
        <v>0</v>
      </c>
      <c r="P245" s="94" t="s">
        <v>107</v>
      </c>
      <c r="Q245" s="26">
        <f>uurtarief37</f>
        <v>0</v>
      </c>
      <c r="R245" s="96" t="e">
        <f>IF(ISBLANK(N245),0,M245/ROUND(N245,4))</f>
        <v>#DIV/0!</v>
      </c>
      <c r="S245" s="96" t="e">
        <f>IF(ISBLANK(N245),0,R245*ROUND(O245,2))</f>
        <v>#DIV/0!</v>
      </c>
      <c r="T245" s="26" t="e">
        <f>ROUND(Q245,2)*R245</f>
        <v>#DIV/0!</v>
      </c>
      <c r="U245" s="96" t="e">
        <f>R245*dagenperjaar1</f>
        <v>#DIV/0!</v>
      </c>
      <c r="V245" s="27" t="e">
        <f>U245*ROUND(Q245,2)</f>
        <v>#DIV/0!</v>
      </c>
    </row>
    <row r="246" spans="1:22" x14ac:dyDescent="0.35">
      <c r="A246" s="93" t="s">
        <v>468</v>
      </c>
      <c r="B246" s="94" t="s">
        <v>40</v>
      </c>
      <c r="C246" s="94" t="s">
        <v>391</v>
      </c>
      <c r="D246" s="94" t="s">
        <v>710</v>
      </c>
      <c r="E246" s="94" t="s">
        <v>40</v>
      </c>
      <c r="F246" s="95" t="s">
        <v>711</v>
      </c>
      <c r="G246" s="94" t="s">
        <v>40</v>
      </c>
      <c r="H246" s="94" t="s">
        <v>316</v>
      </c>
      <c r="I246" s="94"/>
      <c r="J246" s="94"/>
      <c r="K246" s="94"/>
      <c r="L246" s="96">
        <v>0</v>
      </c>
      <c r="M246" s="96"/>
      <c r="N246" s="97"/>
      <c r="O246" s="41"/>
      <c r="P246" s="94"/>
      <c r="Q246" s="26"/>
      <c r="R246" s="96"/>
      <c r="S246" s="96"/>
      <c r="T246" s="26"/>
      <c r="U246" s="98"/>
      <c r="V246" s="27"/>
    </row>
    <row r="247" spans="1:22" x14ac:dyDescent="0.35">
      <c r="A247" s="93" t="s">
        <v>468</v>
      </c>
      <c r="B247" s="94" t="s">
        <v>40</v>
      </c>
      <c r="C247" s="94" t="s">
        <v>391</v>
      </c>
      <c r="D247" s="94" t="s">
        <v>712</v>
      </c>
      <c r="E247" s="94" t="s">
        <v>40</v>
      </c>
      <c r="F247" s="95" t="s">
        <v>479</v>
      </c>
      <c r="G247" s="94" t="s">
        <v>40</v>
      </c>
      <c r="H247" s="94" t="s">
        <v>316</v>
      </c>
      <c r="I247" s="94"/>
      <c r="J247" s="94"/>
      <c r="K247" s="94"/>
      <c r="L247" s="96">
        <v>0</v>
      </c>
      <c r="M247" s="96"/>
      <c r="N247" s="97"/>
      <c r="O247" s="41"/>
      <c r="P247" s="94"/>
      <c r="Q247" s="26"/>
      <c r="R247" s="96"/>
      <c r="S247" s="96"/>
      <c r="T247" s="26"/>
      <c r="U247" s="98"/>
      <c r="V247" s="27"/>
    </row>
    <row r="248" spans="1:22" ht="29" x14ac:dyDescent="0.35">
      <c r="A248" s="93" t="s">
        <v>468</v>
      </c>
      <c r="B248" s="94" t="s">
        <v>40</v>
      </c>
      <c r="C248" s="94" t="s">
        <v>391</v>
      </c>
      <c r="D248" s="94" t="s">
        <v>713</v>
      </c>
      <c r="E248" s="94" t="s">
        <v>40</v>
      </c>
      <c r="F248" s="95" t="s">
        <v>714</v>
      </c>
      <c r="G248" s="94" t="s">
        <v>321</v>
      </c>
      <c r="H248" s="94" t="s">
        <v>316</v>
      </c>
      <c r="I248" s="94"/>
      <c r="J248" s="94"/>
      <c r="K248" s="94"/>
      <c r="L248" s="96">
        <v>4</v>
      </c>
      <c r="M248" s="96"/>
      <c r="N248" s="97"/>
      <c r="O248" s="41"/>
      <c r="P248" s="94"/>
      <c r="Q248" s="26"/>
      <c r="R248" s="96"/>
      <c r="S248" s="96"/>
      <c r="T248" s="26"/>
      <c r="U248" s="98"/>
      <c r="V248" s="27"/>
    </row>
    <row r="249" spans="1:22" x14ac:dyDescent="0.35">
      <c r="A249" s="93" t="s">
        <v>468</v>
      </c>
      <c r="B249" s="94" t="s">
        <v>40</v>
      </c>
      <c r="C249" s="94" t="s">
        <v>391</v>
      </c>
      <c r="D249" s="94" t="s">
        <v>715</v>
      </c>
      <c r="E249" s="94" t="s">
        <v>40</v>
      </c>
      <c r="F249" s="95" t="s">
        <v>589</v>
      </c>
      <c r="G249" s="94" t="s">
        <v>40</v>
      </c>
      <c r="H249" s="94" t="s">
        <v>316</v>
      </c>
      <c r="I249" s="94"/>
      <c r="J249" s="94"/>
      <c r="K249" s="94"/>
      <c r="L249" s="96">
        <v>0</v>
      </c>
      <c r="M249" s="96"/>
      <c r="N249" s="97"/>
      <c r="O249" s="41"/>
      <c r="P249" s="94"/>
      <c r="Q249" s="26"/>
      <c r="R249" s="96"/>
      <c r="S249" s="96"/>
      <c r="T249" s="26"/>
      <c r="U249" s="98"/>
      <c r="V249" s="27"/>
    </row>
    <row r="250" spans="1:22" x14ac:dyDescent="0.35">
      <c r="A250" s="93" t="s">
        <v>468</v>
      </c>
      <c r="B250" s="94" t="s">
        <v>40</v>
      </c>
      <c r="C250" s="94" t="s">
        <v>460</v>
      </c>
      <c r="D250" s="94" t="s">
        <v>716</v>
      </c>
      <c r="E250" s="94" t="s">
        <v>40</v>
      </c>
      <c r="F250" s="95" t="s">
        <v>473</v>
      </c>
      <c r="G250" s="94" t="s">
        <v>40</v>
      </c>
      <c r="H250" s="94" t="s">
        <v>316</v>
      </c>
      <c r="I250" s="94"/>
      <c r="J250" s="94"/>
      <c r="K250" s="94"/>
      <c r="L250" s="96">
        <v>0</v>
      </c>
      <c r="M250" s="96"/>
      <c r="N250" s="97"/>
      <c r="O250" s="41"/>
      <c r="P250" s="94"/>
      <c r="Q250" s="26"/>
      <c r="R250" s="96"/>
      <c r="S250" s="96"/>
      <c r="T250" s="26"/>
      <c r="U250" s="98"/>
      <c r="V250" s="27"/>
    </row>
    <row r="251" spans="1:22" x14ac:dyDescent="0.35">
      <c r="A251" s="93" t="s">
        <v>468</v>
      </c>
      <c r="B251" s="94" t="s">
        <v>40</v>
      </c>
      <c r="C251" s="94" t="s">
        <v>460</v>
      </c>
      <c r="D251" s="94" t="s">
        <v>717</v>
      </c>
      <c r="E251" s="94" t="s">
        <v>40</v>
      </c>
      <c r="F251" s="95" t="s">
        <v>548</v>
      </c>
      <c r="G251" s="94" t="s">
        <v>335</v>
      </c>
      <c r="H251" s="94" t="s">
        <v>256</v>
      </c>
      <c r="I251" s="94" t="s">
        <v>13</v>
      </c>
      <c r="J251" s="94" t="s">
        <v>218</v>
      </c>
      <c r="K251" s="95" t="s">
        <v>257</v>
      </c>
      <c r="L251" s="96">
        <v>19</v>
      </c>
      <c r="M251" s="96">
        <f>L251*VLOOKUP(I251,dagsoorttabel1,2,FALSE)</f>
        <v>7.6000000000000005</v>
      </c>
      <c r="N251" s="97">
        <f>prodnorm37</f>
        <v>0</v>
      </c>
      <c r="O251" s="41">
        <f>dagwerk37</f>
        <v>0</v>
      </c>
      <c r="P251" s="94" t="s">
        <v>107</v>
      </c>
      <c r="Q251" s="26">
        <f>uurtarief37</f>
        <v>0</v>
      </c>
      <c r="R251" s="96" t="e">
        <f>IF(ISBLANK(N251),0,M251/ROUND(N251,4))</f>
        <v>#DIV/0!</v>
      </c>
      <c r="S251" s="96" t="e">
        <f>IF(ISBLANK(N251),0,R251*ROUND(O251,2))</f>
        <v>#DIV/0!</v>
      </c>
      <c r="T251" s="26" t="e">
        <f>ROUND(Q251,2)*R251</f>
        <v>#DIV/0!</v>
      </c>
      <c r="U251" s="96" t="e">
        <f>R251*dagenperjaar1</f>
        <v>#DIV/0!</v>
      </c>
      <c r="V251" s="27" t="e">
        <f>U251*ROUND(Q251,2)</f>
        <v>#DIV/0!</v>
      </c>
    </row>
    <row r="252" spans="1:22" x14ac:dyDescent="0.35">
      <c r="A252" s="93" t="s">
        <v>468</v>
      </c>
      <c r="B252" s="94" t="s">
        <v>40</v>
      </c>
      <c r="C252" s="94" t="s">
        <v>460</v>
      </c>
      <c r="D252" s="94" t="s">
        <v>718</v>
      </c>
      <c r="E252" s="94" t="s">
        <v>40</v>
      </c>
      <c r="F252" s="95" t="s">
        <v>479</v>
      </c>
      <c r="G252" s="94" t="s">
        <v>40</v>
      </c>
      <c r="H252" s="94" t="s">
        <v>316</v>
      </c>
      <c r="I252" s="94"/>
      <c r="J252" s="94"/>
      <c r="K252" s="94"/>
      <c r="L252" s="96">
        <v>0</v>
      </c>
      <c r="M252" s="96"/>
      <c r="N252" s="97"/>
      <c r="O252" s="41"/>
      <c r="P252" s="94"/>
      <c r="Q252" s="26"/>
      <c r="R252" s="96"/>
      <c r="S252" s="96"/>
      <c r="T252" s="26"/>
      <c r="U252" s="98"/>
      <c r="V252" s="27"/>
    </row>
    <row r="253" spans="1:22" x14ac:dyDescent="0.35">
      <c r="A253" s="93" t="s">
        <v>468</v>
      </c>
      <c r="B253" s="94" t="s">
        <v>40</v>
      </c>
      <c r="C253" s="94" t="s">
        <v>460</v>
      </c>
      <c r="D253" s="94" t="s">
        <v>719</v>
      </c>
      <c r="E253" s="94" t="s">
        <v>40</v>
      </c>
      <c r="F253" s="95" t="s">
        <v>479</v>
      </c>
      <c r="G253" s="94" t="s">
        <v>40</v>
      </c>
      <c r="H253" s="94" t="s">
        <v>316</v>
      </c>
      <c r="I253" s="94"/>
      <c r="J253" s="94"/>
      <c r="K253" s="94"/>
      <c r="L253" s="96">
        <v>0</v>
      </c>
      <c r="M253" s="96"/>
      <c r="N253" s="97"/>
      <c r="O253" s="41"/>
      <c r="P253" s="94"/>
      <c r="Q253" s="26"/>
      <c r="R253" s="96"/>
      <c r="S253" s="96"/>
      <c r="T253" s="26"/>
      <c r="U253" s="98"/>
      <c r="V253" s="27"/>
    </row>
    <row r="254" spans="1:22" x14ac:dyDescent="0.35">
      <c r="A254" s="93" t="s">
        <v>468</v>
      </c>
      <c r="B254" s="94" t="s">
        <v>40</v>
      </c>
      <c r="C254" s="94" t="s">
        <v>460</v>
      </c>
      <c r="D254" s="94" t="s">
        <v>720</v>
      </c>
      <c r="E254" s="94" t="s">
        <v>40</v>
      </c>
      <c r="F254" s="95" t="s">
        <v>545</v>
      </c>
      <c r="G254" s="94" t="s">
        <v>40</v>
      </c>
      <c r="H254" s="94" t="s">
        <v>316</v>
      </c>
      <c r="I254" s="94"/>
      <c r="J254" s="94"/>
      <c r="K254" s="94"/>
      <c r="L254" s="96">
        <v>0</v>
      </c>
      <c r="M254" s="96"/>
      <c r="N254" s="97"/>
      <c r="O254" s="41"/>
      <c r="P254" s="94"/>
      <c r="Q254" s="26"/>
      <c r="R254" s="96"/>
      <c r="S254" s="96"/>
      <c r="T254" s="26"/>
      <c r="U254" s="98"/>
      <c r="V254" s="27"/>
    </row>
    <row r="255" spans="1:22" x14ac:dyDescent="0.35">
      <c r="A255" s="93" t="s">
        <v>468</v>
      </c>
      <c r="B255" s="94" t="s">
        <v>40</v>
      </c>
      <c r="C255" s="94" t="s">
        <v>460</v>
      </c>
      <c r="D255" s="94" t="s">
        <v>721</v>
      </c>
      <c r="E255" s="94" t="s">
        <v>40</v>
      </c>
      <c r="F255" s="95" t="s">
        <v>411</v>
      </c>
      <c r="G255" s="94" t="s">
        <v>335</v>
      </c>
      <c r="H255" s="94" t="s">
        <v>246</v>
      </c>
      <c r="I255" s="94" t="s">
        <v>16</v>
      </c>
      <c r="J255" s="94" t="s">
        <v>218</v>
      </c>
      <c r="K255" s="95" t="s">
        <v>247</v>
      </c>
      <c r="L255" s="96">
        <v>20</v>
      </c>
      <c r="M255" s="96">
        <f>L255*VLOOKUP(I255,dagsoorttabel1,2,FALSE)</f>
        <v>0.94117647058823528</v>
      </c>
      <c r="N255" s="97">
        <f>prodnorm23</f>
        <v>0</v>
      </c>
      <c r="O255" s="41">
        <f>dagwerk23</f>
        <v>0</v>
      </c>
      <c r="P255" s="94" t="s">
        <v>107</v>
      </c>
      <c r="Q255" s="26">
        <f>uurtarief23</f>
        <v>0</v>
      </c>
      <c r="R255" s="96" t="e">
        <f>IF(ISBLANK(N255),0,M255/ROUND(N255,4))</f>
        <v>#DIV/0!</v>
      </c>
      <c r="S255" s="96" t="e">
        <f>IF(ISBLANK(N255),0,R255*ROUND(O255,2))</f>
        <v>#DIV/0!</v>
      </c>
      <c r="T255" s="26" t="e">
        <f>ROUND(Q255,2)*R255</f>
        <v>#DIV/0!</v>
      </c>
      <c r="U255" s="96" t="e">
        <f>R255*dagenperjaar1</f>
        <v>#DIV/0!</v>
      </c>
      <c r="V255" s="27" t="e">
        <f>U255*ROUND(Q255,2)</f>
        <v>#DIV/0!</v>
      </c>
    </row>
    <row r="256" spans="1:22" x14ac:dyDescent="0.35">
      <c r="A256" s="93" t="s">
        <v>468</v>
      </c>
      <c r="B256" s="94" t="s">
        <v>40</v>
      </c>
      <c r="C256" s="94" t="s">
        <v>460</v>
      </c>
      <c r="D256" s="94" t="s">
        <v>722</v>
      </c>
      <c r="E256" s="94" t="s">
        <v>40</v>
      </c>
      <c r="F256" s="95" t="s">
        <v>481</v>
      </c>
      <c r="G256" s="94" t="s">
        <v>40</v>
      </c>
      <c r="H256" s="94" t="s">
        <v>316</v>
      </c>
      <c r="I256" s="94"/>
      <c r="J256" s="94"/>
      <c r="K256" s="94"/>
      <c r="L256" s="96">
        <v>0</v>
      </c>
      <c r="M256" s="96"/>
      <c r="N256" s="97"/>
      <c r="O256" s="41"/>
      <c r="P256" s="94"/>
      <c r="Q256" s="26"/>
      <c r="R256" s="96"/>
      <c r="S256" s="96"/>
      <c r="T256" s="26"/>
      <c r="U256" s="98"/>
      <c r="V256" s="27"/>
    </row>
    <row r="257" spans="1:22" x14ac:dyDescent="0.35">
      <c r="A257" s="93" t="s">
        <v>468</v>
      </c>
      <c r="B257" s="94" t="s">
        <v>40</v>
      </c>
      <c r="C257" s="94" t="s">
        <v>460</v>
      </c>
      <c r="D257" s="94" t="s">
        <v>723</v>
      </c>
      <c r="E257" s="94" t="s">
        <v>40</v>
      </c>
      <c r="F257" s="95" t="s">
        <v>724</v>
      </c>
      <c r="G257" s="94" t="s">
        <v>321</v>
      </c>
      <c r="H257" s="94" t="s">
        <v>236</v>
      </c>
      <c r="I257" s="94" t="s">
        <v>16</v>
      </c>
      <c r="J257" s="94" t="s">
        <v>218</v>
      </c>
      <c r="K257" s="95" t="s">
        <v>237</v>
      </c>
      <c r="L257" s="96">
        <v>4</v>
      </c>
      <c r="M257" s="96">
        <f>L257*VLOOKUP(I257,dagsoorttabel1,2,FALSE)</f>
        <v>0.18823529411764706</v>
      </c>
      <c r="N257" s="97">
        <f>prodnorm16</f>
        <v>0</v>
      </c>
      <c r="O257" s="41">
        <f>dagwerk16</f>
        <v>0</v>
      </c>
      <c r="P257" s="94" t="s">
        <v>107</v>
      </c>
      <c r="Q257" s="26">
        <f>uurtarief16</f>
        <v>0</v>
      </c>
      <c r="R257" s="96" t="e">
        <f>IF(ISBLANK(N257),0,M257/ROUND(N257,4))</f>
        <v>#DIV/0!</v>
      </c>
      <c r="S257" s="96" t="e">
        <f>IF(ISBLANK(N257),0,R257*ROUND(O257,2))</f>
        <v>#DIV/0!</v>
      </c>
      <c r="T257" s="26" t="e">
        <f>ROUND(Q257,2)*R257</f>
        <v>#DIV/0!</v>
      </c>
      <c r="U257" s="96" t="e">
        <f>R257*dagenperjaar1</f>
        <v>#DIV/0!</v>
      </c>
      <c r="V257" s="27" t="e">
        <f>U257*ROUND(Q257,2)</f>
        <v>#DIV/0!</v>
      </c>
    </row>
    <row r="258" spans="1:22" x14ac:dyDescent="0.35">
      <c r="A258" s="93" t="s">
        <v>468</v>
      </c>
      <c r="B258" s="94" t="s">
        <v>40</v>
      </c>
      <c r="C258" s="94" t="s">
        <v>460</v>
      </c>
      <c r="D258" s="94" t="s">
        <v>725</v>
      </c>
      <c r="E258" s="94" t="s">
        <v>40</v>
      </c>
      <c r="F258" s="95" t="s">
        <v>477</v>
      </c>
      <c r="G258" s="94" t="s">
        <v>40</v>
      </c>
      <c r="H258" s="94" t="s">
        <v>316</v>
      </c>
      <c r="I258" s="94"/>
      <c r="J258" s="94"/>
      <c r="K258" s="94"/>
      <c r="L258" s="96">
        <v>0</v>
      </c>
      <c r="M258" s="96"/>
      <c r="N258" s="97"/>
      <c r="O258" s="41"/>
      <c r="P258" s="94"/>
      <c r="Q258" s="26"/>
      <c r="R258" s="96"/>
      <c r="S258" s="96"/>
      <c r="T258" s="26"/>
      <c r="U258" s="98"/>
      <c r="V258" s="27"/>
    </row>
    <row r="259" spans="1:22" x14ac:dyDescent="0.35">
      <c r="A259" s="93" t="s">
        <v>468</v>
      </c>
      <c r="B259" s="94" t="s">
        <v>40</v>
      </c>
      <c r="C259" s="94" t="s">
        <v>460</v>
      </c>
      <c r="D259" s="94" t="s">
        <v>726</v>
      </c>
      <c r="E259" s="94" t="s">
        <v>40</v>
      </c>
      <c r="F259" s="95" t="s">
        <v>724</v>
      </c>
      <c r="G259" s="94" t="s">
        <v>321</v>
      </c>
      <c r="H259" s="94" t="s">
        <v>236</v>
      </c>
      <c r="I259" s="94" t="s">
        <v>16</v>
      </c>
      <c r="J259" s="94" t="s">
        <v>218</v>
      </c>
      <c r="K259" s="95" t="s">
        <v>237</v>
      </c>
      <c r="L259" s="96">
        <v>7</v>
      </c>
      <c r="M259" s="96">
        <f>L259*VLOOKUP(I259,dagsoorttabel1,2,FALSE)</f>
        <v>0.32941176470588235</v>
      </c>
      <c r="N259" s="97">
        <f>prodnorm16</f>
        <v>0</v>
      </c>
      <c r="O259" s="41">
        <f>dagwerk16</f>
        <v>0</v>
      </c>
      <c r="P259" s="94" t="s">
        <v>107</v>
      </c>
      <c r="Q259" s="26">
        <f>uurtarief16</f>
        <v>0</v>
      </c>
      <c r="R259" s="96" t="e">
        <f>IF(ISBLANK(N259),0,M259/ROUND(N259,4))</f>
        <v>#DIV/0!</v>
      </c>
      <c r="S259" s="96" t="e">
        <f>IF(ISBLANK(N259),0,R259*ROUND(O259,2))</f>
        <v>#DIV/0!</v>
      </c>
      <c r="T259" s="26" t="e">
        <f>ROUND(Q259,2)*R259</f>
        <v>#DIV/0!</v>
      </c>
      <c r="U259" s="96" t="e">
        <f>R259*dagenperjaar1</f>
        <v>#DIV/0!</v>
      </c>
      <c r="V259" s="27" t="e">
        <f>U259*ROUND(Q259,2)</f>
        <v>#DIV/0!</v>
      </c>
    </row>
    <row r="260" spans="1:22" x14ac:dyDescent="0.35">
      <c r="A260" s="93" t="s">
        <v>468</v>
      </c>
      <c r="B260" s="94" t="s">
        <v>40</v>
      </c>
      <c r="C260" s="94" t="s">
        <v>460</v>
      </c>
      <c r="D260" s="94" t="s">
        <v>727</v>
      </c>
      <c r="E260" s="94" t="s">
        <v>40</v>
      </c>
      <c r="F260" s="95" t="s">
        <v>479</v>
      </c>
      <c r="G260" s="94" t="s">
        <v>40</v>
      </c>
      <c r="H260" s="94" t="s">
        <v>316</v>
      </c>
      <c r="I260" s="94"/>
      <c r="J260" s="94"/>
      <c r="K260" s="94"/>
      <c r="L260" s="96">
        <v>0</v>
      </c>
      <c r="M260" s="96"/>
      <c r="N260" s="97"/>
      <c r="O260" s="41"/>
      <c r="P260" s="94"/>
      <c r="Q260" s="26"/>
      <c r="R260" s="96"/>
      <c r="S260" s="96"/>
      <c r="T260" s="26"/>
      <c r="U260" s="98"/>
      <c r="V260" s="27"/>
    </row>
    <row r="261" spans="1:22" x14ac:dyDescent="0.35">
      <c r="A261" s="93" t="s">
        <v>468</v>
      </c>
      <c r="B261" s="94" t="s">
        <v>40</v>
      </c>
      <c r="C261" s="94" t="s">
        <v>460</v>
      </c>
      <c r="D261" s="94" t="s">
        <v>728</v>
      </c>
      <c r="E261" s="94" t="s">
        <v>40</v>
      </c>
      <c r="F261" s="95" t="s">
        <v>515</v>
      </c>
      <c r="G261" s="94" t="s">
        <v>335</v>
      </c>
      <c r="H261" s="94" t="s">
        <v>256</v>
      </c>
      <c r="I261" s="94" t="s">
        <v>13</v>
      </c>
      <c r="J261" s="94" t="s">
        <v>218</v>
      </c>
      <c r="K261" s="95" t="s">
        <v>257</v>
      </c>
      <c r="L261" s="96">
        <v>11</v>
      </c>
      <c r="M261" s="96">
        <f>L261*VLOOKUP(I261,dagsoorttabel1,2,FALSE)</f>
        <v>4.4000000000000004</v>
      </c>
      <c r="N261" s="97">
        <f>prodnorm37</f>
        <v>0</v>
      </c>
      <c r="O261" s="41">
        <f>dagwerk37</f>
        <v>0</v>
      </c>
      <c r="P261" s="94" t="s">
        <v>107</v>
      </c>
      <c r="Q261" s="26">
        <f>uurtarief37</f>
        <v>0</v>
      </c>
      <c r="R261" s="96" t="e">
        <f>IF(ISBLANK(N261),0,M261/ROUND(N261,4))</f>
        <v>#DIV/0!</v>
      </c>
      <c r="S261" s="96" t="e">
        <f>IF(ISBLANK(N261),0,R261*ROUND(O261,2))</f>
        <v>#DIV/0!</v>
      </c>
      <c r="T261" s="26" t="e">
        <f>ROUND(Q261,2)*R261</f>
        <v>#DIV/0!</v>
      </c>
      <c r="U261" s="96" t="e">
        <f>R261*dagenperjaar1</f>
        <v>#DIV/0!</v>
      </c>
      <c r="V261" s="27" t="e">
        <f>U261*ROUND(Q261,2)</f>
        <v>#DIV/0!</v>
      </c>
    </row>
    <row r="262" spans="1:22" x14ac:dyDescent="0.35">
      <c r="A262" s="93" t="s">
        <v>468</v>
      </c>
      <c r="B262" s="94" t="s">
        <v>40</v>
      </c>
      <c r="C262" s="94" t="s">
        <v>729</v>
      </c>
      <c r="D262" s="94" t="s">
        <v>730</v>
      </c>
      <c r="E262" s="94" t="s">
        <v>40</v>
      </c>
      <c r="F262" s="95" t="s">
        <v>473</v>
      </c>
      <c r="G262" s="94" t="s">
        <v>40</v>
      </c>
      <c r="H262" s="94" t="s">
        <v>316</v>
      </c>
      <c r="I262" s="94"/>
      <c r="J262" s="94"/>
      <c r="K262" s="94"/>
      <c r="L262" s="96">
        <v>0</v>
      </c>
      <c r="M262" s="96"/>
      <c r="N262" s="97"/>
      <c r="O262" s="41"/>
      <c r="P262" s="94"/>
      <c r="Q262" s="26"/>
      <c r="R262" s="96"/>
      <c r="S262" s="96"/>
      <c r="T262" s="26"/>
      <c r="U262" s="98"/>
      <c r="V262" s="27"/>
    </row>
    <row r="263" spans="1:22" x14ac:dyDescent="0.35">
      <c r="A263" s="93" t="s">
        <v>468</v>
      </c>
      <c r="B263" s="94" t="s">
        <v>40</v>
      </c>
      <c r="C263" s="94" t="s">
        <v>729</v>
      </c>
      <c r="D263" s="94" t="s">
        <v>731</v>
      </c>
      <c r="E263" s="94" t="s">
        <v>40</v>
      </c>
      <c r="F263" s="95" t="s">
        <v>548</v>
      </c>
      <c r="G263" s="94" t="s">
        <v>335</v>
      </c>
      <c r="H263" s="94" t="s">
        <v>256</v>
      </c>
      <c r="I263" s="94" t="s">
        <v>13</v>
      </c>
      <c r="J263" s="94" t="s">
        <v>218</v>
      </c>
      <c r="K263" s="95" t="s">
        <v>257</v>
      </c>
      <c r="L263" s="96">
        <v>26</v>
      </c>
      <c r="M263" s="96">
        <f>L263*VLOOKUP(I263,dagsoorttabel1,2,FALSE)</f>
        <v>10.4</v>
      </c>
      <c r="N263" s="97">
        <f>prodnorm37</f>
        <v>0</v>
      </c>
      <c r="O263" s="41">
        <f>dagwerk37</f>
        <v>0</v>
      </c>
      <c r="P263" s="94" t="s">
        <v>107</v>
      </c>
      <c r="Q263" s="26">
        <f>uurtarief37</f>
        <v>0</v>
      </c>
      <c r="R263" s="96" t="e">
        <f>IF(ISBLANK(N263),0,M263/ROUND(N263,4))</f>
        <v>#DIV/0!</v>
      </c>
      <c r="S263" s="96" t="e">
        <f>IF(ISBLANK(N263),0,R263*ROUND(O263,2))</f>
        <v>#DIV/0!</v>
      </c>
      <c r="T263" s="26" t="e">
        <f>ROUND(Q263,2)*R263</f>
        <v>#DIV/0!</v>
      </c>
      <c r="U263" s="96" t="e">
        <f>R263*dagenperjaar1</f>
        <v>#DIV/0!</v>
      </c>
      <c r="V263" s="27" t="e">
        <f>U263*ROUND(Q263,2)</f>
        <v>#DIV/0!</v>
      </c>
    </row>
    <row r="264" spans="1:22" x14ac:dyDescent="0.35">
      <c r="A264" s="93" t="s">
        <v>468</v>
      </c>
      <c r="B264" s="94" t="s">
        <v>40</v>
      </c>
      <c r="C264" s="94" t="s">
        <v>729</v>
      </c>
      <c r="D264" s="94" t="s">
        <v>732</v>
      </c>
      <c r="E264" s="94" t="s">
        <v>40</v>
      </c>
      <c r="F264" s="95" t="s">
        <v>733</v>
      </c>
      <c r="G264" s="94" t="s">
        <v>40</v>
      </c>
      <c r="H264" s="94" t="s">
        <v>316</v>
      </c>
      <c r="I264" s="94"/>
      <c r="J264" s="94"/>
      <c r="K264" s="94"/>
      <c r="L264" s="96">
        <v>0</v>
      </c>
      <c r="M264" s="96"/>
      <c r="N264" s="97"/>
      <c r="O264" s="41"/>
      <c r="P264" s="94"/>
      <c r="Q264" s="26"/>
      <c r="R264" s="96"/>
      <c r="S264" s="96"/>
      <c r="T264" s="26"/>
      <c r="U264" s="98"/>
      <c r="V264" s="27"/>
    </row>
    <row r="265" spans="1:22" x14ac:dyDescent="0.35">
      <c r="A265" s="93" t="s">
        <v>468</v>
      </c>
      <c r="B265" s="94" t="s">
        <v>40</v>
      </c>
      <c r="C265" s="94" t="s">
        <v>729</v>
      </c>
      <c r="D265" s="94" t="s">
        <v>734</v>
      </c>
      <c r="E265" s="94" t="s">
        <v>40</v>
      </c>
      <c r="F265" s="95" t="s">
        <v>735</v>
      </c>
      <c r="G265" s="94" t="s">
        <v>321</v>
      </c>
      <c r="H265" s="94" t="s">
        <v>242</v>
      </c>
      <c r="I265" s="94" t="s">
        <v>10</v>
      </c>
      <c r="J265" s="94" t="s">
        <v>218</v>
      </c>
      <c r="K265" s="95" t="s">
        <v>243</v>
      </c>
      <c r="L265" s="96">
        <v>7</v>
      </c>
      <c r="M265" s="96">
        <f>L265*VLOOKUP(I265,dagsoorttabel1,2,FALSE)</f>
        <v>7</v>
      </c>
      <c r="N265" s="97">
        <f>prodnorm21</f>
        <v>0</v>
      </c>
      <c r="O265" s="41">
        <f>dagwerk21</f>
        <v>0</v>
      </c>
      <c r="P265" s="94" t="s">
        <v>107</v>
      </c>
      <c r="Q265" s="26">
        <f>uurtarief21</f>
        <v>0</v>
      </c>
      <c r="R265" s="96" t="e">
        <f>IF(ISBLANK(N265),0,M265/ROUND(N265,4))</f>
        <v>#DIV/0!</v>
      </c>
      <c r="S265" s="96" t="e">
        <f>IF(ISBLANK(N265),0,R265*ROUND(O265,2))</f>
        <v>#DIV/0!</v>
      </c>
      <c r="T265" s="26" t="e">
        <f>ROUND(Q265,2)*R265</f>
        <v>#DIV/0!</v>
      </c>
      <c r="U265" s="96" t="e">
        <f>R265*dagenperjaar1</f>
        <v>#DIV/0!</v>
      </c>
      <c r="V265" s="27" t="e">
        <f>U265*ROUND(Q265,2)</f>
        <v>#DIV/0!</v>
      </c>
    </row>
    <row r="266" spans="1:22" x14ac:dyDescent="0.35">
      <c r="A266" s="93" t="s">
        <v>468</v>
      </c>
      <c r="B266" s="94" t="s">
        <v>40</v>
      </c>
      <c r="C266" s="94" t="s">
        <v>729</v>
      </c>
      <c r="D266" s="94" t="s">
        <v>736</v>
      </c>
      <c r="E266" s="94" t="s">
        <v>40</v>
      </c>
      <c r="F266" s="95" t="s">
        <v>411</v>
      </c>
      <c r="G266" s="94" t="s">
        <v>335</v>
      </c>
      <c r="H266" s="94" t="s">
        <v>246</v>
      </c>
      <c r="I266" s="94" t="s">
        <v>10</v>
      </c>
      <c r="J266" s="94" t="s">
        <v>218</v>
      </c>
      <c r="K266" s="95" t="s">
        <v>247</v>
      </c>
      <c r="L266" s="96">
        <v>15</v>
      </c>
      <c r="M266" s="96">
        <f>L266*VLOOKUP(I266,dagsoorttabel1,2,FALSE)</f>
        <v>15</v>
      </c>
      <c r="N266" s="97">
        <f>prodnorm26</f>
        <v>0</v>
      </c>
      <c r="O266" s="41">
        <f>dagwerk26</f>
        <v>0</v>
      </c>
      <c r="P266" s="94" t="s">
        <v>107</v>
      </c>
      <c r="Q266" s="26">
        <f>uurtarief26</f>
        <v>0</v>
      </c>
      <c r="R266" s="96" t="e">
        <f>IF(ISBLANK(N266),0,M266/ROUND(N266,4))</f>
        <v>#DIV/0!</v>
      </c>
      <c r="S266" s="96" t="e">
        <f>IF(ISBLANK(N266),0,R266*ROUND(O266,2))</f>
        <v>#DIV/0!</v>
      </c>
      <c r="T266" s="26" t="e">
        <f>ROUND(Q266,2)*R266</f>
        <v>#DIV/0!</v>
      </c>
      <c r="U266" s="96" t="e">
        <f>R266*dagenperjaar1</f>
        <v>#DIV/0!</v>
      </c>
      <c r="V266" s="27" t="e">
        <f>U266*ROUND(Q266,2)</f>
        <v>#DIV/0!</v>
      </c>
    </row>
    <row r="267" spans="1:22" x14ac:dyDescent="0.35">
      <c r="A267" s="93" t="s">
        <v>468</v>
      </c>
      <c r="B267" s="94" t="s">
        <v>40</v>
      </c>
      <c r="C267" s="94" t="s">
        <v>729</v>
      </c>
      <c r="D267" s="94" t="s">
        <v>737</v>
      </c>
      <c r="E267" s="94" t="s">
        <v>40</v>
      </c>
      <c r="F267" s="95" t="s">
        <v>738</v>
      </c>
      <c r="G267" s="94" t="s">
        <v>335</v>
      </c>
      <c r="H267" s="94" t="s">
        <v>228</v>
      </c>
      <c r="I267" s="94" t="s">
        <v>10</v>
      </c>
      <c r="J267" s="94" t="s">
        <v>218</v>
      </c>
      <c r="K267" s="95" t="s">
        <v>229</v>
      </c>
      <c r="L267" s="96">
        <v>126</v>
      </c>
      <c r="M267" s="96">
        <f>L267*VLOOKUP(I267,dagsoorttabel1,2,FALSE)</f>
        <v>126</v>
      </c>
      <c r="N267" s="97">
        <f>prodnorm11</f>
        <v>0</v>
      </c>
      <c r="O267" s="41">
        <f>dagwerk11</f>
        <v>0</v>
      </c>
      <c r="P267" s="94" t="s">
        <v>107</v>
      </c>
      <c r="Q267" s="26">
        <f>uurtarief11</f>
        <v>0</v>
      </c>
      <c r="R267" s="96" t="e">
        <f>IF(ISBLANK(N267),0,M267/ROUND(N267,4))</f>
        <v>#DIV/0!</v>
      </c>
      <c r="S267" s="96" t="e">
        <f>IF(ISBLANK(N267),0,R267*ROUND(O267,2))</f>
        <v>#DIV/0!</v>
      </c>
      <c r="T267" s="26" t="e">
        <f>ROUND(Q267,2)*R267</f>
        <v>#DIV/0!</v>
      </c>
      <c r="U267" s="96" t="e">
        <f>R267*dagenperjaar1</f>
        <v>#DIV/0!</v>
      </c>
      <c r="V267" s="27" t="e">
        <f>U267*ROUND(Q267,2)</f>
        <v>#DIV/0!</v>
      </c>
    </row>
    <row r="268" spans="1:22" ht="29" x14ac:dyDescent="0.35">
      <c r="A268" s="93" t="s">
        <v>468</v>
      </c>
      <c r="B268" s="94" t="s">
        <v>40</v>
      </c>
      <c r="C268" s="94" t="s">
        <v>729</v>
      </c>
      <c r="D268" s="94" t="s">
        <v>739</v>
      </c>
      <c r="E268" s="94" t="s">
        <v>40</v>
      </c>
      <c r="F268" s="95" t="s">
        <v>740</v>
      </c>
      <c r="G268" s="94" t="s">
        <v>335</v>
      </c>
      <c r="H268" s="94" t="s">
        <v>228</v>
      </c>
      <c r="I268" s="94" t="s">
        <v>10</v>
      </c>
      <c r="J268" s="94" t="s">
        <v>218</v>
      </c>
      <c r="K268" s="95" t="s">
        <v>229</v>
      </c>
      <c r="L268" s="96">
        <v>8</v>
      </c>
      <c r="M268" s="96">
        <f>L268*VLOOKUP(I268,dagsoorttabel1,2,FALSE)</f>
        <v>8</v>
      </c>
      <c r="N268" s="97">
        <f>prodnorm11</f>
        <v>0</v>
      </c>
      <c r="O268" s="41">
        <f>dagwerk11</f>
        <v>0</v>
      </c>
      <c r="P268" s="94" t="s">
        <v>107</v>
      </c>
      <c r="Q268" s="26">
        <f>uurtarief11</f>
        <v>0</v>
      </c>
      <c r="R268" s="96" t="e">
        <f>IF(ISBLANK(N268),0,M268/ROUND(N268,4))</f>
        <v>#DIV/0!</v>
      </c>
      <c r="S268" s="96" t="e">
        <f>IF(ISBLANK(N268),0,R268*ROUND(O268,2))</f>
        <v>#DIV/0!</v>
      </c>
      <c r="T268" s="26" t="e">
        <f>ROUND(Q268,2)*R268</f>
        <v>#DIV/0!</v>
      </c>
      <c r="U268" s="96" t="e">
        <f>R268*dagenperjaar1</f>
        <v>#DIV/0!</v>
      </c>
      <c r="V268" s="27" t="e">
        <f>U268*ROUND(Q268,2)</f>
        <v>#DIV/0!</v>
      </c>
    </row>
    <row r="269" spans="1:22" x14ac:dyDescent="0.35">
      <c r="A269" s="93" t="s">
        <v>468</v>
      </c>
      <c r="B269" s="94" t="s">
        <v>40</v>
      </c>
      <c r="C269" s="94" t="s">
        <v>729</v>
      </c>
      <c r="D269" s="94" t="s">
        <v>741</v>
      </c>
      <c r="E269" s="94" t="s">
        <v>40</v>
      </c>
      <c r="F269" s="95" t="s">
        <v>742</v>
      </c>
      <c r="G269" s="94" t="s">
        <v>743</v>
      </c>
      <c r="H269" s="94" t="s">
        <v>220</v>
      </c>
      <c r="I269" s="94" t="s">
        <v>12</v>
      </c>
      <c r="J269" s="94" t="s">
        <v>218</v>
      </c>
      <c r="K269" s="95" t="s">
        <v>221</v>
      </c>
      <c r="L269" s="96">
        <v>50</v>
      </c>
      <c r="M269" s="96">
        <f>L269*VLOOKUP(I269,dagsoorttabel1,2,FALSE)</f>
        <v>30</v>
      </c>
      <c r="N269" s="97">
        <f>prodnorm7</f>
        <v>0</v>
      </c>
      <c r="O269" s="41">
        <f>dagwerk7</f>
        <v>0</v>
      </c>
      <c r="P269" s="94" t="s">
        <v>107</v>
      </c>
      <c r="Q269" s="26">
        <f>uurtarief7</f>
        <v>0</v>
      </c>
      <c r="R269" s="96" t="e">
        <f>IF(ISBLANK(N269),0,M269/ROUND(N269,4))</f>
        <v>#DIV/0!</v>
      </c>
      <c r="S269" s="96" t="e">
        <f>IF(ISBLANK(N269),0,R269*ROUND(O269,2))</f>
        <v>#DIV/0!</v>
      </c>
      <c r="T269" s="26" t="e">
        <f>ROUND(Q269,2)*R269</f>
        <v>#DIV/0!</v>
      </c>
      <c r="U269" s="96" t="e">
        <f>R269*dagenperjaar1</f>
        <v>#DIV/0!</v>
      </c>
      <c r="V269" s="27" t="e">
        <f>U269*ROUND(Q269,2)</f>
        <v>#DIV/0!</v>
      </c>
    </row>
    <row r="270" spans="1:22" ht="29" x14ac:dyDescent="0.35">
      <c r="A270" s="93" t="s">
        <v>468</v>
      </c>
      <c r="B270" s="94" t="s">
        <v>40</v>
      </c>
      <c r="C270" s="94" t="s">
        <v>729</v>
      </c>
      <c r="D270" s="94" t="s">
        <v>744</v>
      </c>
      <c r="E270" s="94" t="s">
        <v>40</v>
      </c>
      <c r="F270" s="95" t="s">
        <v>745</v>
      </c>
      <c r="G270" s="94" t="s">
        <v>743</v>
      </c>
      <c r="H270" s="94" t="s">
        <v>220</v>
      </c>
      <c r="I270" s="94" t="s">
        <v>12</v>
      </c>
      <c r="J270" s="94" t="s">
        <v>218</v>
      </c>
      <c r="K270" s="95" t="s">
        <v>221</v>
      </c>
      <c r="L270" s="96">
        <v>816</v>
      </c>
      <c r="M270" s="96">
        <f>L270*VLOOKUP(I270,dagsoorttabel1,2,FALSE)</f>
        <v>489.59999999999997</v>
      </c>
      <c r="N270" s="97">
        <f>prodnorm7</f>
        <v>0</v>
      </c>
      <c r="O270" s="41">
        <f>dagwerk7</f>
        <v>0</v>
      </c>
      <c r="P270" s="94" t="s">
        <v>107</v>
      </c>
      <c r="Q270" s="26">
        <f>uurtarief7</f>
        <v>0</v>
      </c>
      <c r="R270" s="96" t="e">
        <f>IF(ISBLANK(N270),0,M270/ROUND(N270,4))</f>
        <v>#DIV/0!</v>
      </c>
      <c r="S270" s="96" t="e">
        <f>IF(ISBLANK(N270),0,R270*ROUND(O270,2))</f>
        <v>#DIV/0!</v>
      </c>
      <c r="T270" s="26" t="e">
        <f>ROUND(Q270,2)*R270</f>
        <v>#DIV/0!</v>
      </c>
      <c r="U270" s="96" t="e">
        <f>R270*dagenperjaar1</f>
        <v>#DIV/0!</v>
      </c>
      <c r="V270" s="27" t="e">
        <f>U270*ROUND(Q270,2)</f>
        <v>#DIV/0!</v>
      </c>
    </row>
    <row r="271" spans="1:22" x14ac:dyDescent="0.35">
      <c r="A271" s="93" t="s">
        <v>468</v>
      </c>
      <c r="B271" s="94" t="s">
        <v>40</v>
      </c>
      <c r="C271" s="94" t="s">
        <v>729</v>
      </c>
      <c r="D271" s="94" t="s">
        <v>746</v>
      </c>
      <c r="E271" s="94" t="s">
        <v>40</v>
      </c>
      <c r="F271" s="95" t="s">
        <v>411</v>
      </c>
      <c r="G271" s="94" t="s">
        <v>335</v>
      </c>
      <c r="H271" s="94" t="s">
        <v>246</v>
      </c>
      <c r="I271" s="94" t="s">
        <v>10</v>
      </c>
      <c r="J271" s="94" t="s">
        <v>218</v>
      </c>
      <c r="K271" s="95" t="s">
        <v>247</v>
      </c>
      <c r="L271" s="96">
        <v>30</v>
      </c>
      <c r="M271" s="96">
        <f>L271*VLOOKUP(I271,dagsoorttabel1,2,FALSE)</f>
        <v>30</v>
      </c>
      <c r="N271" s="97">
        <f>prodnorm26</f>
        <v>0</v>
      </c>
      <c r="O271" s="41">
        <f>dagwerk26</f>
        <v>0</v>
      </c>
      <c r="P271" s="94" t="s">
        <v>107</v>
      </c>
      <c r="Q271" s="26">
        <f>uurtarief26</f>
        <v>0</v>
      </c>
      <c r="R271" s="96" t="e">
        <f>IF(ISBLANK(N271),0,M271/ROUND(N271,4))</f>
        <v>#DIV/0!</v>
      </c>
      <c r="S271" s="96" t="e">
        <f>IF(ISBLANK(N271),0,R271*ROUND(O271,2))</f>
        <v>#DIV/0!</v>
      </c>
      <c r="T271" s="26" t="e">
        <f>ROUND(Q271,2)*R271</f>
        <v>#DIV/0!</v>
      </c>
      <c r="U271" s="96" t="e">
        <f>R271*dagenperjaar1</f>
        <v>#DIV/0!</v>
      </c>
      <c r="V271" s="27" t="e">
        <f>U271*ROUND(Q271,2)</f>
        <v>#DIV/0!</v>
      </c>
    </row>
    <row r="272" spans="1:22" x14ac:dyDescent="0.35">
      <c r="A272" s="93" t="s">
        <v>468</v>
      </c>
      <c r="B272" s="94" t="s">
        <v>40</v>
      </c>
      <c r="C272" s="94" t="s">
        <v>729</v>
      </c>
      <c r="D272" s="94" t="s">
        <v>747</v>
      </c>
      <c r="E272" s="94" t="s">
        <v>40</v>
      </c>
      <c r="F272" s="95" t="s">
        <v>589</v>
      </c>
      <c r="G272" s="94" t="s">
        <v>40</v>
      </c>
      <c r="H272" s="94" t="s">
        <v>316</v>
      </c>
      <c r="I272" s="94"/>
      <c r="J272" s="94"/>
      <c r="K272" s="94"/>
      <c r="L272" s="96">
        <v>0</v>
      </c>
      <c r="M272" s="96"/>
      <c r="N272" s="97"/>
      <c r="O272" s="41"/>
      <c r="P272" s="94"/>
      <c r="Q272" s="26"/>
      <c r="R272" s="96"/>
      <c r="S272" s="96"/>
      <c r="T272" s="26"/>
      <c r="U272" s="98"/>
      <c r="V272" s="27"/>
    </row>
    <row r="273" spans="1:22" x14ac:dyDescent="0.35">
      <c r="A273" s="93" t="s">
        <v>468</v>
      </c>
      <c r="B273" s="94" t="s">
        <v>40</v>
      </c>
      <c r="C273" s="94" t="s">
        <v>729</v>
      </c>
      <c r="D273" s="94" t="s">
        <v>748</v>
      </c>
      <c r="E273" s="94" t="s">
        <v>40</v>
      </c>
      <c r="F273" s="95" t="s">
        <v>749</v>
      </c>
      <c r="G273" s="94" t="s">
        <v>40</v>
      </c>
      <c r="H273" s="94" t="s">
        <v>316</v>
      </c>
      <c r="I273" s="94"/>
      <c r="J273" s="94"/>
      <c r="K273" s="94"/>
      <c r="L273" s="96">
        <v>0</v>
      </c>
      <c r="M273" s="96"/>
      <c r="N273" s="97"/>
      <c r="O273" s="41"/>
      <c r="P273" s="94"/>
      <c r="Q273" s="26"/>
      <c r="R273" s="96"/>
      <c r="S273" s="96"/>
      <c r="T273" s="26"/>
      <c r="U273" s="98"/>
      <c r="V273" s="27"/>
    </row>
    <row r="274" spans="1:22" x14ac:dyDescent="0.35">
      <c r="A274" s="93" t="s">
        <v>468</v>
      </c>
      <c r="B274" s="94" t="s">
        <v>40</v>
      </c>
      <c r="C274" s="94" t="s">
        <v>729</v>
      </c>
      <c r="D274" s="94" t="s">
        <v>750</v>
      </c>
      <c r="E274" s="94" t="s">
        <v>40</v>
      </c>
      <c r="F274" s="95" t="s">
        <v>751</v>
      </c>
      <c r="G274" s="94" t="s">
        <v>40</v>
      </c>
      <c r="H274" s="94" t="s">
        <v>316</v>
      </c>
      <c r="I274" s="94"/>
      <c r="J274" s="94"/>
      <c r="K274" s="94"/>
      <c r="L274" s="96">
        <v>0</v>
      </c>
      <c r="M274" s="96"/>
      <c r="N274" s="97"/>
      <c r="O274" s="41"/>
      <c r="P274" s="94"/>
      <c r="Q274" s="26"/>
      <c r="R274" s="96"/>
      <c r="S274" s="96"/>
      <c r="T274" s="26"/>
      <c r="U274" s="98"/>
      <c r="V274" s="27"/>
    </row>
    <row r="275" spans="1:22" x14ac:dyDescent="0.35">
      <c r="A275" s="93" t="s">
        <v>468</v>
      </c>
      <c r="B275" s="94" t="s">
        <v>40</v>
      </c>
      <c r="C275" s="94" t="s">
        <v>729</v>
      </c>
      <c r="D275" s="94" t="s">
        <v>752</v>
      </c>
      <c r="E275" s="94" t="s">
        <v>40</v>
      </c>
      <c r="F275" s="95" t="s">
        <v>735</v>
      </c>
      <c r="G275" s="94" t="s">
        <v>321</v>
      </c>
      <c r="H275" s="94" t="s">
        <v>242</v>
      </c>
      <c r="I275" s="94" t="s">
        <v>10</v>
      </c>
      <c r="J275" s="94" t="s">
        <v>218</v>
      </c>
      <c r="K275" s="95" t="s">
        <v>243</v>
      </c>
      <c r="L275" s="96">
        <v>7</v>
      </c>
      <c r="M275" s="96">
        <f>L275*VLOOKUP(I275,dagsoorttabel1,2,FALSE)</f>
        <v>7</v>
      </c>
      <c r="N275" s="97">
        <f>prodnorm21</f>
        <v>0</v>
      </c>
      <c r="O275" s="41">
        <f>dagwerk21</f>
        <v>0</v>
      </c>
      <c r="P275" s="94" t="s">
        <v>107</v>
      </c>
      <c r="Q275" s="26">
        <f>uurtarief21</f>
        <v>0</v>
      </c>
      <c r="R275" s="96" t="e">
        <f>IF(ISBLANK(N275),0,M275/ROUND(N275,4))</f>
        <v>#DIV/0!</v>
      </c>
      <c r="S275" s="96" t="e">
        <f>IF(ISBLANK(N275),0,R275*ROUND(O275,2))</f>
        <v>#DIV/0!</v>
      </c>
      <c r="T275" s="26" t="e">
        <f>ROUND(Q275,2)*R275</f>
        <v>#DIV/0!</v>
      </c>
      <c r="U275" s="96" t="e">
        <f>R275*dagenperjaar1</f>
        <v>#DIV/0!</v>
      </c>
      <c r="V275" s="27" t="e">
        <f>U275*ROUND(Q275,2)</f>
        <v>#DIV/0!</v>
      </c>
    </row>
    <row r="276" spans="1:22" x14ac:dyDescent="0.35">
      <c r="A276" s="93" t="s">
        <v>468</v>
      </c>
      <c r="B276" s="94" t="s">
        <v>40</v>
      </c>
      <c r="C276" s="94" t="s">
        <v>729</v>
      </c>
      <c r="D276" s="94" t="s">
        <v>753</v>
      </c>
      <c r="E276" s="94" t="s">
        <v>40</v>
      </c>
      <c r="F276" s="95" t="s">
        <v>479</v>
      </c>
      <c r="G276" s="94" t="s">
        <v>40</v>
      </c>
      <c r="H276" s="94" t="s">
        <v>316</v>
      </c>
      <c r="I276" s="94"/>
      <c r="J276" s="94"/>
      <c r="K276" s="94"/>
      <c r="L276" s="96">
        <v>0</v>
      </c>
      <c r="M276" s="96"/>
      <c r="N276" s="97"/>
      <c r="O276" s="41"/>
      <c r="P276" s="94"/>
      <c r="Q276" s="26"/>
      <c r="R276" s="96"/>
      <c r="S276" s="96"/>
      <c r="T276" s="26"/>
      <c r="U276" s="98"/>
      <c r="V276" s="27"/>
    </row>
    <row r="277" spans="1:22" x14ac:dyDescent="0.35">
      <c r="A277" s="93" t="s">
        <v>468</v>
      </c>
      <c r="B277" s="94" t="s">
        <v>40</v>
      </c>
      <c r="C277" s="94" t="s">
        <v>729</v>
      </c>
      <c r="D277" s="94" t="s">
        <v>754</v>
      </c>
      <c r="E277" s="94" t="s">
        <v>40</v>
      </c>
      <c r="F277" s="95" t="s">
        <v>515</v>
      </c>
      <c r="G277" s="94" t="s">
        <v>335</v>
      </c>
      <c r="H277" s="94" t="s">
        <v>256</v>
      </c>
      <c r="I277" s="94" t="s">
        <v>13</v>
      </c>
      <c r="J277" s="94" t="s">
        <v>218</v>
      </c>
      <c r="K277" s="95" t="s">
        <v>257</v>
      </c>
      <c r="L277" s="96">
        <v>12</v>
      </c>
      <c r="M277" s="96">
        <f>L277*VLOOKUP(I277,dagsoorttabel1,2,FALSE)</f>
        <v>4.8000000000000007</v>
      </c>
      <c r="N277" s="97">
        <f>prodnorm37</f>
        <v>0</v>
      </c>
      <c r="O277" s="41">
        <f>dagwerk37</f>
        <v>0</v>
      </c>
      <c r="P277" s="94" t="s">
        <v>107</v>
      </c>
      <c r="Q277" s="26">
        <f>uurtarief37</f>
        <v>0</v>
      </c>
      <c r="R277" s="96" t="e">
        <f>IF(ISBLANK(N277),0,M277/ROUND(N277,4))</f>
        <v>#DIV/0!</v>
      </c>
      <c r="S277" s="96" t="e">
        <f>IF(ISBLANK(N277),0,R277*ROUND(O277,2))</f>
        <v>#DIV/0!</v>
      </c>
      <c r="T277" s="26" t="e">
        <f>ROUND(Q277,2)*R277</f>
        <v>#DIV/0!</v>
      </c>
      <c r="U277" s="96" t="e">
        <f>R277*dagenperjaar1</f>
        <v>#DIV/0!</v>
      </c>
      <c r="V277" s="27" t="e">
        <f>U277*ROUND(Q277,2)</f>
        <v>#DIV/0!</v>
      </c>
    </row>
    <row r="278" spans="1:22" x14ac:dyDescent="0.35">
      <c r="A278" s="93" t="s">
        <v>468</v>
      </c>
      <c r="B278" s="94" t="s">
        <v>40</v>
      </c>
      <c r="C278" s="94" t="s">
        <v>729</v>
      </c>
      <c r="D278" s="94" t="s">
        <v>755</v>
      </c>
      <c r="E278" s="94" t="s">
        <v>40</v>
      </c>
      <c r="F278" s="95" t="s">
        <v>481</v>
      </c>
      <c r="G278" s="94" t="s">
        <v>40</v>
      </c>
      <c r="H278" s="94" t="s">
        <v>316</v>
      </c>
      <c r="I278" s="94"/>
      <c r="J278" s="94"/>
      <c r="K278" s="94"/>
      <c r="L278" s="96">
        <v>0</v>
      </c>
      <c r="M278" s="96"/>
      <c r="N278" s="97"/>
      <c r="O278" s="41"/>
      <c r="P278" s="94"/>
      <c r="Q278" s="26"/>
      <c r="R278" s="96"/>
      <c r="S278" s="96"/>
      <c r="T278" s="26"/>
      <c r="U278" s="98"/>
      <c r="V278" s="27"/>
    </row>
    <row r="279" spans="1:22" x14ac:dyDescent="0.35">
      <c r="A279" s="93" t="s">
        <v>468</v>
      </c>
      <c r="B279" s="94" t="s">
        <v>40</v>
      </c>
      <c r="C279" s="94" t="s">
        <v>729</v>
      </c>
      <c r="D279" s="94" t="s">
        <v>756</v>
      </c>
      <c r="E279" s="94" t="s">
        <v>40</v>
      </c>
      <c r="F279" s="95" t="s">
        <v>751</v>
      </c>
      <c r="G279" s="94" t="s">
        <v>40</v>
      </c>
      <c r="H279" s="94" t="s">
        <v>316</v>
      </c>
      <c r="I279" s="94"/>
      <c r="J279" s="94"/>
      <c r="K279" s="94"/>
      <c r="L279" s="96">
        <v>0</v>
      </c>
      <c r="M279" s="96"/>
      <c r="N279" s="97"/>
      <c r="O279" s="41"/>
      <c r="P279" s="94"/>
      <c r="Q279" s="26"/>
      <c r="R279" s="96"/>
      <c r="S279" s="96"/>
      <c r="T279" s="26"/>
      <c r="U279" s="98"/>
      <c r="V279" s="27"/>
    </row>
    <row r="280" spans="1:22" x14ac:dyDescent="0.35">
      <c r="A280" s="93" t="s">
        <v>468</v>
      </c>
      <c r="B280" s="94" t="s">
        <v>40</v>
      </c>
      <c r="C280" s="94" t="s">
        <v>729</v>
      </c>
      <c r="D280" s="94" t="s">
        <v>757</v>
      </c>
      <c r="E280" s="94" t="s">
        <v>40</v>
      </c>
      <c r="F280" s="95" t="s">
        <v>758</v>
      </c>
      <c r="G280" s="94" t="s">
        <v>40</v>
      </c>
      <c r="H280" s="94" t="s">
        <v>316</v>
      </c>
      <c r="I280" s="94"/>
      <c r="J280" s="94"/>
      <c r="K280" s="94"/>
      <c r="L280" s="96">
        <v>0</v>
      </c>
      <c r="M280" s="96"/>
      <c r="N280" s="97"/>
      <c r="O280" s="41"/>
      <c r="P280" s="94"/>
      <c r="Q280" s="26"/>
      <c r="R280" s="96"/>
      <c r="S280" s="96"/>
      <c r="T280" s="26"/>
      <c r="U280" s="98"/>
      <c r="V280" s="27"/>
    </row>
    <row r="281" spans="1:22" x14ac:dyDescent="0.35">
      <c r="A281" s="93" t="s">
        <v>468</v>
      </c>
      <c r="B281" s="94" t="s">
        <v>40</v>
      </c>
      <c r="C281" s="94" t="s">
        <v>729</v>
      </c>
      <c r="D281" s="94" t="s">
        <v>759</v>
      </c>
      <c r="E281" s="94" t="s">
        <v>40</v>
      </c>
      <c r="F281" s="95" t="s">
        <v>758</v>
      </c>
      <c r="G281" s="94" t="s">
        <v>40</v>
      </c>
      <c r="H281" s="94" t="s">
        <v>316</v>
      </c>
      <c r="I281" s="94"/>
      <c r="J281" s="94"/>
      <c r="K281" s="94"/>
      <c r="L281" s="96">
        <v>0</v>
      </c>
      <c r="M281" s="96"/>
      <c r="N281" s="97"/>
      <c r="O281" s="41"/>
      <c r="P281" s="94"/>
      <c r="Q281" s="26"/>
      <c r="R281" s="96"/>
      <c r="S281" s="96"/>
      <c r="T281" s="26"/>
      <c r="U281" s="98"/>
      <c r="V281" s="27"/>
    </row>
    <row r="282" spans="1:22" x14ac:dyDescent="0.35">
      <c r="A282" s="93" t="s">
        <v>468</v>
      </c>
      <c r="B282" s="94" t="s">
        <v>40</v>
      </c>
      <c r="C282" s="94" t="s">
        <v>729</v>
      </c>
      <c r="D282" s="94" t="s">
        <v>760</v>
      </c>
      <c r="E282" s="94" t="s">
        <v>40</v>
      </c>
      <c r="F282" s="95" t="s">
        <v>761</v>
      </c>
      <c r="G282" s="94" t="s">
        <v>321</v>
      </c>
      <c r="H282" s="94" t="s">
        <v>242</v>
      </c>
      <c r="I282" s="94" t="s">
        <v>10</v>
      </c>
      <c r="J282" s="94" t="s">
        <v>218</v>
      </c>
      <c r="K282" s="95" t="s">
        <v>243</v>
      </c>
      <c r="L282" s="96">
        <v>4</v>
      </c>
      <c r="M282" s="96">
        <f>L282*VLOOKUP(I282,dagsoorttabel1,2,FALSE)</f>
        <v>4</v>
      </c>
      <c r="N282" s="97">
        <f>prodnorm21</f>
        <v>0</v>
      </c>
      <c r="O282" s="41">
        <f>dagwerk21</f>
        <v>0</v>
      </c>
      <c r="P282" s="94" t="s">
        <v>107</v>
      </c>
      <c r="Q282" s="26">
        <f>uurtarief21</f>
        <v>0</v>
      </c>
      <c r="R282" s="96" t="e">
        <f>IF(ISBLANK(N282),0,M282/ROUND(N282,4))</f>
        <v>#DIV/0!</v>
      </c>
      <c r="S282" s="96" t="e">
        <f>IF(ISBLANK(N282),0,R282*ROUND(O282,2))</f>
        <v>#DIV/0!</v>
      </c>
      <c r="T282" s="26" t="e">
        <f>ROUND(Q282,2)*R282</f>
        <v>#DIV/0!</v>
      </c>
      <c r="U282" s="96" t="e">
        <f>R282*dagenperjaar1</f>
        <v>#DIV/0!</v>
      </c>
      <c r="V282" s="27" t="e">
        <f>U282*ROUND(Q282,2)</f>
        <v>#DIV/0!</v>
      </c>
    </row>
    <row r="283" spans="1:22" x14ac:dyDescent="0.35">
      <c r="A283" s="93" t="s">
        <v>468</v>
      </c>
      <c r="B283" s="94" t="s">
        <v>40</v>
      </c>
      <c r="C283" s="94" t="s">
        <v>729</v>
      </c>
      <c r="D283" s="94" t="s">
        <v>762</v>
      </c>
      <c r="E283" s="94" t="s">
        <v>40</v>
      </c>
      <c r="F283" s="95" t="s">
        <v>735</v>
      </c>
      <c r="G283" s="94" t="s">
        <v>321</v>
      </c>
      <c r="H283" s="94" t="s">
        <v>242</v>
      </c>
      <c r="I283" s="94" t="s">
        <v>10</v>
      </c>
      <c r="J283" s="94" t="s">
        <v>218</v>
      </c>
      <c r="K283" s="95" t="s">
        <v>243</v>
      </c>
      <c r="L283" s="96">
        <v>7</v>
      </c>
      <c r="M283" s="96">
        <f>L283*VLOOKUP(I283,dagsoorttabel1,2,FALSE)</f>
        <v>7</v>
      </c>
      <c r="N283" s="97">
        <f>prodnorm21</f>
        <v>0</v>
      </c>
      <c r="O283" s="41">
        <f>dagwerk21</f>
        <v>0</v>
      </c>
      <c r="P283" s="94" t="s">
        <v>107</v>
      </c>
      <c r="Q283" s="26">
        <f>uurtarief21</f>
        <v>0</v>
      </c>
      <c r="R283" s="96" t="e">
        <f>IF(ISBLANK(N283),0,M283/ROUND(N283,4))</f>
        <v>#DIV/0!</v>
      </c>
      <c r="S283" s="96" t="e">
        <f>IF(ISBLANK(N283),0,R283*ROUND(O283,2))</f>
        <v>#DIV/0!</v>
      </c>
      <c r="T283" s="26" t="e">
        <f>ROUND(Q283,2)*R283</f>
        <v>#DIV/0!</v>
      </c>
      <c r="U283" s="96" t="e">
        <f>R283*dagenperjaar1</f>
        <v>#DIV/0!</v>
      </c>
      <c r="V283" s="27" t="e">
        <f>U283*ROUND(Q283,2)</f>
        <v>#DIV/0!</v>
      </c>
    </row>
    <row r="284" spans="1:22" x14ac:dyDescent="0.35">
      <c r="A284" s="93" t="s">
        <v>468</v>
      </c>
      <c r="B284" s="94" t="s">
        <v>40</v>
      </c>
      <c r="C284" s="94" t="s">
        <v>729</v>
      </c>
      <c r="D284" s="94" t="s">
        <v>763</v>
      </c>
      <c r="E284" s="94" t="s">
        <v>40</v>
      </c>
      <c r="F284" s="95" t="s">
        <v>735</v>
      </c>
      <c r="G284" s="94" t="s">
        <v>321</v>
      </c>
      <c r="H284" s="94" t="s">
        <v>242</v>
      </c>
      <c r="I284" s="94" t="s">
        <v>10</v>
      </c>
      <c r="J284" s="94" t="s">
        <v>218</v>
      </c>
      <c r="K284" s="95" t="s">
        <v>243</v>
      </c>
      <c r="L284" s="96">
        <v>7</v>
      </c>
      <c r="M284" s="96">
        <f>L284*VLOOKUP(I284,dagsoorttabel1,2,FALSE)</f>
        <v>7</v>
      </c>
      <c r="N284" s="97">
        <f>prodnorm21</f>
        <v>0</v>
      </c>
      <c r="O284" s="41">
        <f>dagwerk21</f>
        <v>0</v>
      </c>
      <c r="P284" s="94" t="s">
        <v>107</v>
      </c>
      <c r="Q284" s="26">
        <f>uurtarief21</f>
        <v>0</v>
      </c>
      <c r="R284" s="96" t="e">
        <f>IF(ISBLANK(N284),0,M284/ROUND(N284,4))</f>
        <v>#DIV/0!</v>
      </c>
      <c r="S284" s="96" t="e">
        <f>IF(ISBLANK(N284),0,R284*ROUND(O284,2))</f>
        <v>#DIV/0!</v>
      </c>
      <c r="T284" s="26" t="e">
        <f>ROUND(Q284,2)*R284</f>
        <v>#DIV/0!</v>
      </c>
      <c r="U284" s="96" t="e">
        <f>R284*dagenperjaar1</f>
        <v>#DIV/0!</v>
      </c>
      <c r="V284" s="27" t="e">
        <f>U284*ROUND(Q284,2)</f>
        <v>#DIV/0!</v>
      </c>
    </row>
    <row r="285" spans="1:22" x14ac:dyDescent="0.35">
      <c r="A285" s="93" t="s">
        <v>468</v>
      </c>
      <c r="B285" s="94" t="s">
        <v>40</v>
      </c>
      <c r="C285" s="94" t="s">
        <v>729</v>
      </c>
      <c r="D285" s="94" t="s">
        <v>764</v>
      </c>
      <c r="E285" s="94" t="s">
        <v>40</v>
      </c>
      <c r="F285" s="95" t="s">
        <v>765</v>
      </c>
      <c r="G285" s="94" t="s">
        <v>40</v>
      </c>
      <c r="H285" s="94" t="s">
        <v>316</v>
      </c>
      <c r="I285" s="94"/>
      <c r="J285" s="94"/>
      <c r="K285" s="94"/>
      <c r="L285" s="96">
        <v>0</v>
      </c>
      <c r="M285" s="96"/>
      <c r="N285" s="97"/>
      <c r="O285" s="41"/>
      <c r="P285" s="94"/>
      <c r="Q285" s="26"/>
      <c r="R285" s="96"/>
      <c r="S285" s="96"/>
      <c r="T285" s="26"/>
      <c r="U285" s="98"/>
      <c r="V285" s="27"/>
    </row>
    <row r="286" spans="1:22" x14ac:dyDescent="0.35">
      <c r="A286" s="93" t="s">
        <v>468</v>
      </c>
      <c r="B286" s="94" t="s">
        <v>40</v>
      </c>
      <c r="C286" s="94" t="s">
        <v>729</v>
      </c>
      <c r="D286" s="94" t="s">
        <v>766</v>
      </c>
      <c r="E286" s="94" t="s">
        <v>40</v>
      </c>
      <c r="F286" s="95" t="s">
        <v>767</v>
      </c>
      <c r="G286" s="94" t="s">
        <v>321</v>
      </c>
      <c r="H286" s="94" t="s">
        <v>226</v>
      </c>
      <c r="I286" s="94" t="s">
        <v>10</v>
      </c>
      <c r="J286" s="94" t="s">
        <v>218</v>
      </c>
      <c r="K286" s="95" t="s">
        <v>227</v>
      </c>
      <c r="L286" s="96">
        <v>4</v>
      </c>
      <c r="M286" s="96">
        <f>L286*VLOOKUP(I286,dagsoorttabel1,2,FALSE)</f>
        <v>4</v>
      </c>
      <c r="N286" s="97">
        <f>prodnorm10</f>
        <v>0</v>
      </c>
      <c r="O286" s="41">
        <f>dagwerk10</f>
        <v>0</v>
      </c>
      <c r="P286" s="94" t="s">
        <v>107</v>
      </c>
      <c r="Q286" s="26">
        <f>uurtarief10</f>
        <v>0</v>
      </c>
      <c r="R286" s="96" t="e">
        <f>IF(ISBLANK(N286),0,M286/ROUND(N286,4))</f>
        <v>#DIV/0!</v>
      </c>
      <c r="S286" s="96" t="e">
        <f>IF(ISBLANK(N286),0,R286*ROUND(O286,2))</f>
        <v>#DIV/0!</v>
      </c>
      <c r="T286" s="26" t="e">
        <f>ROUND(Q286,2)*R286</f>
        <v>#DIV/0!</v>
      </c>
      <c r="U286" s="96" t="e">
        <f>R286*dagenperjaar1</f>
        <v>#DIV/0!</v>
      </c>
      <c r="V286" s="27" t="e">
        <f>U286*ROUND(Q286,2)</f>
        <v>#DIV/0!</v>
      </c>
    </row>
    <row r="287" spans="1:22" ht="29" x14ac:dyDescent="0.35">
      <c r="A287" s="93" t="s">
        <v>468</v>
      </c>
      <c r="B287" s="94" t="s">
        <v>40</v>
      </c>
      <c r="C287" s="94" t="s">
        <v>729</v>
      </c>
      <c r="D287" s="94" t="s">
        <v>768</v>
      </c>
      <c r="E287" s="94" t="s">
        <v>40</v>
      </c>
      <c r="F287" s="95" t="s">
        <v>769</v>
      </c>
      <c r="G287" s="94" t="s">
        <v>335</v>
      </c>
      <c r="H287" s="94" t="s">
        <v>246</v>
      </c>
      <c r="I287" s="94" t="s">
        <v>10</v>
      </c>
      <c r="J287" s="94" t="s">
        <v>218</v>
      </c>
      <c r="K287" s="95" t="s">
        <v>247</v>
      </c>
      <c r="L287" s="96">
        <v>95</v>
      </c>
      <c r="M287" s="96">
        <f>L287*VLOOKUP(I287,dagsoorttabel1,2,FALSE)</f>
        <v>95</v>
      </c>
      <c r="N287" s="97">
        <f>prodnorm26</f>
        <v>0</v>
      </c>
      <c r="O287" s="41">
        <f>dagwerk26</f>
        <v>0</v>
      </c>
      <c r="P287" s="94" t="s">
        <v>107</v>
      </c>
      <c r="Q287" s="26">
        <f>uurtarief26</f>
        <v>0</v>
      </c>
      <c r="R287" s="96" t="e">
        <f>IF(ISBLANK(N287),0,M287/ROUND(N287,4))</f>
        <v>#DIV/0!</v>
      </c>
      <c r="S287" s="96" t="e">
        <f>IF(ISBLANK(N287),0,R287*ROUND(O287,2))</f>
        <v>#DIV/0!</v>
      </c>
      <c r="T287" s="26" t="e">
        <f>ROUND(Q287,2)*R287</f>
        <v>#DIV/0!</v>
      </c>
      <c r="U287" s="96" t="e">
        <f>R287*dagenperjaar1</f>
        <v>#DIV/0!</v>
      </c>
      <c r="V287" s="27" t="e">
        <f>U287*ROUND(Q287,2)</f>
        <v>#DIV/0!</v>
      </c>
    </row>
    <row r="288" spans="1:22" x14ac:dyDescent="0.35">
      <c r="A288" s="93" t="s">
        <v>468</v>
      </c>
      <c r="B288" s="94" t="s">
        <v>40</v>
      </c>
      <c r="C288" s="94" t="s">
        <v>729</v>
      </c>
      <c r="D288" s="94" t="s">
        <v>770</v>
      </c>
      <c r="E288" s="94" t="s">
        <v>40</v>
      </c>
      <c r="F288" s="95" t="s">
        <v>771</v>
      </c>
      <c r="G288" s="94" t="s">
        <v>743</v>
      </c>
      <c r="H288" s="94" t="s">
        <v>220</v>
      </c>
      <c r="I288" s="94" t="s">
        <v>12</v>
      </c>
      <c r="J288" s="94" t="s">
        <v>218</v>
      </c>
      <c r="K288" s="95" t="s">
        <v>221</v>
      </c>
      <c r="L288" s="96">
        <v>32</v>
      </c>
      <c r="M288" s="96">
        <f>L288*VLOOKUP(I288,dagsoorttabel1,2,FALSE)</f>
        <v>19.2</v>
      </c>
      <c r="N288" s="97">
        <f>prodnorm7</f>
        <v>0</v>
      </c>
      <c r="O288" s="41">
        <f>dagwerk7</f>
        <v>0</v>
      </c>
      <c r="P288" s="94" t="s">
        <v>107</v>
      </c>
      <c r="Q288" s="26">
        <f>uurtarief7</f>
        <v>0</v>
      </c>
      <c r="R288" s="96" t="e">
        <f>IF(ISBLANK(N288),0,M288/ROUND(N288,4))</f>
        <v>#DIV/0!</v>
      </c>
      <c r="S288" s="96" t="e">
        <f>IF(ISBLANK(N288),0,R288*ROUND(O288,2))</f>
        <v>#DIV/0!</v>
      </c>
      <c r="T288" s="26" t="e">
        <f>ROUND(Q288,2)*R288</f>
        <v>#DIV/0!</v>
      </c>
      <c r="U288" s="96" t="e">
        <f>R288*dagenperjaar1</f>
        <v>#DIV/0!</v>
      </c>
      <c r="V288" s="27" t="e">
        <f>U288*ROUND(Q288,2)</f>
        <v>#DIV/0!</v>
      </c>
    </row>
    <row r="289" spans="1:22" x14ac:dyDescent="0.35">
      <c r="A289" s="93" t="s">
        <v>468</v>
      </c>
      <c r="B289" s="94" t="s">
        <v>40</v>
      </c>
      <c r="C289" s="94" t="s">
        <v>729</v>
      </c>
      <c r="D289" s="94" t="s">
        <v>772</v>
      </c>
      <c r="E289" s="94" t="s">
        <v>40</v>
      </c>
      <c r="F289" s="95" t="s">
        <v>773</v>
      </c>
      <c r="G289" s="94" t="s">
        <v>743</v>
      </c>
      <c r="H289" s="94" t="s">
        <v>224</v>
      </c>
      <c r="I289" s="94" t="s">
        <v>12</v>
      </c>
      <c r="J289" s="94" t="s">
        <v>218</v>
      </c>
      <c r="K289" s="95" t="s">
        <v>225</v>
      </c>
      <c r="L289" s="96">
        <v>33</v>
      </c>
      <c r="M289" s="96">
        <f>L289*VLOOKUP(I289,dagsoorttabel1,2,FALSE)</f>
        <v>19.8</v>
      </c>
      <c r="N289" s="97">
        <f>prodnorm9</f>
        <v>0</v>
      </c>
      <c r="O289" s="41">
        <f>dagwerk9</f>
        <v>0</v>
      </c>
      <c r="P289" s="94" t="s">
        <v>107</v>
      </c>
      <c r="Q289" s="26">
        <f>uurtarief9</f>
        <v>0</v>
      </c>
      <c r="R289" s="96" t="e">
        <f>IF(ISBLANK(N289),0,M289/ROUND(N289,4))</f>
        <v>#DIV/0!</v>
      </c>
      <c r="S289" s="96" t="e">
        <f>IF(ISBLANK(N289),0,R289*ROUND(O289,2))</f>
        <v>#DIV/0!</v>
      </c>
      <c r="T289" s="26" t="e">
        <f>ROUND(Q289,2)*R289</f>
        <v>#DIV/0!</v>
      </c>
      <c r="U289" s="96" t="e">
        <f>R289*dagenperjaar1</f>
        <v>#DIV/0!</v>
      </c>
      <c r="V289" s="27" t="e">
        <f>U289*ROUND(Q289,2)</f>
        <v>#DIV/0!</v>
      </c>
    </row>
    <row r="290" spans="1:22" x14ac:dyDescent="0.35">
      <c r="A290" s="93" t="s">
        <v>468</v>
      </c>
      <c r="B290" s="94" t="s">
        <v>40</v>
      </c>
      <c r="C290" s="94" t="s">
        <v>729</v>
      </c>
      <c r="D290" s="94" t="s">
        <v>774</v>
      </c>
      <c r="E290" s="94" t="s">
        <v>40</v>
      </c>
      <c r="F290" s="95" t="s">
        <v>775</v>
      </c>
      <c r="G290" s="94" t="s">
        <v>743</v>
      </c>
      <c r="H290" s="94" t="s">
        <v>224</v>
      </c>
      <c r="I290" s="94" t="s">
        <v>12</v>
      </c>
      <c r="J290" s="94" t="s">
        <v>218</v>
      </c>
      <c r="K290" s="95" t="s">
        <v>225</v>
      </c>
      <c r="L290" s="96">
        <v>26</v>
      </c>
      <c r="M290" s="96">
        <f>L290*VLOOKUP(I290,dagsoorttabel1,2,FALSE)</f>
        <v>15.6</v>
      </c>
      <c r="N290" s="97">
        <f>prodnorm9</f>
        <v>0</v>
      </c>
      <c r="O290" s="41">
        <f>dagwerk9</f>
        <v>0</v>
      </c>
      <c r="P290" s="94" t="s">
        <v>107</v>
      </c>
      <c r="Q290" s="26">
        <f>uurtarief9</f>
        <v>0</v>
      </c>
      <c r="R290" s="96" t="e">
        <f>IF(ISBLANK(N290),0,M290/ROUND(N290,4))</f>
        <v>#DIV/0!</v>
      </c>
      <c r="S290" s="96" t="e">
        <f>IF(ISBLANK(N290),0,R290*ROUND(O290,2))</f>
        <v>#DIV/0!</v>
      </c>
      <c r="T290" s="26" t="e">
        <f>ROUND(Q290,2)*R290</f>
        <v>#DIV/0!</v>
      </c>
      <c r="U290" s="96" t="e">
        <f>R290*dagenperjaar1</f>
        <v>#DIV/0!</v>
      </c>
      <c r="V290" s="27" t="e">
        <f>U290*ROUND(Q290,2)</f>
        <v>#DIV/0!</v>
      </c>
    </row>
    <row r="291" spans="1:22" x14ac:dyDescent="0.35">
      <c r="A291" s="93" t="s">
        <v>468</v>
      </c>
      <c r="B291" s="94" t="s">
        <v>40</v>
      </c>
      <c r="C291" s="94" t="s">
        <v>729</v>
      </c>
      <c r="D291" s="94" t="s">
        <v>776</v>
      </c>
      <c r="E291" s="94" t="s">
        <v>40</v>
      </c>
      <c r="F291" s="95" t="s">
        <v>777</v>
      </c>
      <c r="G291" s="94" t="s">
        <v>743</v>
      </c>
      <c r="H291" s="94" t="s">
        <v>224</v>
      </c>
      <c r="I291" s="94" t="s">
        <v>12</v>
      </c>
      <c r="J291" s="94" t="s">
        <v>218</v>
      </c>
      <c r="K291" s="95" t="s">
        <v>225</v>
      </c>
      <c r="L291" s="96">
        <v>26</v>
      </c>
      <c r="M291" s="96">
        <f>L291*VLOOKUP(I291,dagsoorttabel1,2,FALSE)</f>
        <v>15.6</v>
      </c>
      <c r="N291" s="97">
        <f>prodnorm9</f>
        <v>0</v>
      </c>
      <c r="O291" s="41">
        <f>dagwerk9</f>
        <v>0</v>
      </c>
      <c r="P291" s="94" t="s">
        <v>107</v>
      </c>
      <c r="Q291" s="26">
        <f>uurtarief9</f>
        <v>0</v>
      </c>
      <c r="R291" s="96" t="e">
        <f>IF(ISBLANK(N291),0,M291/ROUND(N291,4))</f>
        <v>#DIV/0!</v>
      </c>
      <c r="S291" s="96" t="e">
        <f>IF(ISBLANK(N291),0,R291*ROUND(O291,2))</f>
        <v>#DIV/0!</v>
      </c>
      <c r="T291" s="26" t="e">
        <f>ROUND(Q291,2)*R291</f>
        <v>#DIV/0!</v>
      </c>
      <c r="U291" s="96" t="e">
        <f>R291*dagenperjaar1</f>
        <v>#DIV/0!</v>
      </c>
      <c r="V291" s="27" t="e">
        <f>U291*ROUND(Q291,2)</f>
        <v>#DIV/0!</v>
      </c>
    </row>
    <row r="292" spans="1:22" x14ac:dyDescent="0.35">
      <c r="A292" s="93" t="s">
        <v>468</v>
      </c>
      <c r="B292" s="94" t="s">
        <v>40</v>
      </c>
      <c r="C292" s="94" t="s">
        <v>729</v>
      </c>
      <c r="D292" s="94" t="s">
        <v>778</v>
      </c>
      <c r="E292" s="94" t="s">
        <v>40</v>
      </c>
      <c r="F292" s="95" t="s">
        <v>779</v>
      </c>
      <c r="G292" s="94" t="s">
        <v>743</v>
      </c>
      <c r="H292" s="94" t="s">
        <v>224</v>
      </c>
      <c r="I292" s="94" t="s">
        <v>12</v>
      </c>
      <c r="J292" s="94" t="s">
        <v>218</v>
      </c>
      <c r="K292" s="95" t="s">
        <v>225</v>
      </c>
      <c r="L292" s="96">
        <v>7</v>
      </c>
      <c r="M292" s="96">
        <f>L292*VLOOKUP(I292,dagsoorttabel1,2,FALSE)</f>
        <v>4.2</v>
      </c>
      <c r="N292" s="97">
        <f>prodnorm9</f>
        <v>0</v>
      </c>
      <c r="O292" s="41">
        <f>dagwerk9</f>
        <v>0</v>
      </c>
      <c r="P292" s="94" t="s">
        <v>107</v>
      </c>
      <c r="Q292" s="26">
        <f>uurtarief9</f>
        <v>0</v>
      </c>
      <c r="R292" s="96" t="e">
        <f>IF(ISBLANK(N292),0,M292/ROUND(N292,4))</f>
        <v>#DIV/0!</v>
      </c>
      <c r="S292" s="96" t="e">
        <f>IF(ISBLANK(N292),0,R292*ROUND(O292,2))</f>
        <v>#DIV/0!</v>
      </c>
      <c r="T292" s="26" t="e">
        <f>ROUND(Q292,2)*R292</f>
        <v>#DIV/0!</v>
      </c>
      <c r="U292" s="96" t="e">
        <f>R292*dagenperjaar1</f>
        <v>#DIV/0!</v>
      </c>
      <c r="V292" s="27" t="e">
        <f>U292*ROUND(Q292,2)</f>
        <v>#DIV/0!</v>
      </c>
    </row>
    <row r="293" spans="1:22" x14ac:dyDescent="0.35">
      <c r="A293" s="93" t="s">
        <v>468</v>
      </c>
      <c r="B293" s="94" t="s">
        <v>40</v>
      </c>
      <c r="C293" s="94" t="s">
        <v>729</v>
      </c>
      <c r="D293" s="94" t="s">
        <v>780</v>
      </c>
      <c r="E293" s="94" t="s">
        <v>40</v>
      </c>
      <c r="F293" s="95" t="s">
        <v>781</v>
      </c>
      <c r="G293" s="94" t="s">
        <v>743</v>
      </c>
      <c r="H293" s="94" t="s">
        <v>224</v>
      </c>
      <c r="I293" s="94" t="s">
        <v>12</v>
      </c>
      <c r="J293" s="94" t="s">
        <v>218</v>
      </c>
      <c r="K293" s="95" t="s">
        <v>225</v>
      </c>
      <c r="L293" s="96">
        <v>9</v>
      </c>
      <c r="M293" s="96">
        <f>L293*VLOOKUP(I293,dagsoorttabel1,2,FALSE)</f>
        <v>5.3999999999999995</v>
      </c>
      <c r="N293" s="97">
        <f>prodnorm9</f>
        <v>0</v>
      </c>
      <c r="O293" s="41">
        <f>dagwerk9</f>
        <v>0</v>
      </c>
      <c r="P293" s="94" t="s">
        <v>107</v>
      </c>
      <c r="Q293" s="26">
        <f>uurtarief9</f>
        <v>0</v>
      </c>
      <c r="R293" s="96" t="e">
        <f>IF(ISBLANK(N293),0,M293/ROUND(N293,4))</f>
        <v>#DIV/0!</v>
      </c>
      <c r="S293" s="96" t="e">
        <f>IF(ISBLANK(N293),0,R293*ROUND(O293,2))</f>
        <v>#DIV/0!</v>
      </c>
      <c r="T293" s="26" t="e">
        <f>ROUND(Q293,2)*R293</f>
        <v>#DIV/0!</v>
      </c>
      <c r="U293" s="96" t="e">
        <f>R293*dagenperjaar1</f>
        <v>#DIV/0!</v>
      </c>
      <c r="V293" s="27" t="e">
        <f>U293*ROUND(Q293,2)</f>
        <v>#DIV/0!</v>
      </c>
    </row>
    <row r="294" spans="1:22" x14ac:dyDescent="0.35">
      <c r="A294" s="93" t="s">
        <v>468</v>
      </c>
      <c r="B294" s="94" t="s">
        <v>40</v>
      </c>
      <c r="C294" s="94" t="s">
        <v>729</v>
      </c>
      <c r="D294" s="94" t="s">
        <v>782</v>
      </c>
      <c r="E294" s="94" t="s">
        <v>40</v>
      </c>
      <c r="F294" s="95" t="s">
        <v>783</v>
      </c>
      <c r="G294" s="94" t="s">
        <v>743</v>
      </c>
      <c r="H294" s="94" t="s">
        <v>224</v>
      </c>
      <c r="I294" s="94" t="s">
        <v>12</v>
      </c>
      <c r="J294" s="94" t="s">
        <v>218</v>
      </c>
      <c r="K294" s="95" t="s">
        <v>225</v>
      </c>
      <c r="L294" s="96">
        <v>7</v>
      </c>
      <c r="M294" s="96">
        <f>L294*VLOOKUP(I294,dagsoorttabel1,2,FALSE)</f>
        <v>4.2</v>
      </c>
      <c r="N294" s="97">
        <f>prodnorm9</f>
        <v>0</v>
      </c>
      <c r="O294" s="41">
        <f>dagwerk9</f>
        <v>0</v>
      </c>
      <c r="P294" s="94" t="s">
        <v>107</v>
      </c>
      <c r="Q294" s="26">
        <f>uurtarief9</f>
        <v>0</v>
      </c>
      <c r="R294" s="96" t="e">
        <f>IF(ISBLANK(N294),0,M294/ROUND(N294,4))</f>
        <v>#DIV/0!</v>
      </c>
      <c r="S294" s="96" t="e">
        <f>IF(ISBLANK(N294),0,R294*ROUND(O294,2))</f>
        <v>#DIV/0!</v>
      </c>
      <c r="T294" s="26" t="e">
        <f>ROUND(Q294,2)*R294</f>
        <v>#DIV/0!</v>
      </c>
      <c r="U294" s="96" t="e">
        <f>R294*dagenperjaar1</f>
        <v>#DIV/0!</v>
      </c>
      <c r="V294" s="27" t="e">
        <f>U294*ROUND(Q294,2)</f>
        <v>#DIV/0!</v>
      </c>
    </row>
    <row r="295" spans="1:22" x14ac:dyDescent="0.35">
      <c r="A295" s="93" t="s">
        <v>468</v>
      </c>
      <c r="B295" s="94" t="s">
        <v>40</v>
      </c>
      <c r="C295" s="94" t="s">
        <v>729</v>
      </c>
      <c r="D295" s="94" t="s">
        <v>784</v>
      </c>
      <c r="E295" s="94" t="s">
        <v>40</v>
      </c>
      <c r="F295" s="95" t="s">
        <v>785</v>
      </c>
      <c r="G295" s="94" t="s">
        <v>743</v>
      </c>
      <c r="H295" s="94" t="s">
        <v>220</v>
      </c>
      <c r="I295" s="94" t="s">
        <v>12</v>
      </c>
      <c r="J295" s="94" t="s">
        <v>218</v>
      </c>
      <c r="K295" s="95" t="s">
        <v>221</v>
      </c>
      <c r="L295" s="96">
        <v>28</v>
      </c>
      <c r="M295" s="96">
        <f>L295*VLOOKUP(I295,dagsoorttabel1,2,FALSE)</f>
        <v>16.8</v>
      </c>
      <c r="N295" s="97">
        <f>prodnorm7</f>
        <v>0</v>
      </c>
      <c r="O295" s="41">
        <f>dagwerk7</f>
        <v>0</v>
      </c>
      <c r="P295" s="94" t="s">
        <v>107</v>
      </c>
      <c r="Q295" s="26">
        <f>uurtarief7</f>
        <v>0</v>
      </c>
      <c r="R295" s="96" t="e">
        <f>IF(ISBLANK(N295),0,M295/ROUND(N295,4))</f>
        <v>#DIV/0!</v>
      </c>
      <c r="S295" s="96" t="e">
        <f>IF(ISBLANK(N295),0,R295*ROUND(O295,2))</f>
        <v>#DIV/0!</v>
      </c>
      <c r="T295" s="26" t="e">
        <f>ROUND(Q295,2)*R295</f>
        <v>#DIV/0!</v>
      </c>
      <c r="U295" s="96" t="e">
        <f>R295*dagenperjaar1</f>
        <v>#DIV/0!</v>
      </c>
      <c r="V295" s="27" t="e">
        <f>U295*ROUND(Q295,2)</f>
        <v>#DIV/0!</v>
      </c>
    </row>
    <row r="296" spans="1:22" x14ac:dyDescent="0.35">
      <c r="A296" s="93" t="s">
        <v>468</v>
      </c>
      <c r="B296" s="94" t="s">
        <v>40</v>
      </c>
      <c r="C296" s="94" t="s">
        <v>729</v>
      </c>
      <c r="D296" s="94" t="s">
        <v>786</v>
      </c>
      <c r="E296" s="94" t="s">
        <v>40</v>
      </c>
      <c r="F296" s="95" t="s">
        <v>785</v>
      </c>
      <c r="G296" s="94" t="s">
        <v>743</v>
      </c>
      <c r="H296" s="94" t="s">
        <v>220</v>
      </c>
      <c r="I296" s="94" t="s">
        <v>12</v>
      </c>
      <c r="J296" s="94" t="s">
        <v>218</v>
      </c>
      <c r="K296" s="95" t="s">
        <v>221</v>
      </c>
      <c r="L296" s="96">
        <v>28</v>
      </c>
      <c r="M296" s="96">
        <f>L296*VLOOKUP(I296,dagsoorttabel1,2,FALSE)</f>
        <v>16.8</v>
      </c>
      <c r="N296" s="97">
        <f>prodnorm7</f>
        <v>0</v>
      </c>
      <c r="O296" s="41">
        <f>dagwerk7</f>
        <v>0</v>
      </c>
      <c r="P296" s="94" t="s">
        <v>107</v>
      </c>
      <c r="Q296" s="26">
        <f>uurtarief7</f>
        <v>0</v>
      </c>
      <c r="R296" s="96" t="e">
        <f>IF(ISBLANK(N296),0,M296/ROUND(N296,4))</f>
        <v>#DIV/0!</v>
      </c>
      <c r="S296" s="96" t="e">
        <f>IF(ISBLANK(N296),0,R296*ROUND(O296,2))</f>
        <v>#DIV/0!</v>
      </c>
      <c r="T296" s="26" t="e">
        <f>ROUND(Q296,2)*R296</f>
        <v>#DIV/0!</v>
      </c>
      <c r="U296" s="96" t="e">
        <f>R296*dagenperjaar1</f>
        <v>#DIV/0!</v>
      </c>
      <c r="V296" s="27" t="e">
        <f>U296*ROUND(Q296,2)</f>
        <v>#DIV/0!</v>
      </c>
    </row>
    <row r="297" spans="1:22" x14ac:dyDescent="0.35">
      <c r="A297" s="93" t="s">
        <v>468</v>
      </c>
      <c r="B297" s="94" t="s">
        <v>40</v>
      </c>
      <c r="C297" s="94" t="s">
        <v>729</v>
      </c>
      <c r="D297" s="94" t="s">
        <v>787</v>
      </c>
      <c r="E297" s="94" t="s">
        <v>40</v>
      </c>
      <c r="F297" s="95" t="s">
        <v>788</v>
      </c>
      <c r="G297" s="94" t="s">
        <v>789</v>
      </c>
      <c r="H297" s="94" t="s">
        <v>316</v>
      </c>
      <c r="I297" s="94"/>
      <c r="J297" s="94"/>
      <c r="K297" s="94"/>
      <c r="L297" s="96">
        <v>39</v>
      </c>
      <c r="M297" s="96"/>
      <c r="N297" s="97"/>
      <c r="O297" s="41"/>
      <c r="P297" s="94"/>
      <c r="Q297" s="26"/>
      <c r="R297" s="96"/>
      <c r="S297" s="96"/>
      <c r="T297" s="26"/>
      <c r="U297" s="98"/>
      <c r="V297" s="27"/>
    </row>
    <row r="298" spans="1:22" x14ac:dyDescent="0.35">
      <c r="A298" s="93" t="s">
        <v>468</v>
      </c>
      <c r="B298" s="94" t="s">
        <v>40</v>
      </c>
      <c r="C298" s="94" t="s">
        <v>729</v>
      </c>
      <c r="D298" s="94" t="s">
        <v>790</v>
      </c>
      <c r="E298" s="94" t="s">
        <v>40</v>
      </c>
      <c r="F298" s="95" t="s">
        <v>791</v>
      </c>
      <c r="G298" s="94" t="s">
        <v>789</v>
      </c>
      <c r="H298" s="94" t="s">
        <v>316</v>
      </c>
      <c r="I298" s="94"/>
      <c r="J298" s="94"/>
      <c r="K298" s="94"/>
      <c r="L298" s="96">
        <v>39</v>
      </c>
      <c r="M298" s="96"/>
      <c r="N298" s="97"/>
      <c r="O298" s="41"/>
      <c r="P298" s="94"/>
      <c r="Q298" s="26"/>
      <c r="R298" s="96"/>
      <c r="S298" s="96"/>
      <c r="T298" s="26"/>
      <c r="U298" s="98"/>
      <c r="V298" s="27"/>
    </row>
    <row r="299" spans="1:22" x14ac:dyDescent="0.35">
      <c r="A299" s="93" t="s">
        <v>468</v>
      </c>
      <c r="B299" s="94" t="s">
        <v>40</v>
      </c>
      <c r="C299" s="94" t="s">
        <v>729</v>
      </c>
      <c r="D299" s="94" t="s">
        <v>792</v>
      </c>
      <c r="E299" s="94" t="s">
        <v>40</v>
      </c>
      <c r="F299" s="95" t="s">
        <v>793</v>
      </c>
      <c r="G299" s="94" t="s">
        <v>743</v>
      </c>
      <c r="H299" s="94" t="s">
        <v>224</v>
      </c>
      <c r="I299" s="94" t="s">
        <v>12</v>
      </c>
      <c r="J299" s="94" t="s">
        <v>218</v>
      </c>
      <c r="K299" s="95" t="s">
        <v>225</v>
      </c>
      <c r="L299" s="96">
        <v>9</v>
      </c>
      <c r="M299" s="96">
        <f>L299*VLOOKUP(I299,dagsoorttabel1,2,FALSE)</f>
        <v>5.3999999999999995</v>
      </c>
      <c r="N299" s="97">
        <f>prodnorm9</f>
        <v>0</v>
      </c>
      <c r="O299" s="41">
        <f>dagwerk9</f>
        <v>0</v>
      </c>
      <c r="P299" s="94" t="s">
        <v>107</v>
      </c>
      <c r="Q299" s="26">
        <f>uurtarief9</f>
        <v>0</v>
      </c>
      <c r="R299" s="96" t="e">
        <f>IF(ISBLANK(N299),0,M299/ROUND(N299,4))</f>
        <v>#DIV/0!</v>
      </c>
      <c r="S299" s="96" t="e">
        <f>IF(ISBLANK(N299),0,R299*ROUND(O299,2))</f>
        <v>#DIV/0!</v>
      </c>
      <c r="T299" s="26" t="e">
        <f>ROUND(Q299,2)*R299</f>
        <v>#DIV/0!</v>
      </c>
      <c r="U299" s="96" t="e">
        <f>R299*dagenperjaar1</f>
        <v>#DIV/0!</v>
      </c>
      <c r="V299" s="27" t="e">
        <f>U299*ROUND(Q299,2)</f>
        <v>#DIV/0!</v>
      </c>
    </row>
    <row r="300" spans="1:22" x14ac:dyDescent="0.35">
      <c r="A300" s="93" t="s">
        <v>468</v>
      </c>
      <c r="B300" s="94" t="s">
        <v>40</v>
      </c>
      <c r="C300" s="94" t="s">
        <v>729</v>
      </c>
      <c r="D300" s="94" t="s">
        <v>794</v>
      </c>
      <c r="E300" s="94" t="s">
        <v>40</v>
      </c>
      <c r="F300" s="95" t="s">
        <v>795</v>
      </c>
      <c r="G300" s="94" t="s">
        <v>743</v>
      </c>
      <c r="H300" s="94" t="s">
        <v>248</v>
      </c>
      <c r="I300" s="94" t="s">
        <v>12</v>
      </c>
      <c r="J300" s="94" t="s">
        <v>218</v>
      </c>
      <c r="K300" s="95" t="s">
        <v>249</v>
      </c>
      <c r="L300" s="96">
        <v>18</v>
      </c>
      <c r="M300" s="96">
        <f>L300*VLOOKUP(I300,dagsoorttabel1,2,FALSE)</f>
        <v>10.799999999999999</v>
      </c>
      <c r="N300" s="97">
        <f>prodnorm27</f>
        <v>0</v>
      </c>
      <c r="O300" s="41">
        <f>dagwerk27</f>
        <v>0</v>
      </c>
      <c r="P300" s="94" t="s">
        <v>107</v>
      </c>
      <c r="Q300" s="26">
        <f>uurtarief27</f>
        <v>0</v>
      </c>
      <c r="R300" s="96" t="e">
        <f>IF(ISBLANK(N300),0,M300/ROUND(N300,4))</f>
        <v>#DIV/0!</v>
      </c>
      <c r="S300" s="96" t="e">
        <f>IF(ISBLANK(N300),0,R300*ROUND(O300,2))</f>
        <v>#DIV/0!</v>
      </c>
      <c r="T300" s="26" t="e">
        <f>ROUND(Q300,2)*R300</f>
        <v>#DIV/0!</v>
      </c>
      <c r="U300" s="96" t="e">
        <f>R300*dagenperjaar1</f>
        <v>#DIV/0!</v>
      </c>
      <c r="V300" s="27" t="e">
        <f>U300*ROUND(Q300,2)</f>
        <v>#DIV/0!</v>
      </c>
    </row>
    <row r="301" spans="1:22" x14ac:dyDescent="0.35">
      <c r="A301" s="93" t="s">
        <v>468</v>
      </c>
      <c r="B301" s="94" t="s">
        <v>40</v>
      </c>
      <c r="C301" s="94" t="s">
        <v>729</v>
      </c>
      <c r="D301" s="94" t="s">
        <v>796</v>
      </c>
      <c r="E301" s="94" t="s">
        <v>40</v>
      </c>
      <c r="F301" s="95" t="s">
        <v>797</v>
      </c>
      <c r="G301" s="94" t="s">
        <v>743</v>
      </c>
      <c r="H301" s="94" t="s">
        <v>316</v>
      </c>
      <c r="I301" s="94"/>
      <c r="J301" s="94"/>
      <c r="K301" s="94"/>
      <c r="L301" s="96">
        <v>4</v>
      </c>
      <c r="M301" s="96"/>
      <c r="N301" s="97"/>
      <c r="O301" s="41"/>
      <c r="P301" s="94"/>
      <c r="Q301" s="26"/>
      <c r="R301" s="96"/>
      <c r="S301" s="96"/>
      <c r="T301" s="26"/>
      <c r="U301" s="98"/>
      <c r="V301" s="27"/>
    </row>
    <row r="302" spans="1:22" x14ac:dyDescent="0.35">
      <c r="A302" s="93" t="s">
        <v>468</v>
      </c>
      <c r="B302" s="94" t="s">
        <v>40</v>
      </c>
      <c r="C302" s="94" t="s">
        <v>729</v>
      </c>
      <c r="D302" s="94" t="s">
        <v>798</v>
      </c>
      <c r="E302" s="94" t="s">
        <v>40</v>
      </c>
      <c r="F302" s="95" t="s">
        <v>799</v>
      </c>
      <c r="G302" s="94" t="s">
        <v>321</v>
      </c>
      <c r="H302" s="94" t="s">
        <v>258</v>
      </c>
      <c r="I302" s="94" t="s">
        <v>10</v>
      </c>
      <c r="J302" s="94" t="s">
        <v>259</v>
      </c>
      <c r="K302" s="95" t="s">
        <v>260</v>
      </c>
      <c r="L302" s="96">
        <v>4</v>
      </c>
      <c r="M302" s="96">
        <f>L302*VLOOKUP(I302,dagsoorttabel1,2,FALSE)</f>
        <v>4</v>
      </c>
      <c r="N302" s="97"/>
      <c r="O302" s="41">
        <f>dagwerk1</f>
        <v>0</v>
      </c>
      <c r="P302" s="94" t="s">
        <v>261</v>
      </c>
      <c r="Q302" s="26">
        <f>uurtarief1</f>
        <v>0</v>
      </c>
      <c r="R302" s="96">
        <f>M302</f>
        <v>4</v>
      </c>
      <c r="S302" s="96">
        <f>R302*ROUND(O302,2)</f>
        <v>0</v>
      </c>
      <c r="T302" s="26">
        <f>ROUND(Q302,2)*R302</f>
        <v>0</v>
      </c>
      <c r="U302" s="96">
        <f>R302*dagenperjaar1</f>
        <v>1020</v>
      </c>
      <c r="V302" s="27">
        <f>U302*ROUND(Q302,2)</f>
        <v>0</v>
      </c>
    </row>
    <row r="303" spans="1:22" x14ac:dyDescent="0.35">
      <c r="A303" s="93" t="s">
        <v>468</v>
      </c>
      <c r="B303" s="94" t="s">
        <v>40</v>
      </c>
      <c r="C303" s="94" t="s">
        <v>729</v>
      </c>
      <c r="D303" s="94" t="s">
        <v>798</v>
      </c>
      <c r="E303" s="94" t="s">
        <v>40</v>
      </c>
      <c r="F303" s="95" t="s">
        <v>799</v>
      </c>
      <c r="G303" s="94" t="s">
        <v>321</v>
      </c>
      <c r="H303" s="94" t="s">
        <v>228</v>
      </c>
      <c r="I303" s="94" t="s">
        <v>10</v>
      </c>
      <c r="J303" s="94" t="s">
        <v>218</v>
      </c>
      <c r="K303" s="95" t="s">
        <v>229</v>
      </c>
      <c r="L303" s="96">
        <v>6</v>
      </c>
      <c r="M303" s="96">
        <f>L303*VLOOKUP(I303,dagsoorttabel1,2,FALSE)</f>
        <v>6</v>
      </c>
      <c r="N303" s="97">
        <f>prodnorm11</f>
        <v>0</v>
      </c>
      <c r="O303" s="41">
        <f>dagwerk11</f>
        <v>0</v>
      </c>
      <c r="P303" s="94" t="s">
        <v>107</v>
      </c>
      <c r="Q303" s="26">
        <f>uurtarief11</f>
        <v>0</v>
      </c>
      <c r="R303" s="96" t="e">
        <f>IF(ISBLANK(N303),0,M303/ROUND(N303,4))</f>
        <v>#DIV/0!</v>
      </c>
      <c r="S303" s="96" t="e">
        <f>IF(ISBLANK(N303),0,R303*ROUND(O303,2))</f>
        <v>#DIV/0!</v>
      </c>
      <c r="T303" s="26" t="e">
        <f>ROUND(Q303,2)*R303</f>
        <v>#DIV/0!</v>
      </c>
      <c r="U303" s="96" t="e">
        <f>R303*dagenperjaar1</f>
        <v>#DIV/0!</v>
      </c>
      <c r="V303" s="27" t="e">
        <f>U303*ROUND(Q303,2)</f>
        <v>#DIV/0!</v>
      </c>
    </row>
    <row r="304" spans="1:22" x14ac:dyDescent="0.35">
      <c r="A304" s="93" t="s">
        <v>468</v>
      </c>
      <c r="B304" s="94" t="s">
        <v>40</v>
      </c>
      <c r="C304" s="94" t="s">
        <v>729</v>
      </c>
      <c r="D304" s="94" t="s">
        <v>800</v>
      </c>
      <c r="E304" s="94" t="s">
        <v>40</v>
      </c>
      <c r="F304" s="95" t="s">
        <v>801</v>
      </c>
      <c r="G304" s="94" t="s">
        <v>321</v>
      </c>
      <c r="H304" s="94" t="s">
        <v>258</v>
      </c>
      <c r="I304" s="94" t="s">
        <v>10</v>
      </c>
      <c r="J304" s="94" t="s">
        <v>259</v>
      </c>
      <c r="K304" s="95" t="s">
        <v>260</v>
      </c>
      <c r="L304" s="96">
        <v>0</v>
      </c>
      <c r="M304" s="96">
        <f>L304*VLOOKUP(I304,dagsoorttabel1,2,FALSE)</f>
        <v>0</v>
      </c>
      <c r="N304" s="97"/>
      <c r="O304" s="41"/>
      <c r="P304" s="94" t="s">
        <v>261</v>
      </c>
      <c r="Q304" s="26"/>
      <c r="R304" s="96">
        <f>M304</f>
        <v>0</v>
      </c>
      <c r="S304" s="96">
        <f>R304*ROUND(O304,2)</f>
        <v>0</v>
      </c>
      <c r="T304" s="26">
        <f>ROUND(Q304,2)*R304</f>
        <v>0</v>
      </c>
      <c r="U304" s="96">
        <f>R304*dagenperjaar1</f>
        <v>0</v>
      </c>
      <c r="V304" s="27">
        <f>U304*ROUND(Q304,2)</f>
        <v>0</v>
      </c>
    </row>
    <row r="305" spans="1:22" x14ac:dyDescent="0.35">
      <c r="A305" s="99" t="s">
        <v>468</v>
      </c>
      <c r="B305" s="100" t="s">
        <v>40</v>
      </c>
      <c r="C305" s="100" t="s">
        <v>729</v>
      </c>
      <c r="D305" s="100" t="s">
        <v>800</v>
      </c>
      <c r="E305" s="100" t="s">
        <v>40</v>
      </c>
      <c r="F305" s="101" t="s">
        <v>801</v>
      </c>
      <c r="G305" s="100" t="s">
        <v>321</v>
      </c>
      <c r="H305" s="100" t="s">
        <v>228</v>
      </c>
      <c r="I305" s="100" t="s">
        <v>10</v>
      </c>
      <c r="J305" s="100" t="s">
        <v>218</v>
      </c>
      <c r="K305" s="101" t="s">
        <v>229</v>
      </c>
      <c r="L305" s="102">
        <v>8</v>
      </c>
      <c r="M305" s="102">
        <f>L305*VLOOKUP(I305,dagsoorttabel1,2,FALSE)</f>
        <v>8</v>
      </c>
      <c r="N305" s="103">
        <f>prodnorm11</f>
        <v>0</v>
      </c>
      <c r="O305" s="104">
        <f>dagwerk11</f>
        <v>0</v>
      </c>
      <c r="P305" s="100" t="s">
        <v>107</v>
      </c>
      <c r="Q305" s="36">
        <f>uurtarief11</f>
        <v>0</v>
      </c>
      <c r="R305" s="102" t="e">
        <f>IF(ISBLANK(N305),0,M305/ROUND(N305,4))</f>
        <v>#DIV/0!</v>
      </c>
      <c r="S305" s="102" t="e">
        <f>IF(ISBLANK(N305),0,R305*ROUND(O305,2))</f>
        <v>#DIV/0!</v>
      </c>
      <c r="T305" s="36" t="e">
        <f>ROUND(Q305,2)*R305</f>
        <v>#DIV/0!</v>
      </c>
      <c r="U305" s="102" t="e">
        <f>R305*dagenperjaar1</f>
        <v>#DIV/0!</v>
      </c>
      <c r="V305" s="37" t="e">
        <f>U305*ROUND(Q305,2)</f>
        <v>#DIV/0!</v>
      </c>
    </row>
    <row r="306" spans="1:22" x14ac:dyDescent="0.35">
      <c r="A306" s="106" t="s">
        <v>466</v>
      </c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8" t="e">
        <f>IF(_xlfn.SINGLE(object2_urenjaar1)&gt;0,_xlfn.SINGLE(object2_prijsjaar1)/_xlfn.SINGLE(object2_urenjaar1),0)</f>
        <v>#DIV/0!</v>
      </c>
      <c r="R306" s="77" t="e">
        <f>SUM(R90:R305)</f>
        <v>#DIV/0!</v>
      </c>
      <c r="S306" s="77" t="e">
        <f>SUM(S90:S305)</f>
        <v>#DIV/0!</v>
      </c>
      <c r="T306" s="78" t="e">
        <f>SUM(T90:T305)</f>
        <v>#DIV/0!</v>
      </c>
      <c r="U306" s="77" t="e">
        <f>SUM(U90:U305)</f>
        <v>#DIV/0!</v>
      </c>
      <c r="V306" s="79" t="e">
        <f>SUM(V90:V305)</f>
        <v>#DIV/0!</v>
      </c>
    </row>
    <row r="307" spans="1:22" x14ac:dyDescent="0.35">
      <c r="A307" s="84" t="s">
        <v>802</v>
      </c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74"/>
    </row>
    <row r="308" spans="1:22" x14ac:dyDescent="0.35">
      <c r="A308" s="85" t="s">
        <v>803</v>
      </c>
      <c r="B308" s="86" t="s">
        <v>40</v>
      </c>
      <c r="C308" s="86" t="s">
        <v>470</v>
      </c>
      <c r="D308" s="86" t="s">
        <v>804</v>
      </c>
      <c r="E308" s="86" t="s">
        <v>40</v>
      </c>
      <c r="F308" s="87" t="s">
        <v>805</v>
      </c>
      <c r="G308" s="86" t="s">
        <v>524</v>
      </c>
      <c r="H308" s="86" t="s">
        <v>316</v>
      </c>
      <c r="I308" s="86"/>
      <c r="J308" s="86"/>
      <c r="K308" s="86"/>
      <c r="L308" s="88">
        <v>18</v>
      </c>
      <c r="M308" s="88"/>
      <c r="N308" s="89"/>
      <c r="O308" s="90"/>
      <c r="P308" s="86"/>
      <c r="Q308" s="91"/>
      <c r="R308" s="88"/>
      <c r="S308" s="88"/>
      <c r="T308" s="91"/>
      <c r="U308" s="107"/>
      <c r="V308" s="92"/>
    </row>
    <row r="309" spans="1:22" x14ac:dyDescent="0.35">
      <c r="A309" s="93" t="s">
        <v>803</v>
      </c>
      <c r="B309" s="94" t="s">
        <v>40</v>
      </c>
      <c r="C309" s="94" t="s">
        <v>470</v>
      </c>
      <c r="D309" s="94" t="s">
        <v>806</v>
      </c>
      <c r="E309" s="94" t="s">
        <v>40</v>
      </c>
      <c r="F309" s="95" t="s">
        <v>807</v>
      </c>
      <c r="G309" s="94" t="s">
        <v>40</v>
      </c>
      <c r="H309" s="94" t="s">
        <v>316</v>
      </c>
      <c r="I309" s="94"/>
      <c r="J309" s="94"/>
      <c r="K309" s="94"/>
      <c r="L309" s="96">
        <v>0</v>
      </c>
      <c r="M309" s="96"/>
      <c r="N309" s="97"/>
      <c r="O309" s="41"/>
      <c r="P309" s="94"/>
      <c r="Q309" s="26"/>
      <c r="R309" s="96"/>
      <c r="S309" s="96"/>
      <c r="T309" s="26"/>
      <c r="U309" s="98"/>
      <c r="V309" s="27"/>
    </row>
    <row r="310" spans="1:22" x14ac:dyDescent="0.35">
      <c r="A310" s="93" t="s">
        <v>803</v>
      </c>
      <c r="B310" s="94" t="s">
        <v>40</v>
      </c>
      <c r="C310" s="94" t="s">
        <v>470</v>
      </c>
      <c r="D310" s="94" t="s">
        <v>808</v>
      </c>
      <c r="E310" s="94" t="s">
        <v>40</v>
      </c>
      <c r="F310" s="95" t="s">
        <v>809</v>
      </c>
      <c r="G310" s="94" t="s">
        <v>524</v>
      </c>
      <c r="H310" s="94" t="s">
        <v>316</v>
      </c>
      <c r="I310" s="94"/>
      <c r="J310" s="94"/>
      <c r="K310" s="94"/>
      <c r="L310" s="96">
        <v>18</v>
      </c>
      <c r="M310" s="96"/>
      <c r="N310" s="97"/>
      <c r="O310" s="41"/>
      <c r="P310" s="94"/>
      <c r="Q310" s="26"/>
      <c r="R310" s="96"/>
      <c r="S310" s="96"/>
      <c r="T310" s="26"/>
      <c r="U310" s="98"/>
      <c r="V310" s="27"/>
    </row>
    <row r="311" spans="1:22" x14ac:dyDescent="0.35">
      <c r="A311" s="93" t="s">
        <v>803</v>
      </c>
      <c r="B311" s="94" t="s">
        <v>40</v>
      </c>
      <c r="C311" s="94" t="s">
        <v>470</v>
      </c>
      <c r="D311" s="94" t="s">
        <v>810</v>
      </c>
      <c r="E311" s="94" t="s">
        <v>40</v>
      </c>
      <c r="F311" s="95" t="s">
        <v>523</v>
      </c>
      <c r="G311" s="94" t="s">
        <v>524</v>
      </c>
      <c r="H311" s="94" t="s">
        <v>236</v>
      </c>
      <c r="I311" s="94" t="s">
        <v>16</v>
      </c>
      <c r="J311" s="94" t="s">
        <v>218</v>
      </c>
      <c r="K311" s="95" t="s">
        <v>237</v>
      </c>
      <c r="L311" s="96">
        <v>56</v>
      </c>
      <c r="M311" s="96">
        <f>L311*VLOOKUP(I311,dagsoorttabel1,2,FALSE)</f>
        <v>2.6352941176470588</v>
      </c>
      <c r="N311" s="97">
        <f>prodnorm16</f>
        <v>0</v>
      </c>
      <c r="O311" s="41">
        <f>dagwerk16</f>
        <v>0</v>
      </c>
      <c r="P311" s="94" t="s">
        <v>107</v>
      </c>
      <c r="Q311" s="26">
        <f>uurtarief16</f>
        <v>0</v>
      </c>
      <c r="R311" s="96" t="e">
        <f>IF(ISBLANK(N311),0,M311/ROUND(N311,4))</f>
        <v>#DIV/0!</v>
      </c>
      <c r="S311" s="96" t="e">
        <f>IF(ISBLANK(N311),0,R311*ROUND(O311,2))</f>
        <v>#DIV/0!</v>
      </c>
      <c r="T311" s="26" t="e">
        <f>ROUND(Q311,2)*R311</f>
        <v>#DIV/0!</v>
      </c>
      <c r="U311" s="96" t="e">
        <f>R311*dagenperjaar1</f>
        <v>#DIV/0!</v>
      </c>
      <c r="V311" s="27" t="e">
        <f>U311*ROUND(Q311,2)</f>
        <v>#DIV/0!</v>
      </c>
    </row>
    <row r="312" spans="1:22" x14ac:dyDescent="0.35">
      <c r="A312" s="93" t="s">
        <v>803</v>
      </c>
      <c r="B312" s="94" t="s">
        <v>40</v>
      </c>
      <c r="C312" s="94" t="s">
        <v>470</v>
      </c>
      <c r="D312" s="94" t="s">
        <v>811</v>
      </c>
      <c r="E312" s="94" t="s">
        <v>40</v>
      </c>
      <c r="F312" s="95" t="s">
        <v>812</v>
      </c>
      <c r="G312" s="94" t="s">
        <v>524</v>
      </c>
      <c r="H312" s="94" t="s">
        <v>316</v>
      </c>
      <c r="I312" s="94"/>
      <c r="J312" s="94"/>
      <c r="K312" s="94"/>
      <c r="L312" s="96">
        <v>39</v>
      </c>
      <c r="M312" s="96"/>
      <c r="N312" s="97"/>
      <c r="O312" s="41"/>
      <c r="P312" s="94"/>
      <c r="Q312" s="26"/>
      <c r="R312" s="96"/>
      <c r="S312" s="96"/>
      <c r="T312" s="26"/>
      <c r="U312" s="98"/>
      <c r="V312" s="27"/>
    </row>
    <row r="313" spans="1:22" x14ac:dyDescent="0.35">
      <c r="A313" s="93" t="s">
        <v>803</v>
      </c>
      <c r="B313" s="94" t="s">
        <v>40</v>
      </c>
      <c r="C313" s="94" t="s">
        <v>470</v>
      </c>
      <c r="D313" s="94" t="s">
        <v>813</v>
      </c>
      <c r="E313" s="94" t="s">
        <v>40</v>
      </c>
      <c r="F313" s="95" t="s">
        <v>812</v>
      </c>
      <c r="G313" s="94" t="s">
        <v>524</v>
      </c>
      <c r="H313" s="94" t="s">
        <v>316</v>
      </c>
      <c r="I313" s="94"/>
      <c r="J313" s="94"/>
      <c r="K313" s="94"/>
      <c r="L313" s="96">
        <v>24</v>
      </c>
      <c r="M313" s="96"/>
      <c r="N313" s="97"/>
      <c r="O313" s="41"/>
      <c r="P313" s="94"/>
      <c r="Q313" s="26"/>
      <c r="R313" s="96"/>
      <c r="S313" s="96"/>
      <c r="T313" s="26"/>
      <c r="U313" s="98"/>
      <c r="V313" s="27"/>
    </row>
    <row r="314" spans="1:22" x14ac:dyDescent="0.35">
      <c r="A314" s="93" t="s">
        <v>803</v>
      </c>
      <c r="B314" s="94" t="s">
        <v>40</v>
      </c>
      <c r="C314" s="94" t="s">
        <v>470</v>
      </c>
      <c r="D314" s="94" t="s">
        <v>814</v>
      </c>
      <c r="E314" s="94" t="s">
        <v>40</v>
      </c>
      <c r="F314" s="95" t="s">
        <v>540</v>
      </c>
      <c r="G314" s="94" t="s">
        <v>40</v>
      </c>
      <c r="H314" s="94" t="s">
        <v>316</v>
      </c>
      <c r="I314" s="94"/>
      <c r="J314" s="94"/>
      <c r="K314" s="94"/>
      <c r="L314" s="96">
        <v>0</v>
      </c>
      <c r="M314" s="96"/>
      <c r="N314" s="97"/>
      <c r="O314" s="41"/>
      <c r="P314" s="94"/>
      <c r="Q314" s="26"/>
      <c r="R314" s="96"/>
      <c r="S314" s="96"/>
      <c r="T314" s="26"/>
      <c r="U314" s="98"/>
      <c r="V314" s="27"/>
    </row>
    <row r="315" spans="1:22" x14ac:dyDescent="0.35">
      <c r="A315" s="93" t="s">
        <v>803</v>
      </c>
      <c r="B315" s="94" t="s">
        <v>40</v>
      </c>
      <c r="C315" s="94" t="s">
        <v>470</v>
      </c>
      <c r="D315" s="94" t="s">
        <v>815</v>
      </c>
      <c r="E315" s="94" t="s">
        <v>40</v>
      </c>
      <c r="F315" s="95" t="s">
        <v>523</v>
      </c>
      <c r="G315" s="94" t="s">
        <v>524</v>
      </c>
      <c r="H315" s="94" t="s">
        <v>316</v>
      </c>
      <c r="I315" s="94"/>
      <c r="J315" s="94"/>
      <c r="K315" s="94"/>
      <c r="L315" s="96">
        <v>24</v>
      </c>
      <c r="M315" s="96"/>
      <c r="N315" s="97"/>
      <c r="O315" s="41"/>
      <c r="P315" s="94"/>
      <c r="Q315" s="26"/>
      <c r="R315" s="96"/>
      <c r="S315" s="96"/>
      <c r="T315" s="26"/>
      <c r="U315" s="98"/>
      <c r="V315" s="27"/>
    </row>
    <row r="316" spans="1:22" x14ac:dyDescent="0.35">
      <c r="A316" s="93" t="s">
        <v>803</v>
      </c>
      <c r="B316" s="94" t="s">
        <v>40</v>
      </c>
      <c r="C316" s="94" t="s">
        <v>470</v>
      </c>
      <c r="D316" s="94" t="s">
        <v>816</v>
      </c>
      <c r="E316" s="94" t="s">
        <v>40</v>
      </c>
      <c r="F316" s="95" t="s">
        <v>523</v>
      </c>
      <c r="G316" s="94" t="s">
        <v>524</v>
      </c>
      <c r="H316" s="94" t="s">
        <v>236</v>
      </c>
      <c r="I316" s="94" t="s">
        <v>16</v>
      </c>
      <c r="J316" s="94" t="s">
        <v>218</v>
      </c>
      <c r="K316" s="95" t="s">
        <v>237</v>
      </c>
      <c r="L316" s="96">
        <v>24</v>
      </c>
      <c r="M316" s="96">
        <f>L316*VLOOKUP(I316,dagsoorttabel1,2,FALSE)</f>
        <v>1.1294117647058823</v>
      </c>
      <c r="N316" s="97">
        <f>prodnorm16</f>
        <v>0</v>
      </c>
      <c r="O316" s="41">
        <f>dagwerk16</f>
        <v>0</v>
      </c>
      <c r="P316" s="94" t="s">
        <v>107</v>
      </c>
      <c r="Q316" s="26">
        <f>uurtarief16</f>
        <v>0</v>
      </c>
      <c r="R316" s="96" t="e">
        <f>IF(ISBLANK(N316),0,M316/ROUND(N316,4))</f>
        <v>#DIV/0!</v>
      </c>
      <c r="S316" s="96" t="e">
        <f>IF(ISBLANK(N316),0,R316*ROUND(O316,2))</f>
        <v>#DIV/0!</v>
      </c>
      <c r="T316" s="26" t="e">
        <f>ROUND(Q316,2)*R316</f>
        <v>#DIV/0!</v>
      </c>
      <c r="U316" s="96" t="e">
        <f>R316*dagenperjaar1</f>
        <v>#DIV/0!</v>
      </c>
      <c r="V316" s="27" t="e">
        <f>U316*ROUND(Q316,2)</f>
        <v>#DIV/0!</v>
      </c>
    </row>
    <row r="317" spans="1:22" x14ac:dyDescent="0.35">
      <c r="A317" s="93" t="s">
        <v>803</v>
      </c>
      <c r="B317" s="94" t="s">
        <v>40</v>
      </c>
      <c r="C317" s="94" t="s">
        <v>470</v>
      </c>
      <c r="D317" s="94" t="s">
        <v>817</v>
      </c>
      <c r="E317" s="94" t="s">
        <v>40</v>
      </c>
      <c r="F317" s="95" t="s">
        <v>818</v>
      </c>
      <c r="G317" s="94" t="s">
        <v>40</v>
      </c>
      <c r="H317" s="94" t="s">
        <v>316</v>
      </c>
      <c r="I317" s="94"/>
      <c r="J317" s="94"/>
      <c r="K317" s="94"/>
      <c r="L317" s="96">
        <v>0</v>
      </c>
      <c r="M317" s="96"/>
      <c r="N317" s="97"/>
      <c r="O317" s="41"/>
      <c r="P317" s="94"/>
      <c r="Q317" s="26"/>
      <c r="R317" s="96"/>
      <c r="S317" s="96"/>
      <c r="T317" s="26"/>
      <c r="U317" s="98"/>
      <c r="V317" s="27"/>
    </row>
    <row r="318" spans="1:22" x14ac:dyDescent="0.35">
      <c r="A318" s="93" t="s">
        <v>803</v>
      </c>
      <c r="B318" s="94" t="s">
        <v>40</v>
      </c>
      <c r="C318" s="94" t="s">
        <v>470</v>
      </c>
      <c r="D318" s="94" t="s">
        <v>819</v>
      </c>
      <c r="E318" s="94" t="s">
        <v>40</v>
      </c>
      <c r="F318" s="95" t="s">
        <v>523</v>
      </c>
      <c r="G318" s="94" t="s">
        <v>524</v>
      </c>
      <c r="H318" s="94" t="s">
        <v>316</v>
      </c>
      <c r="I318" s="94"/>
      <c r="J318" s="94"/>
      <c r="K318" s="94"/>
      <c r="L318" s="96">
        <v>86</v>
      </c>
      <c r="M318" s="96"/>
      <c r="N318" s="97"/>
      <c r="O318" s="41"/>
      <c r="P318" s="94"/>
      <c r="Q318" s="26"/>
      <c r="R318" s="96"/>
      <c r="S318" s="96"/>
      <c r="T318" s="26"/>
      <c r="U318" s="98"/>
      <c r="V318" s="27"/>
    </row>
    <row r="319" spans="1:22" x14ac:dyDescent="0.35">
      <c r="A319" s="93" t="s">
        <v>803</v>
      </c>
      <c r="B319" s="94" t="s">
        <v>40</v>
      </c>
      <c r="C319" s="94" t="s">
        <v>470</v>
      </c>
      <c r="D319" s="94" t="s">
        <v>820</v>
      </c>
      <c r="E319" s="94" t="s">
        <v>40</v>
      </c>
      <c r="F319" s="95" t="s">
        <v>821</v>
      </c>
      <c r="G319" s="94" t="s">
        <v>321</v>
      </c>
      <c r="H319" s="94" t="s">
        <v>240</v>
      </c>
      <c r="I319" s="94" t="s">
        <v>10</v>
      </c>
      <c r="J319" s="94" t="s">
        <v>218</v>
      </c>
      <c r="K319" s="95" t="s">
        <v>241</v>
      </c>
      <c r="L319" s="96">
        <v>35</v>
      </c>
      <c r="M319" s="96">
        <f>L319*VLOOKUP(I319,dagsoorttabel1,2,FALSE)</f>
        <v>35</v>
      </c>
      <c r="N319" s="97">
        <f>prodnorm20</f>
        <v>0</v>
      </c>
      <c r="O319" s="41">
        <f>dagwerk20</f>
        <v>0</v>
      </c>
      <c r="P319" s="94" t="s">
        <v>107</v>
      </c>
      <c r="Q319" s="26">
        <f>uurtarief20</f>
        <v>0</v>
      </c>
      <c r="R319" s="96" t="e">
        <f>IF(ISBLANK(N319),0,M319/ROUND(N319,4))</f>
        <v>#DIV/0!</v>
      </c>
      <c r="S319" s="96" t="e">
        <f>IF(ISBLANK(N319),0,R319*ROUND(O319,2))</f>
        <v>#DIV/0!</v>
      </c>
      <c r="T319" s="26" t="e">
        <f>ROUND(Q319,2)*R319</f>
        <v>#DIV/0!</v>
      </c>
      <c r="U319" s="96" t="e">
        <f>R319*dagenperjaar1</f>
        <v>#DIV/0!</v>
      </c>
      <c r="V319" s="27" t="e">
        <f>U319*ROUND(Q319,2)</f>
        <v>#DIV/0!</v>
      </c>
    </row>
    <row r="320" spans="1:22" x14ac:dyDescent="0.35">
      <c r="A320" s="93" t="s">
        <v>803</v>
      </c>
      <c r="B320" s="94" t="s">
        <v>40</v>
      </c>
      <c r="C320" s="94" t="s">
        <v>470</v>
      </c>
      <c r="D320" s="94" t="s">
        <v>822</v>
      </c>
      <c r="E320" s="94" t="s">
        <v>40</v>
      </c>
      <c r="F320" s="95" t="s">
        <v>823</v>
      </c>
      <c r="G320" s="94" t="s">
        <v>321</v>
      </c>
      <c r="H320" s="94" t="s">
        <v>240</v>
      </c>
      <c r="I320" s="94" t="s">
        <v>10</v>
      </c>
      <c r="J320" s="94" t="s">
        <v>218</v>
      </c>
      <c r="K320" s="95" t="s">
        <v>241</v>
      </c>
      <c r="L320" s="96">
        <v>35</v>
      </c>
      <c r="M320" s="96">
        <f>L320*VLOOKUP(I320,dagsoorttabel1,2,FALSE)</f>
        <v>35</v>
      </c>
      <c r="N320" s="97">
        <f>prodnorm20</f>
        <v>0</v>
      </c>
      <c r="O320" s="41">
        <f>dagwerk20</f>
        <v>0</v>
      </c>
      <c r="P320" s="94" t="s">
        <v>107</v>
      </c>
      <c r="Q320" s="26">
        <f>uurtarief20</f>
        <v>0</v>
      </c>
      <c r="R320" s="96" t="e">
        <f>IF(ISBLANK(N320),0,M320/ROUND(N320,4))</f>
        <v>#DIV/0!</v>
      </c>
      <c r="S320" s="96" t="e">
        <f>IF(ISBLANK(N320),0,R320*ROUND(O320,2))</f>
        <v>#DIV/0!</v>
      </c>
      <c r="T320" s="26" t="e">
        <f>ROUND(Q320,2)*R320</f>
        <v>#DIV/0!</v>
      </c>
      <c r="U320" s="96" t="e">
        <f>R320*dagenperjaar1</f>
        <v>#DIV/0!</v>
      </c>
      <c r="V320" s="27" t="e">
        <f>U320*ROUND(Q320,2)</f>
        <v>#DIV/0!</v>
      </c>
    </row>
    <row r="321" spans="1:22" x14ac:dyDescent="0.35">
      <c r="A321" s="93" t="s">
        <v>803</v>
      </c>
      <c r="B321" s="94" t="s">
        <v>40</v>
      </c>
      <c r="C321" s="94" t="s">
        <v>470</v>
      </c>
      <c r="D321" s="94" t="s">
        <v>824</v>
      </c>
      <c r="E321" s="94" t="s">
        <v>40</v>
      </c>
      <c r="F321" s="95" t="s">
        <v>825</v>
      </c>
      <c r="G321" s="94" t="s">
        <v>40</v>
      </c>
      <c r="H321" s="94" t="s">
        <v>316</v>
      </c>
      <c r="I321" s="94"/>
      <c r="J321" s="94"/>
      <c r="K321" s="94"/>
      <c r="L321" s="96">
        <v>0</v>
      </c>
      <c r="M321" s="96"/>
      <c r="N321" s="97"/>
      <c r="O321" s="41"/>
      <c r="P321" s="94"/>
      <c r="Q321" s="26"/>
      <c r="R321" s="96"/>
      <c r="S321" s="96"/>
      <c r="T321" s="26"/>
      <c r="U321" s="98"/>
      <c r="V321" s="27"/>
    </row>
    <row r="322" spans="1:22" x14ac:dyDescent="0.35">
      <c r="A322" s="93" t="s">
        <v>803</v>
      </c>
      <c r="B322" s="94" t="s">
        <v>40</v>
      </c>
      <c r="C322" s="94" t="s">
        <v>470</v>
      </c>
      <c r="D322" s="94" t="s">
        <v>826</v>
      </c>
      <c r="E322" s="94" t="s">
        <v>40</v>
      </c>
      <c r="F322" s="95" t="s">
        <v>827</v>
      </c>
      <c r="G322" s="94" t="s">
        <v>828</v>
      </c>
      <c r="H322" s="94" t="s">
        <v>236</v>
      </c>
      <c r="I322" s="94" t="s">
        <v>13</v>
      </c>
      <c r="J322" s="94" t="s">
        <v>218</v>
      </c>
      <c r="K322" s="95" t="s">
        <v>237</v>
      </c>
      <c r="L322" s="96">
        <v>35</v>
      </c>
      <c r="M322" s="96">
        <f>L322*VLOOKUP(I322,dagsoorttabel1,2,FALSE)</f>
        <v>14</v>
      </c>
      <c r="N322" s="97">
        <f>prodnorm17</f>
        <v>0</v>
      </c>
      <c r="O322" s="41">
        <f>dagwerk17</f>
        <v>0</v>
      </c>
      <c r="P322" s="94" t="s">
        <v>107</v>
      </c>
      <c r="Q322" s="26">
        <f>uurtarief17</f>
        <v>0</v>
      </c>
      <c r="R322" s="96" t="e">
        <f>IF(ISBLANK(N322),0,M322/ROUND(N322,4))</f>
        <v>#DIV/0!</v>
      </c>
      <c r="S322" s="96" t="e">
        <f>IF(ISBLANK(N322),0,R322*ROUND(O322,2))</f>
        <v>#DIV/0!</v>
      </c>
      <c r="T322" s="26" t="e">
        <f>ROUND(Q322,2)*R322</f>
        <v>#DIV/0!</v>
      </c>
      <c r="U322" s="96" t="e">
        <f>R322*dagenperjaar1</f>
        <v>#DIV/0!</v>
      </c>
      <c r="V322" s="27" t="e">
        <f>U322*ROUND(Q322,2)</f>
        <v>#DIV/0!</v>
      </c>
    </row>
    <row r="323" spans="1:22" x14ac:dyDescent="0.35">
      <c r="A323" s="93" t="s">
        <v>803</v>
      </c>
      <c r="B323" s="94" t="s">
        <v>40</v>
      </c>
      <c r="C323" s="94" t="s">
        <v>470</v>
      </c>
      <c r="D323" s="94" t="s">
        <v>829</v>
      </c>
      <c r="E323" s="94" t="s">
        <v>40</v>
      </c>
      <c r="F323" s="95" t="s">
        <v>827</v>
      </c>
      <c r="G323" s="94" t="s">
        <v>828</v>
      </c>
      <c r="H323" s="94" t="s">
        <v>236</v>
      </c>
      <c r="I323" s="94" t="s">
        <v>16</v>
      </c>
      <c r="J323" s="94" t="s">
        <v>218</v>
      </c>
      <c r="K323" s="95" t="s">
        <v>237</v>
      </c>
      <c r="L323" s="96">
        <v>70</v>
      </c>
      <c r="M323" s="96">
        <f>L323*VLOOKUP(I323,dagsoorttabel1,2,FALSE)</f>
        <v>3.2941176470588234</v>
      </c>
      <c r="N323" s="97">
        <f>prodnorm16</f>
        <v>0</v>
      </c>
      <c r="O323" s="41">
        <f>dagwerk16</f>
        <v>0</v>
      </c>
      <c r="P323" s="94" t="s">
        <v>107</v>
      </c>
      <c r="Q323" s="26">
        <f>uurtarief16</f>
        <v>0</v>
      </c>
      <c r="R323" s="96" t="e">
        <f>IF(ISBLANK(N323),0,M323/ROUND(N323,4))</f>
        <v>#DIV/0!</v>
      </c>
      <c r="S323" s="96" t="e">
        <f>IF(ISBLANK(N323),0,R323*ROUND(O323,2))</f>
        <v>#DIV/0!</v>
      </c>
      <c r="T323" s="26" t="e">
        <f>ROUND(Q323,2)*R323</f>
        <v>#DIV/0!</v>
      </c>
      <c r="U323" s="96" t="e">
        <f>R323*dagenperjaar1</f>
        <v>#DIV/0!</v>
      </c>
      <c r="V323" s="27" t="e">
        <f>U323*ROUND(Q323,2)</f>
        <v>#DIV/0!</v>
      </c>
    </row>
    <row r="324" spans="1:22" x14ac:dyDescent="0.35">
      <c r="A324" s="93" t="s">
        <v>803</v>
      </c>
      <c r="B324" s="94" t="s">
        <v>40</v>
      </c>
      <c r="C324" s="94" t="s">
        <v>470</v>
      </c>
      <c r="D324" s="94" t="s">
        <v>830</v>
      </c>
      <c r="E324" s="94" t="s">
        <v>40</v>
      </c>
      <c r="F324" s="95" t="s">
        <v>749</v>
      </c>
      <c r="G324" s="94" t="s">
        <v>40</v>
      </c>
      <c r="H324" s="94" t="s">
        <v>316</v>
      </c>
      <c r="I324" s="94"/>
      <c r="J324" s="94"/>
      <c r="K324" s="94"/>
      <c r="L324" s="96">
        <v>0</v>
      </c>
      <c r="M324" s="96"/>
      <c r="N324" s="97"/>
      <c r="O324" s="41"/>
      <c r="P324" s="94"/>
      <c r="Q324" s="26"/>
      <c r="R324" s="96"/>
      <c r="S324" s="96"/>
      <c r="T324" s="26"/>
      <c r="U324" s="98"/>
      <c r="V324" s="27"/>
    </row>
    <row r="325" spans="1:22" x14ac:dyDescent="0.35">
      <c r="A325" s="93" t="s">
        <v>803</v>
      </c>
      <c r="B325" s="94" t="s">
        <v>40</v>
      </c>
      <c r="C325" s="94" t="s">
        <v>470</v>
      </c>
      <c r="D325" s="94" t="s">
        <v>831</v>
      </c>
      <c r="E325" s="94" t="s">
        <v>40</v>
      </c>
      <c r="F325" s="95" t="s">
        <v>749</v>
      </c>
      <c r="G325" s="94" t="s">
        <v>40</v>
      </c>
      <c r="H325" s="94" t="s">
        <v>316</v>
      </c>
      <c r="I325" s="94"/>
      <c r="J325" s="94"/>
      <c r="K325" s="94"/>
      <c r="L325" s="96">
        <v>0</v>
      </c>
      <c r="M325" s="96"/>
      <c r="N325" s="97"/>
      <c r="O325" s="41"/>
      <c r="P325" s="94"/>
      <c r="Q325" s="26"/>
      <c r="R325" s="96"/>
      <c r="S325" s="96"/>
      <c r="T325" s="26"/>
      <c r="U325" s="98"/>
      <c r="V325" s="27"/>
    </row>
    <row r="326" spans="1:22" x14ac:dyDescent="0.35">
      <c r="A326" s="93" t="s">
        <v>803</v>
      </c>
      <c r="B326" s="94" t="s">
        <v>40</v>
      </c>
      <c r="C326" s="94" t="s">
        <v>470</v>
      </c>
      <c r="D326" s="94" t="s">
        <v>832</v>
      </c>
      <c r="E326" s="94" t="s">
        <v>40</v>
      </c>
      <c r="F326" s="95" t="s">
        <v>479</v>
      </c>
      <c r="G326" s="94" t="s">
        <v>40</v>
      </c>
      <c r="H326" s="94" t="s">
        <v>316</v>
      </c>
      <c r="I326" s="94"/>
      <c r="J326" s="94"/>
      <c r="K326" s="94"/>
      <c r="L326" s="96">
        <v>0</v>
      </c>
      <c r="M326" s="96"/>
      <c r="N326" s="97"/>
      <c r="O326" s="41"/>
      <c r="P326" s="94"/>
      <c r="Q326" s="26"/>
      <c r="R326" s="96"/>
      <c r="S326" s="96"/>
      <c r="T326" s="26"/>
      <c r="U326" s="98"/>
      <c r="V326" s="27"/>
    </row>
    <row r="327" spans="1:22" x14ac:dyDescent="0.35">
      <c r="A327" s="93" t="s">
        <v>803</v>
      </c>
      <c r="B327" s="94" t="s">
        <v>40</v>
      </c>
      <c r="C327" s="94" t="s">
        <v>470</v>
      </c>
      <c r="D327" s="94" t="s">
        <v>833</v>
      </c>
      <c r="E327" s="94" t="s">
        <v>40</v>
      </c>
      <c r="F327" s="95" t="s">
        <v>589</v>
      </c>
      <c r="G327" s="94" t="s">
        <v>40</v>
      </c>
      <c r="H327" s="94" t="s">
        <v>316</v>
      </c>
      <c r="I327" s="94"/>
      <c r="J327" s="94"/>
      <c r="K327" s="94"/>
      <c r="L327" s="96">
        <v>0</v>
      </c>
      <c r="M327" s="96"/>
      <c r="N327" s="97"/>
      <c r="O327" s="41"/>
      <c r="P327" s="94"/>
      <c r="Q327" s="26"/>
      <c r="R327" s="96"/>
      <c r="S327" s="96"/>
      <c r="T327" s="26"/>
      <c r="U327" s="98"/>
      <c r="V327" s="27"/>
    </row>
    <row r="328" spans="1:22" x14ac:dyDescent="0.35">
      <c r="A328" s="93" t="s">
        <v>803</v>
      </c>
      <c r="B328" s="94" t="s">
        <v>40</v>
      </c>
      <c r="C328" s="94" t="s">
        <v>470</v>
      </c>
      <c r="D328" s="94" t="s">
        <v>834</v>
      </c>
      <c r="E328" s="94" t="s">
        <v>40</v>
      </c>
      <c r="F328" s="95" t="s">
        <v>835</v>
      </c>
      <c r="G328" s="94" t="s">
        <v>679</v>
      </c>
      <c r="H328" s="94" t="s">
        <v>256</v>
      </c>
      <c r="I328" s="94" t="s">
        <v>14</v>
      </c>
      <c r="J328" s="94" t="s">
        <v>218</v>
      </c>
      <c r="K328" s="95" t="s">
        <v>257</v>
      </c>
      <c r="L328" s="96">
        <v>10</v>
      </c>
      <c r="M328" s="96">
        <f>L328*VLOOKUP(I328,dagsoorttabel1,2,FALSE)</f>
        <v>2</v>
      </c>
      <c r="N328" s="97">
        <f>prodnorm35</f>
        <v>0</v>
      </c>
      <c r="O328" s="41">
        <f>dagwerk35</f>
        <v>0</v>
      </c>
      <c r="P328" s="94" t="s">
        <v>107</v>
      </c>
      <c r="Q328" s="26">
        <f>uurtarief35</f>
        <v>0</v>
      </c>
      <c r="R328" s="96" t="e">
        <f>IF(ISBLANK(N328),0,M328/ROUND(N328,4))</f>
        <v>#DIV/0!</v>
      </c>
      <c r="S328" s="96" t="e">
        <f>IF(ISBLANK(N328),0,R328*ROUND(O328,2))</f>
        <v>#DIV/0!</v>
      </c>
      <c r="T328" s="26" t="e">
        <f>ROUND(Q328,2)*R328</f>
        <v>#DIV/0!</v>
      </c>
      <c r="U328" s="96" t="e">
        <f>R328*dagenperjaar1</f>
        <v>#DIV/0!</v>
      </c>
      <c r="V328" s="27" t="e">
        <f>U328*ROUND(Q328,2)</f>
        <v>#DIV/0!</v>
      </c>
    </row>
    <row r="329" spans="1:22" x14ac:dyDescent="0.35">
      <c r="A329" s="93" t="s">
        <v>803</v>
      </c>
      <c r="B329" s="94" t="s">
        <v>40</v>
      </c>
      <c r="C329" s="94" t="s">
        <v>470</v>
      </c>
      <c r="D329" s="94" t="s">
        <v>836</v>
      </c>
      <c r="E329" s="94" t="s">
        <v>40</v>
      </c>
      <c r="F329" s="95" t="s">
        <v>837</v>
      </c>
      <c r="G329" s="94" t="s">
        <v>40</v>
      </c>
      <c r="H329" s="94" t="s">
        <v>316</v>
      </c>
      <c r="I329" s="94"/>
      <c r="J329" s="94"/>
      <c r="K329" s="94"/>
      <c r="L329" s="96">
        <v>0</v>
      </c>
      <c r="M329" s="96"/>
      <c r="N329" s="97"/>
      <c r="O329" s="41"/>
      <c r="P329" s="94"/>
      <c r="Q329" s="26"/>
      <c r="R329" s="96"/>
      <c r="S329" s="96"/>
      <c r="T329" s="26"/>
      <c r="U329" s="98"/>
      <c r="V329" s="27"/>
    </row>
    <row r="330" spans="1:22" x14ac:dyDescent="0.35">
      <c r="A330" s="93" t="s">
        <v>803</v>
      </c>
      <c r="B330" s="94" t="s">
        <v>40</v>
      </c>
      <c r="C330" s="94" t="s">
        <v>470</v>
      </c>
      <c r="D330" s="94" t="s">
        <v>838</v>
      </c>
      <c r="E330" s="94" t="s">
        <v>40</v>
      </c>
      <c r="F330" s="95" t="s">
        <v>839</v>
      </c>
      <c r="G330" s="94" t="s">
        <v>40</v>
      </c>
      <c r="H330" s="94" t="s">
        <v>316</v>
      </c>
      <c r="I330" s="94"/>
      <c r="J330" s="94"/>
      <c r="K330" s="94"/>
      <c r="L330" s="96">
        <v>0</v>
      </c>
      <c r="M330" s="96"/>
      <c r="N330" s="97"/>
      <c r="O330" s="41"/>
      <c r="P330" s="94"/>
      <c r="Q330" s="26"/>
      <c r="R330" s="96"/>
      <c r="S330" s="96"/>
      <c r="T330" s="26"/>
      <c r="U330" s="98"/>
      <c r="V330" s="27"/>
    </row>
    <row r="331" spans="1:22" x14ac:dyDescent="0.35">
      <c r="A331" s="93" t="s">
        <v>803</v>
      </c>
      <c r="B331" s="94" t="s">
        <v>40</v>
      </c>
      <c r="C331" s="94" t="s">
        <v>470</v>
      </c>
      <c r="D331" s="94" t="s">
        <v>840</v>
      </c>
      <c r="E331" s="94" t="s">
        <v>40</v>
      </c>
      <c r="F331" s="95" t="s">
        <v>325</v>
      </c>
      <c r="G331" s="94" t="s">
        <v>841</v>
      </c>
      <c r="H331" s="94" t="s">
        <v>256</v>
      </c>
      <c r="I331" s="94" t="s">
        <v>10</v>
      </c>
      <c r="J331" s="94" t="s">
        <v>218</v>
      </c>
      <c r="K331" s="95" t="s">
        <v>257</v>
      </c>
      <c r="L331" s="96">
        <v>3.6</v>
      </c>
      <c r="M331" s="96">
        <f>L331*VLOOKUP(I331,dagsoorttabel1,2,FALSE)</f>
        <v>3.6</v>
      </c>
      <c r="N331" s="97">
        <f>prodnorm38</f>
        <v>0</v>
      </c>
      <c r="O331" s="41">
        <f>dagwerk38</f>
        <v>0</v>
      </c>
      <c r="P331" s="94" t="s">
        <v>107</v>
      </c>
      <c r="Q331" s="26">
        <f>uurtarief38</f>
        <v>0</v>
      </c>
      <c r="R331" s="96" t="e">
        <f>IF(ISBLANK(N331),0,M331/ROUND(N331,4))</f>
        <v>#DIV/0!</v>
      </c>
      <c r="S331" s="96" t="e">
        <f>IF(ISBLANK(N331),0,R331*ROUND(O331,2))</f>
        <v>#DIV/0!</v>
      </c>
      <c r="T331" s="26" t="e">
        <f>ROUND(Q331,2)*R331</f>
        <v>#DIV/0!</v>
      </c>
      <c r="U331" s="96" t="e">
        <f>R331*dagenperjaar1</f>
        <v>#DIV/0!</v>
      </c>
      <c r="V331" s="27" t="e">
        <f>U331*ROUND(Q331,2)</f>
        <v>#DIV/0!</v>
      </c>
    </row>
    <row r="332" spans="1:22" x14ac:dyDescent="0.35">
      <c r="A332" s="93" t="s">
        <v>803</v>
      </c>
      <c r="B332" s="94" t="s">
        <v>40</v>
      </c>
      <c r="C332" s="94" t="s">
        <v>470</v>
      </c>
      <c r="D332" s="94" t="s">
        <v>842</v>
      </c>
      <c r="E332" s="94" t="s">
        <v>40</v>
      </c>
      <c r="F332" s="95" t="s">
        <v>540</v>
      </c>
      <c r="G332" s="94" t="s">
        <v>40</v>
      </c>
      <c r="H332" s="94" t="s">
        <v>316</v>
      </c>
      <c r="I332" s="94"/>
      <c r="J332" s="94"/>
      <c r="K332" s="94"/>
      <c r="L332" s="96">
        <v>0</v>
      </c>
      <c r="M332" s="96"/>
      <c r="N332" s="97"/>
      <c r="O332" s="41"/>
      <c r="P332" s="94"/>
      <c r="Q332" s="26"/>
      <c r="R332" s="96"/>
      <c r="S332" s="96"/>
      <c r="T332" s="26"/>
      <c r="U332" s="98"/>
      <c r="V332" s="27"/>
    </row>
    <row r="333" spans="1:22" x14ac:dyDescent="0.35">
      <c r="A333" s="93" t="s">
        <v>803</v>
      </c>
      <c r="B333" s="94" t="s">
        <v>40</v>
      </c>
      <c r="C333" s="94" t="s">
        <v>470</v>
      </c>
      <c r="D333" s="94" t="s">
        <v>843</v>
      </c>
      <c r="E333" s="94" t="s">
        <v>40</v>
      </c>
      <c r="F333" s="95" t="s">
        <v>589</v>
      </c>
      <c r="G333" s="94" t="s">
        <v>40</v>
      </c>
      <c r="H333" s="94" t="s">
        <v>316</v>
      </c>
      <c r="I333" s="94"/>
      <c r="J333" s="94"/>
      <c r="K333" s="94"/>
      <c r="L333" s="96">
        <v>0</v>
      </c>
      <c r="M333" s="96"/>
      <c r="N333" s="97"/>
      <c r="O333" s="41"/>
      <c r="P333" s="94"/>
      <c r="Q333" s="26"/>
      <c r="R333" s="96"/>
      <c r="S333" s="96"/>
      <c r="T333" s="26"/>
      <c r="U333" s="98"/>
      <c r="V333" s="27"/>
    </row>
    <row r="334" spans="1:22" x14ac:dyDescent="0.35">
      <c r="A334" s="93" t="s">
        <v>803</v>
      </c>
      <c r="B334" s="94" t="s">
        <v>40</v>
      </c>
      <c r="C334" s="94" t="s">
        <v>470</v>
      </c>
      <c r="D334" s="94" t="s">
        <v>844</v>
      </c>
      <c r="E334" s="94" t="s">
        <v>40</v>
      </c>
      <c r="F334" s="95" t="s">
        <v>835</v>
      </c>
      <c r="G334" s="94" t="s">
        <v>679</v>
      </c>
      <c r="H334" s="94" t="s">
        <v>256</v>
      </c>
      <c r="I334" s="94" t="s">
        <v>14</v>
      </c>
      <c r="J334" s="94" t="s">
        <v>218</v>
      </c>
      <c r="K334" s="95" t="s">
        <v>257</v>
      </c>
      <c r="L334" s="96">
        <v>6</v>
      </c>
      <c r="M334" s="96">
        <f>L334*VLOOKUP(I334,dagsoorttabel1,2,FALSE)</f>
        <v>1.2000000000000002</v>
      </c>
      <c r="N334" s="97">
        <f>prodnorm35</f>
        <v>0</v>
      </c>
      <c r="O334" s="41">
        <f>dagwerk35</f>
        <v>0</v>
      </c>
      <c r="P334" s="94" t="s">
        <v>107</v>
      </c>
      <c r="Q334" s="26">
        <f>uurtarief35</f>
        <v>0</v>
      </c>
      <c r="R334" s="96" t="e">
        <f>IF(ISBLANK(N334),0,M334/ROUND(N334,4))</f>
        <v>#DIV/0!</v>
      </c>
      <c r="S334" s="96" t="e">
        <f>IF(ISBLANK(N334),0,R334*ROUND(O334,2))</f>
        <v>#DIV/0!</v>
      </c>
      <c r="T334" s="26" t="e">
        <f>ROUND(Q334,2)*R334</f>
        <v>#DIV/0!</v>
      </c>
      <c r="U334" s="96" t="e">
        <f>R334*dagenperjaar1</f>
        <v>#DIV/0!</v>
      </c>
      <c r="V334" s="27" t="e">
        <f>U334*ROUND(Q334,2)</f>
        <v>#DIV/0!</v>
      </c>
    </row>
    <row r="335" spans="1:22" x14ac:dyDescent="0.35">
      <c r="A335" s="93" t="s">
        <v>803</v>
      </c>
      <c r="B335" s="94" t="s">
        <v>40</v>
      </c>
      <c r="C335" s="94" t="s">
        <v>470</v>
      </c>
      <c r="D335" s="94" t="s">
        <v>845</v>
      </c>
      <c r="E335" s="94" t="s">
        <v>40</v>
      </c>
      <c r="F335" s="95" t="s">
        <v>523</v>
      </c>
      <c r="G335" s="94" t="s">
        <v>524</v>
      </c>
      <c r="H335" s="94" t="s">
        <v>316</v>
      </c>
      <c r="I335" s="94"/>
      <c r="J335" s="94"/>
      <c r="K335" s="94"/>
      <c r="L335" s="96">
        <v>22</v>
      </c>
      <c r="M335" s="96"/>
      <c r="N335" s="97"/>
      <c r="O335" s="41"/>
      <c r="P335" s="94"/>
      <c r="Q335" s="26"/>
      <c r="R335" s="96"/>
      <c r="S335" s="96"/>
      <c r="T335" s="26"/>
      <c r="U335" s="98"/>
      <c r="V335" s="27"/>
    </row>
    <row r="336" spans="1:22" x14ac:dyDescent="0.35">
      <c r="A336" s="93" t="s">
        <v>803</v>
      </c>
      <c r="B336" s="94" t="s">
        <v>40</v>
      </c>
      <c r="C336" s="94" t="s">
        <v>470</v>
      </c>
      <c r="D336" s="94" t="s">
        <v>846</v>
      </c>
      <c r="E336" s="94" t="s">
        <v>40</v>
      </c>
      <c r="F336" s="95" t="s">
        <v>847</v>
      </c>
      <c r="G336" s="94" t="s">
        <v>40</v>
      </c>
      <c r="H336" s="94" t="s">
        <v>316</v>
      </c>
      <c r="I336" s="94"/>
      <c r="J336" s="94"/>
      <c r="K336" s="94"/>
      <c r="L336" s="96">
        <v>0</v>
      </c>
      <c r="M336" s="96"/>
      <c r="N336" s="97"/>
      <c r="O336" s="41"/>
      <c r="P336" s="94"/>
      <c r="Q336" s="26"/>
      <c r="R336" s="96"/>
      <c r="S336" s="96"/>
      <c r="T336" s="26"/>
      <c r="U336" s="98"/>
      <c r="V336" s="27"/>
    </row>
    <row r="337" spans="1:22" ht="29" x14ac:dyDescent="0.35">
      <c r="A337" s="93" t="s">
        <v>803</v>
      </c>
      <c r="B337" s="94" t="s">
        <v>40</v>
      </c>
      <c r="C337" s="94" t="s">
        <v>470</v>
      </c>
      <c r="D337" s="94" t="s">
        <v>848</v>
      </c>
      <c r="E337" s="94" t="s">
        <v>40</v>
      </c>
      <c r="F337" s="95" t="s">
        <v>849</v>
      </c>
      <c r="G337" s="94" t="s">
        <v>828</v>
      </c>
      <c r="H337" s="94" t="s">
        <v>236</v>
      </c>
      <c r="I337" s="94" t="s">
        <v>16</v>
      </c>
      <c r="J337" s="94" t="s">
        <v>218</v>
      </c>
      <c r="K337" s="95" t="s">
        <v>237</v>
      </c>
      <c r="L337" s="96">
        <v>32</v>
      </c>
      <c r="M337" s="96">
        <f>L337*VLOOKUP(I337,dagsoorttabel1,2,FALSE)</f>
        <v>1.5058823529411764</v>
      </c>
      <c r="N337" s="97">
        <f>prodnorm16</f>
        <v>0</v>
      </c>
      <c r="O337" s="41">
        <f>dagwerk16</f>
        <v>0</v>
      </c>
      <c r="P337" s="94" t="s">
        <v>107</v>
      </c>
      <c r="Q337" s="26">
        <f>uurtarief16</f>
        <v>0</v>
      </c>
      <c r="R337" s="96" t="e">
        <f>IF(ISBLANK(N337),0,M337/ROUND(N337,4))</f>
        <v>#DIV/0!</v>
      </c>
      <c r="S337" s="96" t="e">
        <f>IF(ISBLANK(N337),0,R337*ROUND(O337,2))</f>
        <v>#DIV/0!</v>
      </c>
      <c r="T337" s="26" t="e">
        <f>ROUND(Q337,2)*R337</f>
        <v>#DIV/0!</v>
      </c>
      <c r="U337" s="96" t="e">
        <f>R337*dagenperjaar1</f>
        <v>#DIV/0!</v>
      </c>
      <c r="V337" s="27" t="e">
        <f>U337*ROUND(Q337,2)</f>
        <v>#DIV/0!</v>
      </c>
    </row>
    <row r="338" spans="1:22" ht="29" x14ac:dyDescent="0.35">
      <c r="A338" s="93" t="s">
        <v>803</v>
      </c>
      <c r="B338" s="94" t="s">
        <v>40</v>
      </c>
      <c r="C338" s="94" t="s">
        <v>470</v>
      </c>
      <c r="D338" s="94" t="s">
        <v>850</v>
      </c>
      <c r="E338" s="94" t="s">
        <v>40</v>
      </c>
      <c r="F338" s="95" t="s">
        <v>849</v>
      </c>
      <c r="G338" s="94" t="s">
        <v>828</v>
      </c>
      <c r="H338" s="94" t="s">
        <v>236</v>
      </c>
      <c r="I338" s="94" t="s">
        <v>16</v>
      </c>
      <c r="J338" s="94" t="s">
        <v>218</v>
      </c>
      <c r="K338" s="95" t="s">
        <v>237</v>
      </c>
      <c r="L338" s="96">
        <v>31</v>
      </c>
      <c r="M338" s="96">
        <f>L338*VLOOKUP(I338,dagsoorttabel1,2,FALSE)</f>
        <v>1.4588235294117646</v>
      </c>
      <c r="N338" s="97">
        <f>prodnorm16</f>
        <v>0</v>
      </c>
      <c r="O338" s="41">
        <f>dagwerk16</f>
        <v>0</v>
      </c>
      <c r="P338" s="94" t="s">
        <v>107</v>
      </c>
      <c r="Q338" s="26">
        <f>uurtarief16</f>
        <v>0</v>
      </c>
      <c r="R338" s="96" t="e">
        <f>IF(ISBLANK(N338),0,M338/ROUND(N338,4))</f>
        <v>#DIV/0!</v>
      </c>
      <c r="S338" s="96" t="e">
        <f>IF(ISBLANK(N338),0,R338*ROUND(O338,2))</f>
        <v>#DIV/0!</v>
      </c>
      <c r="T338" s="26" t="e">
        <f>ROUND(Q338,2)*R338</f>
        <v>#DIV/0!</v>
      </c>
      <c r="U338" s="96" t="e">
        <f>R338*dagenperjaar1</f>
        <v>#DIV/0!</v>
      </c>
      <c r="V338" s="27" t="e">
        <f>U338*ROUND(Q338,2)</f>
        <v>#DIV/0!</v>
      </c>
    </row>
    <row r="339" spans="1:22" ht="29" x14ac:dyDescent="0.35">
      <c r="A339" s="93" t="s">
        <v>803</v>
      </c>
      <c r="B339" s="94" t="s">
        <v>40</v>
      </c>
      <c r="C339" s="94" t="s">
        <v>470</v>
      </c>
      <c r="D339" s="94" t="s">
        <v>851</v>
      </c>
      <c r="E339" s="94" t="s">
        <v>40</v>
      </c>
      <c r="F339" s="95" t="s">
        <v>849</v>
      </c>
      <c r="G339" s="94" t="s">
        <v>828</v>
      </c>
      <c r="H339" s="94" t="s">
        <v>236</v>
      </c>
      <c r="I339" s="94" t="s">
        <v>16</v>
      </c>
      <c r="J339" s="94" t="s">
        <v>218</v>
      </c>
      <c r="K339" s="95" t="s">
        <v>237</v>
      </c>
      <c r="L339" s="96">
        <v>31</v>
      </c>
      <c r="M339" s="96">
        <f>L339*VLOOKUP(I339,dagsoorttabel1,2,FALSE)</f>
        <v>1.4588235294117646</v>
      </c>
      <c r="N339" s="97">
        <f>prodnorm16</f>
        <v>0</v>
      </c>
      <c r="O339" s="41">
        <f>dagwerk16</f>
        <v>0</v>
      </c>
      <c r="P339" s="94" t="s">
        <v>107</v>
      </c>
      <c r="Q339" s="26">
        <f>uurtarief16</f>
        <v>0</v>
      </c>
      <c r="R339" s="96" t="e">
        <f>IF(ISBLANK(N339),0,M339/ROUND(N339,4))</f>
        <v>#DIV/0!</v>
      </c>
      <c r="S339" s="96" t="e">
        <f>IF(ISBLANK(N339),0,R339*ROUND(O339,2))</f>
        <v>#DIV/0!</v>
      </c>
      <c r="T339" s="26" t="e">
        <f>ROUND(Q339,2)*R339</f>
        <v>#DIV/0!</v>
      </c>
      <c r="U339" s="96" t="e">
        <f>R339*dagenperjaar1</f>
        <v>#DIV/0!</v>
      </c>
      <c r="V339" s="27" t="e">
        <f>U339*ROUND(Q339,2)</f>
        <v>#DIV/0!</v>
      </c>
    </row>
    <row r="340" spans="1:22" ht="29" x14ac:dyDescent="0.35">
      <c r="A340" s="93" t="s">
        <v>803</v>
      </c>
      <c r="B340" s="94" t="s">
        <v>40</v>
      </c>
      <c r="C340" s="94" t="s">
        <v>470</v>
      </c>
      <c r="D340" s="94" t="s">
        <v>852</v>
      </c>
      <c r="E340" s="94" t="s">
        <v>40</v>
      </c>
      <c r="F340" s="95" t="s">
        <v>849</v>
      </c>
      <c r="G340" s="94" t="s">
        <v>828</v>
      </c>
      <c r="H340" s="94" t="s">
        <v>236</v>
      </c>
      <c r="I340" s="94" t="s">
        <v>16</v>
      </c>
      <c r="J340" s="94" t="s">
        <v>218</v>
      </c>
      <c r="K340" s="95" t="s">
        <v>237</v>
      </c>
      <c r="L340" s="96">
        <v>32</v>
      </c>
      <c r="M340" s="96">
        <f>L340*VLOOKUP(I340,dagsoorttabel1,2,FALSE)</f>
        <v>1.5058823529411764</v>
      </c>
      <c r="N340" s="97">
        <f>prodnorm16</f>
        <v>0</v>
      </c>
      <c r="O340" s="41">
        <f>dagwerk16</f>
        <v>0</v>
      </c>
      <c r="P340" s="94" t="s">
        <v>107</v>
      </c>
      <c r="Q340" s="26">
        <f>uurtarief16</f>
        <v>0</v>
      </c>
      <c r="R340" s="96" t="e">
        <f>IF(ISBLANK(N340),0,M340/ROUND(N340,4))</f>
        <v>#DIV/0!</v>
      </c>
      <c r="S340" s="96" t="e">
        <f>IF(ISBLANK(N340),0,R340*ROUND(O340,2))</f>
        <v>#DIV/0!</v>
      </c>
      <c r="T340" s="26" t="e">
        <f>ROUND(Q340,2)*R340</f>
        <v>#DIV/0!</v>
      </c>
      <c r="U340" s="96" t="e">
        <f>R340*dagenperjaar1</f>
        <v>#DIV/0!</v>
      </c>
      <c r="V340" s="27" t="e">
        <f>U340*ROUND(Q340,2)</f>
        <v>#DIV/0!</v>
      </c>
    </row>
    <row r="341" spans="1:22" ht="29" x14ac:dyDescent="0.35">
      <c r="A341" s="93" t="s">
        <v>803</v>
      </c>
      <c r="B341" s="94" t="s">
        <v>40</v>
      </c>
      <c r="C341" s="94" t="s">
        <v>470</v>
      </c>
      <c r="D341" s="94" t="s">
        <v>853</v>
      </c>
      <c r="E341" s="94" t="s">
        <v>40</v>
      </c>
      <c r="F341" s="95" t="s">
        <v>849</v>
      </c>
      <c r="G341" s="94" t="s">
        <v>828</v>
      </c>
      <c r="H341" s="94" t="s">
        <v>236</v>
      </c>
      <c r="I341" s="94" t="s">
        <v>16</v>
      </c>
      <c r="J341" s="94" t="s">
        <v>218</v>
      </c>
      <c r="K341" s="95" t="s">
        <v>237</v>
      </c>
      <c r="L341" s="96">
        <v>96</v>
      </c>
      <c r="M341" s="96">
        <f>L341*VLOOKUP(I341,dagsoorttabel1,2,FALSE)</f>
        <v>4.5176470588235293</v>
      </c>
      <c r="N341" s="97">
        <f>prodnorm16</f>
        <v>0</v>
      </c>
      <c r="O341" s="41">
        <f>dagwerk16</f>
        <v>0</v>
      </c>
      <c r="P341" s="94" t="s">
        <v>107</v>
      </c>
      <c r="Q341" s="26">
        <f>uurtarief16</f>
        <v>0</v>
      </c>
      <c r="R341" s="96" t="e">
        <f>IF(ISBLANK(N341),0,M341/ROUND(N341,4))</f>
        <v>#DIV/0!</v>
      </c>
      <c r="S341" s="96" t="e">
        <f>IF(ISBLANK(N341),0,R341*ROUND(O341,2))</f>
        <v>#DIV/0!</v>
      </c>
      <c r="T341" s="26" t="e">
        <f>ROUND(Q341,2)*R341</f>
        <v>#DIV/0!</v>
      </c>
      <c r="U341" s="96" t="e">
        <f>R341*dagenperjaar1</f>
        <v>#DIV/0!</v>
      </c>
      <c r="V341" s="27" t="e">
        <f>U341*ROUND(Q341,2)</f>
        <v>#DIV/0!</v>
      </c>
    </row>
    <row r="342" spans="1:22" x14ac:dyDescent="0.35">
      <c r="A342" s="93" t="s">
        <v>803</v>
      </c>
      <c r="B342" s="94" t="s">
        <v>40</v>
      </c>
      <c r="C342" s="94" t="s">
        <v>470</v>
      </c>
      <c r="D342" s="94" t="s">
        <v>854</v>
      </c>
      <c r="E342" s="94" t="s">
        <v>40</v>
      </c>
      <c r="F342" s="95" t="s">
        <v>749</v>
      </c>
      <c r="G342" s="94" t="s">
        <v>40</v>
      </c>
      <c r="H342" s="94" t="s">
        <v>316</v>
      </c>
      <c r="I342" s="94"/>
      <c r="J342" s="94"/>
      <c r="K342" s="94"/>
      <c r="L342" s="96">
        <v>0</v>
      </c>
      <c r="M342" s="96"/>
      <c r="N342" s="97"/>
      <c r="O342" s="41"/>
      <c r="P342" s="94"/>
      <c r="Q342" s="26"/>
      <c r="R342" s="96"/>
      <c r="S342" s="96"/>
      <c r="T342" s="26"/>
      <c r="U342" s="98"/>
      <c r="V342" s="27"/>
    </row>
    <row r="343" spans="1:22" x14ac:dyDescent="0.35">
      <c r="A343" s="93" t="s">
        <v>803</v>
      </c>
      <c r="B343" s="94" t="s">
        <v>40</v>
      </c>
      <c r="C343" s="94" t="s">
        <v>470</v>
      </c>
      <c r="D343" s="94" t="s">
        <v>855</v>
      </c>
      <c r="E343" s="94" t="s">
        <v>40</v>
      </c>
      <c r="F343" s="95" t="s">
        <v>749</v>
      </c>
      <c r="G343" s="94" t="s">
        <v>40</v>
      </c>
      <c r="H343" s="94" t="s">
        <v>316</v>
      </c>
      <c r="I343" s="94"/>
      <c r="J343" s="94"/>
      <c r="K343" s="94"/>
      <c r="L343" s="96">
        <v>0</v>
      </c>
      <c r="M343" s="96"/>
      <c r="N343" s="97"/>
      <c r="O343" s="41"/>
      <c r="P343" s="94"/>
      <c r="Q343" s="26"/>
      <c r="R343" s="96"/>
      <c r="S343" s="96"/>
      <c r="T343" s="26"/>
      <c r="U343" s="98"/>
      <c r="V343" s="27"/>
    </row>
    <row r="344" spans="1:22" x14ac:dyDescent="0.35">
      <c r="A344" s="93" t="s">
        <v>803</v>
      </c>
      <c r="B344" s="94" t="s">
        <v>40</v>
      </c>
      <c r="C344" s="94" t="s">
        <v>470</v>
      </c>
      <c r="D344" s="94" t="s">
        <v>856</v>
      </c>
      <c r="E344" s="94" t="s">
        <v>40</v>
      </c>
      <c r="F344" s="95" t="s">
        <v>857</v>
      </c>
      <c r="G344" s="94" t="s">
        <v>524</v>
      </c>
      <c r="H344" s="94" t="s">
        <v>217</v>
      </c>
      <c r="I344" s="94" t="s">
        <v>12</v>
      </c>
      <c r="J344" s="94" t="s">
        <v>218</v>
      </c>
      <c r="K344" s="95" t="s">
        <v>219</v>
      </c>
      <c r="L344" s="96">
        <v>31</v>
      </c>
      <c r="M344" s="96">
        <f>L344*VLOOKUP(I344,dagsoorttabel1,2,FALSE)</f>
        <v>18.599999999999998</v>
      </c>
      <c r="N344" s="97">
        <f>prodnorm5</f>
        <v>0</v>
      </c>
      <c r="O344" s="41">
        <f>dagwerk5</f>
        <v>0</v>
      </c>
      <c r="P344" s="94" t="s">
        <v>107</v>
      </c>
      <c r="Q344" s="26">
        <f>uurtarief5</f>
        <v>0</v>
      </c>
      <c r="R344" s="96" t="e">
        <f>IF(ISBLANK(N344),0,M344/ROUND(N344,4))</f>
        <v>#DIV/0!</v>
      </c>
      <c r="S344" s="96" t="e">
        <f>IF(ISBLANK(N344),0,R344*ROUND(O344,2))</f>
        <v>#DIV/0!</v>
      </c>
      <c r="T344" s="26" t="e">
        <f>ROUND(Q344,2)*R344</f>
        <v>#DIV/0!</v>
      </c>
      <c r="U344" s="96" t="e">
        <f>R344*dagenperjaar1</f>
        <v>#DIV/0!</v>
      </c>
      <c r="V344" s="27" t="e">
        <f>U344*ROUND(Q344,2)</f>
        <v>#DIV/0!</v>
      </c>
    </row>
    <row r="345" spans="1:22" x14ac:dyDescent="0.35">
      <c r="A345" s="93" t="s">
        <v>803</v>
      </c>
      <c r="B345" s="94" t="s">
        <v>40</v>
      </c>
      <c r="C345" s="94" t="s">
        <v>470</v>
      </c>
      <c r="D345" s="94" t="s">
        <v>858</v>
      </c>
      <c r="E345" s="94" t="s">
        <v>40</v>
      </c>
      <c r="F345" s="95" t="s">
        <v>749</v>
      </c>
      <c r="G345" s="94" t="s">
        <v>40</v>
      </c>
      <c r="H345" s="94" t="s">
        <v>316</v>
      </c>
      <c r="I345" s="94"/>
      <c r="J345" s="94"/>
      <c r="K345" s="94"/>
      <c r="L345" s="96">
        <v>0</v>
      </c>
      <c r="M345" s="96"/>
      <c r="N345" s="97"/>
      <c r="O345" s="41"/>
      <c r="P345" s="94"/>
      <c r="Q345" s="26"/>
      <c r="R345" s="96"/>
      <c r="S345" s="96"/>
      <c r="T345" s="26"/>
      <c r="U345" s="98"/>
      <c r="V345" s="27"/>
    </row>
    <row r="346" spans="1:22" x14ac:dyDescent="0.35">
      <c r="A346" s="93" t="s">
        <v>803</v>
      </c>
      <c r="B346" s="94" t="s">
        <v>40</v>
      </c>
      <c r="C346" s="94" t="s">
        <v>470</v>
      </c>
      <c r="D346" s="94" t="s">
        <v>859</v>
      </c>
      <c r="E346" s="94" t="s">
        <v>40</v>
      </c>
      <c r="F346" s="95" t="s">
        <v>749</v>
      </c>
      <c r="G346" s="94" t="s">
        <v>40</v>
      </c>
      <c r="H346" s="94" t="s">
        <v>316</v>
      </c>
      <c r="I346" s="94"/>
      <c r="J346" s="94"/>
      <c r="K346" s="94"/>
      <c r="L346" s="96">
        <v>0</v>
      </c>
      <c r="M346" s="96"/>
      <c r="N346" s="97"/>
      <c r="O346" s="41"/>
      <c r="P346" s="94"/>
      <c r="Q346" s="26"/>
      <c r="R346" s="96"/>
      <c r="S346" s="96"/>
      <c r="T346" s="26"/>
      <c r="U346" s="98"/>
      <c r="V346" s="27"/>
    </row>
    <row r="347" spans="1:22" x14ac:dyDescent="0.35">
      <c r="A347" s="93" t="s">
        <v>803</v>
      </c>
      <c r="B347" s="94" t="s">
        <v>40</v>
      </c>
      <c r="C347" s="94" t="s">
        <v>470</v>
      </c>
      <c r="D347" s="94" t="s">
        <v>860</v>
      </c>
      <c r="E347" s="94" t="s">
        <v>40</v>
      </c>
      <c r="F347" s="95" t="s">
        <v>857</v>
      </c>
      <c r="G347" s="94" t="s">
        <v>524</v>
      </c>
      <c r="H347" s="94" t="s">
        <v>217</v>
      </c>
      <c r="I347" s="94" t="s">
        <v>12</v>
      </c>
      <c r="J347" s="94" t="s">
        <v>218</v>
      </c>
      <c r="K347" s="95" t="s">
        <v>219</v>
      </c>
      <c r="L347" s="96">
        <v>31</v>
      </c>
      <c r="M347" s="96">
        <f>L347*VLOOKUP(I347,dagsoorttabel1,2,FALSE)</f>
        <v>18.599999999999998</v>
      </c>
      <c r="N347" s="97">
        <f>prodnorm5</f>
        <v>0</v>
      </c>
      <c r="O347" s="41">
        <f>dagwerk5</f>
        <v>0</v>
      </c>
      <c r="P347" s="94" t="s">
        <v>107</v>
      </c>
      <c r="Q347" s="26">
        <f>uurtarief5</f>
        <v>0</v>
      </c>
      <c r="R347" s="96" t="e">
        <f>IF(ISBLANK(N347),0,M347/ROUND(N347,4))</f>
        <v>#DIV/0!</v>
      </c>
      <c r="S347" s="96" t="e">
        <f>IF(ISBLANK(N347),0,R347*ROUND(O347,2))</f>
        <v>#DIV/0!</v>
      </c>
      <c r="T347" s="26" t="e">
        <f>ROUND(Q347,2)*R347</f>
        <v>#DIV/0!</v>
      </c>
      <c r="U347" s="96" t="e">
        <f>R347*dagenperjaar1</f>
        <v>#DIV/0!</v>
      </c>
      <c r="V347" s="27" t="e">
        <f>U347*ROUND(Q347,2)</f>
        <v>#DIV/0!</v>
      </c>
    </row>
    <row r="348" spans="1:22" x14ac:dyDescent="0.35">
      <c r="A348" s="93" t="s">
        <v>803</v>
      </c>
      <c r="B348" s="94" t="s">
        <v>40</v>
      </c>
      <c r="C348" s="94" t="s">
        <v>470</v>
      </c>
      <c r="D348" s="94" t="s">
        <v>861</v>
      </c>
      <c r="E348" s="94" t="s">
        <v>40</v>
      </c>
      <c r="F348" s="95" t="s">
        <v>862</v>
      </c>
      <c r="G348" s="94" t="s">
        <v>483</v>
      </c>
      <c r="H348" s="94" t="s">
        <v>316</v>
      </c>
      <c r="I348" s="94"/>
      <c r="J348" s="94"/>
      <c r="K348" s="94"/>
      <c r="L348" s="96">
        <v>66</v>
      </c>
      <c r="M348" s="96"/>
      <c r="N348" s="97"/>
      <c r="O348" s="41"/>
      <c r="P348" s="94"/>
      <c r="Q348" s="26"/>
      <c r="R348" s="96"/>
      <c r="S348" s="96"/>
      <c r="T348" s="26"/>
      <c r="U348" s="98"/>
      <c r="V348" s="27"/>
    </row>
    <row r="349" spans="1:22" x14ac:dyDescent="0.35">
      <c r="A349" s="93" t="s">
        <v>803</v>
      </c>
      <c r="B349" s="94" t="s">
        <v>40</v>
      </c>
      <c r="C349" s="94" t="s">
        <v>470</v>
      </c>
      <c r="D349" s="94" t="s">
        <v>863</v>
      </c>
      <c r="E349" s="94" t="s">
        <v>40</v>
      </c>
      <c r="F349" s="95" t="s">
        <v>523</v>
      </c>
      <c r="G349" s="94" t="s">
        <v>483</v>
      </c>
      <c r="H349" s="94" t="s">
        <v>236</v>
      </c>
      <c r="I349" s="94" t="s">
        <v>16</v>
      </c>
      <c r="J349" s="94" t="s">
        <v>218</v>
      </c>
      <c r="K349" s="95" t="s">
        <v>237</v>
      </c>
      <c r="L349" s="96">
        <v>18</v>
      </c>
      <c r="M349" s="96">
        <f>L349*VLOOKUP(I349,dagsoorttabel1,2,FALSE)</f>
        <v>0.84705882352941175</v>
      </c>
      <c r="N349" s="97">
        <f>prodnorm16</f>
        <v>0</v>
      </c>
      <c r="O349" s="41">
        <f>dagwerk16</f>
        <v>0</v>
      </c>
      <c r="P349" s="94" t="s">
        <v>107</v>
      </c>
      <c r="Q349" s="26">
        <f>uurtarief16</f>
        <v>0</v>
      </c>
      <c r="R349" s="96" t="e">
        <f>IF(ISBLANK(N349),0,M349/ROUND(N349,4))</f>
        <v>#DIV/0!</v>
      </c>
      <c r="S349" s="96" t="e">
        <f>IF(ISBLANK(N349),0,R349*ROUND(O349,2))</f>
        <v>#DIV/0!</v>
      </c>
      <c r="T349" s="26" t="e">
        <f>ROUND(Q349,2)*R349</f>
        <v>#DIV/0!</v>
      </c>
      <c r="U349" s="96" t="e">
        <f>R349*dagenperjaar1</f>
        <v>#DIV/0!</v>
      </c>
      <c r="V349" s="27" t="e">
        <f>U349*ROUND(Q349,2)</f>
        <v>#DIV/0!</v>
      </c>
    </row>
    <row r="350" spans="1:22" x14ac:dyDescent="0.35">
      <c r="A350" s="93" t="s">
        <v>803</v>
      </c>
      <c r="B350" s="94" t="s">
        <v>40</v>
      </c>
      <c r="C350" s="94" t="s">
        <v>470</v>
      </c>
      <c r="D350" s="94" t="s">
        <v>864</v>
      </c>
      <c r="E350" s="94" t="s">
        <v>40</v>
      </c>
      <c r="F350" s="95" t="s">
        <v>825</v>
      </c>
      <c r="G350" s="94" t="s">
        <v>40</v>
      </c>
      <c r="H350" s="94" t="s">
        <v>316</v>
      </c>
      <c r="I350" s="94"/>
      <c r="J350" s="94"/>
      <c r="K350" s="94"/>
      <c r="L350" s="96">
        <v>0</v>
      </c>
      <c r="M350" s="96"/>
      <c r="N350" s="97"/>
      <c r="O350" s="41"/>
      <c r="P350" s="94"/>
      <c r="Q350" s="26"/>
      <c r="R350" s="96"/>
      <c r="S350" s="96"/>
      <c r="T350" s="26"/>
      <c r="U350" s="98"/>
      <c r="V350" s="27"/>
    </row>
    <row r="351" spans="1:22" x14ac:dyDescent="0.35">
      <c r="A351" s="93" t="s">
        <v>803</v>
      </c>
      <c r="B351" s="94" t="s">
        <v>40</v>
      </c>
      <c r="C351" s="94" t="s">
        <v>470</v>
      </c>
      <c r="D351" s="94" t="s">
        <v>865</v>
      </c>
      <c r="E351" s="94" t="s">
        <v>40</v>
      </c>
      <c r="F351" s="95" t="s">
        <v>825</v>
      </c>
      <c r="G351" s="94" t="s">
        <v>40</v>
      </c>
      <c r="H351" s="94" t="s">
        <v>316</v>
      </c>
      <c r="I351" s="94"/>
      <c r="J351" s="94"/>
      <c r="K351" s="94"/>
      <c r="L351" s="96">
        <v>0</v>
      </c>
      <c r="M351" s="96"/>
      <c r="N351" s="97"/>
      <c r="O351" s="41"/>
      <c r="P351" s="94"/>
      <c r="Q351" s="26"/>
      <c r="R351" s="96"/>
      <c r="S351" s="96"/>
      <c r="T351" s="26"/>
      <c r="U351" s="98"/>
      <c r="V351" s="27"/>
    </row>
    <row r="352" spans="1:22" x14ac:dyDescent="0.35">
      <c r="A352" s="93" t="s">
        <v>803</v>
      </c>
      <c r="B352" s="94" t="s">
        <v>40</v>
      </c>
      <c r="C352" s="94" t="s">
        <v>470</v>
      </c>
      <c r="D352" s="94" t="s">
        <v>866</v>
      </c>
      <c r="E352" s="94" t="s">
        <v>40</v>
      </c>
      <c r="F352" s="95" t="s">
        <v>749</v>
      </c>
      <c r="G352" s="94" t="s">
        <v>40</v>
      </c>
      <c r="H352" s="94" t="s">
        <v>316</v>
      </c>
      <c r="I352" s="94"/>
      <c r="J352" s="94"/>
      <c r="K352" s="94"/>
      <c r="L352" s="96">
        <v>0</v>
      </c>
      <c r="M352" s="96"/>
      <c r="N352" s="97"/>
      <c r="O352" s="41"/>
      <c r="P352" s="94"/>
      <c r="Q352" s="26"/>
      <c r="R352" s="96"/>
      <c r="S352" s="96"/>
      <c r="T352" s="26"/>
      <c r="U352" s="98"/>
      <c r="V352" s="27"/>
    </row>
    <row r="353" spans="1:22" x14ac:dyDescent="0.35">
      <c r="A353" s="93" t="s">
        <v>803</v>
      </c>
      <c r="B353" s="94" t="s">
        <v>40</v>
      </c>
      <c r="C353" s="94" t="s">
        <v>470</v>
      </c>
      <c r="D353" s="94" t="s">
        <v>867</v>
      </c>
      <c r="E353" s="94" t="s">
        <v>40</v>
      </c>
      <c r="F353" s="95" t="s">
        <v>749</v>
      </c>
      <c r="G353" s="94" t="s">
        <v>40</v>
      </c>
      <c r="H353" s="94" t="s">
        <v>316</v>
      </c>
      <c r="I353" s="94"/>
      <c r="J353" s="94"/>
      <c r="K353" s="94"/>
      <c r="L353" s="96">
        <v>0</v>
      </c>
      <c r="M353" s="96"/>
      <c r="N353" s="97"/>
      <c r="O353" s="41"/>
      <c r="P353" s="94"/>
      <c r="Q353" s="26"/>
      <c r="R353" s="96"/>
      <c r="S353" s="96"/>
      <c r="T353" s="26"/>
      <c r="U353" s="98"/>
      <c r="V353" s="27"/>
    </row>
    <row r="354" spans="1:22" x14ac:dyDescent="0.35">
      <c r="A354" s="93" t="s">
        <v>803</v>
      </c>
      <c r="B354" s="94" t="s">
        <v>40</v>
      </c>
      <c r="C354" s="94" t="s">
        <v>470</v>
      </c>
      <c r="D354" s="94" t="s">
        <v>868</v>
      </c>
      <c r="E354" s="94" t="s">
        <v>40</v>
      </c>
      <c r="F354" s="95" t="s">
        <v>825</v>
      </c>
      <c r="G354" s="94" t="s">
        <v>40</v>
      </c>
      <c r="H354" s="94" t="s">
        <v>316</v>
      </c>
      <c r="I354" s="94"/>
      <c r="J354" s="94"/>
      <c r="K354" s="94"/>
      <c r="L354" s="96">
        <v>0</v>
      </c>
      <c r="M354" s="96"/>
      <c r="N354" s="97"/>
      <c r="O354" s="41"/>
      <c r="P354" s="94"/>
      <c r="Q354" s="26"/>
      <c r="R354" s="96"/>
      <c r="S354" s="96"/>
      <c r="T354" s="26"/>
      <c r="U354" s="98"/>
      <c r="V354" s="27"/>
    </row>
    <row r="355" spans="1:22" ht="29" x14ac:dyDescent="0.35">
      <c r="A355" s="93" t="s">
        <v>803</v>
      </c>
      <c r="B355" s="94" t="s">
        <v>40</v>
      </c>
      <c r="C355" s="94" t="s">
        <v>470</v>
      </c>
      <c r="D355" s="94" t="s">
        <v>869</v>
      </c>
      <c r="E355" s="94" t="s">
        <v>40</v>
      </c>
      <c r="F355" s="95" t="s">
        <v>870</v>
      </c>
      <c r="G355" s="94" t="s">
        <v>679</v>
      </c>
      <c r="H355" s="94" t="s">
        <v>256</v>
      </c>
      <c r="I355" s="94" t="s">
        <v>14</v>
      </c>
      <c r="J355" s="94" t="s">
        <v>218</v>
      </c>
      <c r="K355" s="95" t="s">
        <v>257</v>
      </c>
      <c r="L355" s="96">
        <v>4</v>
      </c>
      <c r="M355" s="96">
        <f>L355*VLOOKUP(I355,dagsoorttabel1,2,FALSE)</f>
        <v>0.8</v>
      </c>
      <c r="N355" s="97">
        <f>prodnorm35</f>
        <v>0</v>
      </c>
      <c r="O355" s="41">
        <f>dagwerk35</f>
        <v>0</v>
      </c>
      <c r="P355" s="94" t="s">
        <v>107</v>
      </c>
      <c r="Q355" s="26">
        <f>uurtarief35</f>
        <v>0</v>
      </c>
      <c r="R355" s="96" t="e">
        <f>IF(ISBLANK(N355),0,M355/ROUND(N355,4))</f>
        <v>#DIV/0!</v>
      </c>
      <c r="S355" s="96" t="e">
        <f>IF(ISBLANK(N355),0,R355*ROUND(O355,2))</f>
        <v>#DIV/0!</v>
      </c>
      <c r="T355" s="26" t="e">
        <f>ROUND(Q355,2)*R355</f>
        <v>#DIV/0!</v>
      </c>
      <c r="U355" s="96" t="e">
        <f>R355*dagenperjaar1</f>
        <v>#DIV/0!</v>
      </c>
      <c r="V355" s="27" t="e">
        <f>U355*ROUND(Q355,2)</f>
        <v>#DIV/0!</v>
      </c>
    </row>
    <row r="356" spans="1:22" x14ac:dyDescent="0.35">
      <c r="A356" s="93" t="s">
        <v>803</v>
      </c>
      <c r="B356" s="94" t="s">
        <v>40</v>
      </c>
      <c r="C356" s="94" t="s">
        <v>470</v>
      </c>
      <c r="D356" s="94" t="s">
        <v>871</v>
      </c>
      <c r="E356" s="94" t="s">
        <v>40</v>
      </c>
      <c r="F356" s="95" t="s">
        <v>411</v>
      </c>
      <c r="G356" s="94" t="s">
        <v>483</v>
      </c>
      <c r="H356" s="94" t="s">
        <v>246</v>
      </c>
      <c r="I356" s="94" t="s">
        <v>13</v>
      </c>
      <c r="J356" s="94" t="s">
        <v>218</v>
      </c>
      <c r="K356" s="95" t="s">
        <v>247</v>
      </c>
      <c r="L356" s="96">
        <v>628</v>
      </c>
      <c r="M356" s="96">
        <f>L356*VLOOKUP(I356,dagsoorttabel1,2,FALSE)</f>
        <v>251.20000000000002</v>
      </c>
      <c r="N356" s="97">
        <f>prodnorm25</f>
        <v>0</v>
      </c>
      <c r="O356" s="41">
        <f>dagwerk25</f>
        <v>0</v>
      </c>
      <c r="P356" s="94" t="s">
        <v>107</v>
      </c>
      <c r="Q356" s="26">
        <f>uurtarief25</f>
        <v>0</v>
      </c>
      <c r="R356" s="96" t="e">
        <f>IF(ISBLANK(N356),0,M356/ROUND(N356,4))</f>
        <v>#DIV/0!</v>
      </c>
      <c r="S356" s="96" t="e">
        <f>IF(ISBLANK(N356),0,R356*ROUND(O356,2))</f>
        <v>#DIV/0!</v>
      </c>
      <c r="T356" s="26" t="e">
        <f>ROUND(Q356,2)*R356</f>
        <v>#DIV/0!</v>
      </c>
      <c r="U356" s="96" t="e">
        <f>R356*dagenperjaar1</f>
        <v>#DIV/0!</v>
      </c>
      <c r="V356" s="27" t="e">
        <f>U356*ROUND(Q356,2)</f>
        <v>#DIV/0!</v>
      </c>
    </row>
    <row r="357" spans="1:22" x14ac:dyDescent="0.35">
      <c r="A357" s="93" t="s">
        <v>803</v>
      </c>
      <c r="B357" s="94" t="s">
        <v>40</v>
      </c>
      <c r="C357" s="94" t="s">
        <v>470</v>
      </c>
      <c r="D357" s="94" t="s">
        <v>872</v>
      </c>
      <c r="E357" s="94" t="s">
        <v>40</v>
      </c>
      <c r="F357" s="95" t="s">
        <v>411</v>
      </c>
      <c r="G357" s="94" t="s">
        <v>483</v>
      </c>
      <c r="H357" s="94" t="s">
        <v>246</v>
      </c>
      <c r="I357" s="94" t="s">
        <v>13</v>
      </c>
      <c r="J357" s="94" t="s">
        <v>218</v>
      </c>
      <c r="K357" s="95" t="s">
        <v>247</v>
      </c>
      <c r="L357" s="96">
        <v>31</v>
      </c>
      <c r="M357" s="96">
        <f>L357*VLOOKUP(I357,dagsoorttabel1,2,FALSE)</f>
        <v>12.4</v>
      </c>
      <c r="N357" s="97">
        <f>prodnorm25</f>
        <v>0</v>
      </c>
      <c r="O357" s="41">
        <f>dagwerk25</f>
        <v>0</v>
      </c>
      <c r="P357" s="94" t="s">
        <v>107</v>
      </c>
      <c r="Q357" s="26">
        <f>uurtarief25</f>
        <v>0</v>
      </c>
      <c r="R357" s="96" t="e">
        <f>IF(ISBLANK(N357),0,M357/ROUND(N357,4))</f>
        <v>#DIV/0!</v>
      </c>
      <c r="S357" s="96" t="e">
        <f>IF(ISBLANK(N357),0,R357*ROUND(O357,2))</f>
        <v>#DIV/0!</v>
      </c>
      <c r="T357" s="26" t="e">
        <f>ROUND(Q357,2)*R357</f>
        <v>#DIV/0!</v>
      </c>
      <c r="U357" s="96" t="e">
        <f>R357*dagenperjaar1</f>
        <v>#DIV/0!</v>
      </c>
      <c r="V357" s="27" t="e">
        <f>U357*ROUND(Q357,2)</f>
        <v>#DIV/0!</v>
      </c>
    </row>
    <row r="358" spans="1:22" x14ac:dyDescent="0.35">
      <c r="A358" s="93" t="s">
        <v>803</v>
      </c>
      <c r="B358" s="94" t="s">
        <v>40</v>
      </c>
      <c r="C358" s="94" t="s">
        <v>470</v>
      </c>
      <c r="D358" s="94" t="s">
        <v>873</v>
      </c>
      <c r="E358" s="94" t="s">
        <v>40</v>
      </c>
      <c r="F358" s="95" t="s">
        <v>424</v>
      </c>
      <c r="G358" s="94" t="s">
        <v>40</v>
      </c>
      <c r="H358" s="94" t="s">
        <v>316</v>
      </c>
      <c r="I358" s="94"/>
      <c r="J358" s="94"/>
      <c r="K358" s="94"/>
      <c r="L358" s="96">
        <v>0</v>
      </c>
      <c r="M358" s="96"/>
      <c r="N358" s="97"/>
      <c r="O358" s="41"/>
      <c r="P358" s="94"/>
      <c r="Q358" s="26"/>
      <c r="R358" s="96"/>
      <c r="S358" s="96"/>
      <c r="T358" s="26"/>
      <c r="U358" s="98"/>
      <c r="V358" s="27"/>
    </row>
    <row r="359" spans="1:22" x14ac:dyDescent="0.35">
      <c r="A359" s="93" t="s">
        <v>803</v>
      </c>
      <c r="B359" s="94" t="s">
        <v>40</v>
      </c>
      <c r="C359" s="94" t="s">
        <v>470</v>
      </c>
      <c r="D359" s="94" t="s">
        <v>874</v>
      </c>
      <c r="E359" s="94" t="s">
        <v>40</v>
      </c>
      <c r="F359" s="95" t="s">
        <v>875</v>
      </c>
      <c r="G359" s="94" t="s">
        <v>321</v>
      </c>
      <c r="H359" s="94" t="s">
        <v>238</v>
      </c>
      <c r="I359" s="94" t="s">
        <v>10</v>
      </c>
      <c r="J359" s="94" t="s">
        <v>218</v>
      </c>
      <c r="K359" s="95" t="s">
        <v>239</v>
      </c>
      <c r="L359" s="96">
        <v>12</v>
      </c>
      <c r="M359" s="96">
        <f>L359*VLOOKUP(I359,dagsoorttabel1,2,FALSE)</f>
        <v>12</v>
      </c>
      <c r="N359" s="97">
        <f>prodnorm18</f>
        <v>0</v>
      </c>
      <c r="O359" s="41">
        <f>dagwerk18</f>
        <v>0</v>
      </c>
      <c r="P359" s="94" t="s">
        <v>107</v>
      </c>
      <c r="Q359" s="26">
        <f>uurtarief18</f>
        <v>0</v>
      </c>
      <c r="R359" s="96" t="e">
        <f>IF(ISBLANK(N359),0,M359/ROUND(N359,4))</f>
        <v>#DIV/0!</v>
      </c>
      <c r="S359" s="96" t="e">
        <f>IF(ISBLANK(N359),0,R359*ROUND(O359,2))</f>
        <v>#DIV/0!</v>
      </c>
      <c r="T359" s="26" t="e">
        <f>ROUND(Q359,2)*R359</f>
        <v>#DIV/0!</v>
      </c>
      <c r="U359" s="96" t="e">
        <f>R359*dagenperjaar1</f>
        <v>#DIV/0!</v>
      </c>
      <c r="V359" s="27" t="e">
        <f>U359*ROUND(Q359,2)</f>
        <v>#DIV/0!</v>
      </c>
    </row>
    <row r="360" spans="1:22" x14ac:dyDescent="0.35">
      <c r="A360" s="93" t="s">
        <v>803</v>
      </c>
      <c r="B360" s="94" t="s">
        <v>40</v>
      </c>
      <c r="C360" s="94" t="s">
        <v>470</v>
      </c>
      <c r="D360" s="94" t="s">
        <v>876</v>
      </c>
      <c r="E360" s="94" t="s">
        <v>40</v>
      </c>
      <c r="F360" s="95" t="s">
        <v>875</v>
      </c>
      <c r="G360" s="94" t="s">
        <v>321</v>
      </c>
      <c r="H360" s="94" t="s">
        <v>238</v>
      </c>
      <c r="I360" s="94" t="s">
        <v>10</v>
      </c>
      <c r="J360" s="94" t="s">
        <v>218</v>
      </c>
      <c r="K360" s="95" t="s">
        <v>239</v>
      </c>
      <c r="L360" s="96">
        <v>12</v>
      </c>
      <c r="M360" s="96">
        <f>L360*VLOOKUP(I360,dagsoorttabel1,2,FALSE)</f>
        <v>12</v>
      </c>
      <c r="N360" s="97">
        <f>prodnorm18</f>
        <v>0</v>
      </c>
      <c r="O360" s="41">
        <f>dagwerk18</f>
        <v>0</v>
      </c>
      <c r="P360" s="94" t="s">
        <v>107</v>
      </c>
      <c r="Q360" s="26">
        <f>uurtarief18</f>
        <v>0</v>
      </c>
      <c r="R360" s="96" t="e">
        <f>IF(ISBLANK(N360),0,M360/ROUND(N360,4))</f>
        <v>#DIV/0!</v>
      </c>
      <c r="S360" s="96" t="e">
        <f>IF(ISBLANK(N360),0,R360*ROUND(O360,2))</f>
        <v>#DIV/0!</v>
      </c>
      <c r="T360" s="26" t="e">
        <f>ROUND(Q360,2)*R360</f>
        <v>#DIV/0!</v>
      </c>
      <c r="U360" s="96" t="e">
        <f>R360*dagenperjaar1</f>
        <v>#DIV/0!</v>
      </c>
      <c r="V360" s="27" t="e">
        <f>U360*ROUND(Q360,2)</f>
        <v>#DIV/0!</v>
      </c>
    </row>
    <row r="361" spans="1:22" x14ac:dyDescent="0.35">
      <c r="A361" s="93" t="s">
        <v>803</v>
      </c>
      <c r="B361" s="94" t="s">
        <v>40</v>
      </c>
      <c r="C361" s="94" t="s">
        <v>309</v>
      </c>
      <c r="D361" s="94" t="s">
        <v>877</v>
      </c>
      <c r="E361" s="94" t="s">
        <v>40</v>
      </c>
      <c r="F361" s="95" t="s">
        <v>878</v>
      </c>
      <c r="G361" s="94" t="s">
        <v>879</v>
      </c>
      <c r="H361" s="94" t="s">
        <v>252</v>
      </c>
      <c r="I361" s="94" t="s">
        <v>10</v>
      </c>
      <c r="J361" s="94" t="s">
        <v>218</v>
      </c>
      <c r="K361" s="95" t="s">
        <v>253</v>
      </c>
      <c r="L361" s="96">
        <v>55</v>
      </c>
      <c r="M361" s="96">
        <f>L361*VLOOKUP(I361,dagsoorttabel1,2,FALSE)</f>
        <v>55</v>
      </c>
      <c r="N361" s="97">
        <f>prodnorm29</f>
        <v>0</v>
      </c>
      <c r="O361" s="41">
        <f>dagwerk29</f>
        <v>0</v>
      </c>
      <c r="P361" s="94" t="s">
        <v>107</v>
      </c>
      <c r="Q361" s="26">
        <f>uurtarief29</f>
        <v>0</v>
      </c>
      <c r="R361" s="96" t="e">
        <f>IF(ISBLANK(N361),0,M361/ROUND(N361,4))</f>
        <v>#DIV/0!</v>
      </c>
      <c r="S361" s="96" t="e">
        <f>IF(ISBLANK(N361),0,R361*ROUND(O361,2))</f>
        <v>#DIV/0!</v>
      </c>
      <c r="T361" s="26" t="e">
        <f>ROUND(Q361,2)*R361</f>
        <v>#DIV/0!</v>
      </c>
      <c r="U361" s="96" t="e">
        <f>R361*dagenperjaar1</f>
        <v>#DIV/0!</v>
      </c>
      <c r="V361" s="27" t="e">
        <f>U361*ROUND(Q361,2)</f>
        <v>#DIV/0!</v>
      </c>
    </row>
    <row r="362" spans="1:22" x14ac:dyDescent="0.35">
      <c r="A362" s="93" t="s">
        <v>803</v>
      </c>
      <c r="B362" s="94" t="s">
        <v>40</v>
      </c>
      <c r="C362" s="94" t="s">
        <v>309</v>
      </c>
      <c r="D362" s="94" t="s">
        <v>880</v>
      </c>
      <c r="E362" s="94" t="s">
        <v>40</v>
      </c>
      <c r="F362" s="95" t="s">
        <v>881</v>
      </c>
      <c r="G362" s="94" t="s">
        <v>535</v>
      </c>
      <c r="H362" s="94" t="s">
        <v>226</v>
      </c>
      <c r="I362" s="94" t="s">
        <v>10</v>
      </c>
      <c r="J362" s="94" t="s">
        <v>218</v>
      </c>
      <c r="K362" s="95" t="s">
        <v>227</v>
      </c>
      <c r="L362" s="96">
        <v>29</v>
      </c>
      <c r="M362" s="96">
        <f>L362*VLOOKUP(I362,dagsoorttabel1,2,FALSE)</f>
        <v>29</v>
      </c>
      <c r="N362" s="97">
        <f>prodnorm10</f>
        <v>0</v>
      </c>
      <c r="O362" s="41">
        <f>dagwerk10</f>
        <v>0</v>
      </c>
      <c r="P362" s="94" t="s">
        <v>107</v>
      </c>
      <c r="Q362" s="26">
        <f>uurtarief10</f>
        <v>0</v>
      </c>
      <c r="R362" s="96" t="e">
        <f>IF(ISBLANK(N362),0,M362/ROUND(N362,4))</f>
        <v>#DIV/0!</v>
      </c>
      <c r="S362" s="96" t="e">
        <f>IF(ISBLANK(N362),0,R362*ROUND(O362,2))</f>
        <v>#DIV/0!</v>
      </c>
      <c r="T362" s="26" t="e">
        <f>ROUND(Q362,2)*R362</f>
        <v>#DIV/0!</v>
      </c>
      <c r="U362" s="96" t="e">
        <f>R362*dagenperjaar1</f>
        <v>#DIV/0!</v>
      </c>
      <c r="V362" s="27" t="e">
        <f>U362*ROUND(Q362,2)</f>
        <v>#DIV/0!</v>
      </c>
    </row>
    <row r="363" spans="1:22" x14ac:dyDescent="0.35">
      <c r="A363" s="93" t="s">
        <v>803</v>
      </c>
      <c r="B363" s="94" t="s">
        <v>40</v>
      </c>
      <c r="C363" s="94" t="s">
        <v>309</v>
      </c>
      <c r="D363" s="94" t="s">
        <v>882</v>
      </c>
      <c r="E363" s="94" t="s">
        <v>40</v>
      </c>
      <c r="F363" s="95" t="s">
        <v>883</v>
      </c>
      <c r="G363" s="94" t="s">
        <v>535</v>
      </c>
      <c r="H363" s="94" t="s">
        <v>234</v>
      </c>
      <c r="I363" s="94" t="s">
        <v>10</v>
      </c>
      <c r="J363" s="94" t="s">
        <v>218</v>
      </c>
      <c r="K363" s="95" t="s">
        <v>235</v>
      </c>
      <c r="L363" s="96">
        <v>90</v>
      </c>
      <c r="M363" s="96">
        <f>L363*VLOOKUP(I363,dagsoorttabel1,2,FALSE)</f>
        <v>90</v>
      </c>
      <c r="N363" s="97">
        <f>prodnorm15</f>
        <v>0</v>
      </c>
      <c r="O363" s="41">
        <f>dagwerk15</f>
        <v>0</v>
      </c>
      <c r="P363" s="94" t="s">
        <v>107</v>
      </c>
      <c r="Q363" s="26">
        <f>uurtarief15</f>
        <v>0</v>
      </c>
      <c r="R363" s="96" t="e">
        <f>IF(ISBLANK(N363),0,M363/ROUND(N363,4))</f>
        <v>#DIV/0!</v>
      </c>
      <c r="S363" s="96" t="e">
        <f>IF(ISBLANK(N363),0,R363*ROUND(O363,2))</f>
        <v>#DIV/0!</v>
      </c>
      <c r="T363" s="26" t="e">
        <f>ROUND(Q363,2)*R363</f>
        <v>#DIV/0!</v>
      </c>
      <c r="U363" s="96" t="e">
        <f>R363*dagenperjaar1</f>
        <v>#DIV/0!</v>
      </c>
      <c r="V363" s="27" t="e">
        <f>U363*ROUND(Q363,2)</f>
        <v>#DIV/0!</v>
      </c>
    </row>
    <row r="364" spans="1:22" x14ac:dyDescent="0.35">
      <c r="A364" s="93" t="s">
        <v>803</v>
      </c>
      <c r="B364" s="94" t="s">
        <v>40</v>
      </c>
      <c r="C364" s="94" t="s">
        <v>309</v>
      </c>
      <c r="D364" s="94" t="s">
        <v>884</v>
      </c>
      <c r="E364" s="94" t="s">
        <v>40</v>
      </c>
      <c r="F364" s="95" t="s">
        <v>883</v>
      </c>
      <c r="G364" s="94" t="s">
        <v>535</v>
      </c>
      <c r="H364" s="94" t="s">
        <v>234</v>
      </c>
      <c r="I364" s="94" t="s">
        <v>10</v>
      </c>
      <c r="J364" s="94" t="s">
        <v>218</v>
      </c>
      <c r="K364" s="95" t="s">
        <v>235</v>
      </c>
      <c r="L364" s="96">
        <v>33</v>
      </c>
      <c r="M364" s="96">
        <f>L364*VLOOKUP(I364,dagsoorttabel1,2,FALSE)</f>
        <v>33</v>
      </c>
      <c r="N364" s="97">
        <f>prodnorm15</f>
        <v>0</v>
      </c>
      <c r="O364" s="41">
        <f>dagwerk15</f>
        <v>0</v>
      </c>
      <c r="P364" s="94" t="s">
        <v>107</v>
      </c>
      <c r="Q364" s="26">
        <f>uurtarief15</f>
        <v>0</v>
      </c>
      <c r="R364" s="96" t="e">
        <f>IF(ISBLANK(N364),0,M364/ROUND(N364,4))</f>
        <v>#DIV/0!</v>
      </c>
      <c r="S364" s="96" t="e">
        <f>IF(ISBLANK(N364),0,R364*ROUND(O364,2))</f>
        <v>#DIV/0!</v>
      </c>
      <c r="T364" s="26" t="e">
        <f>ROUND(Q364,2)*R364</f>
        <v>#DIV/0!</v>
      </c>
      <c r="U364" s="96" t="e">
        <f>R364*dagenperjaar1</f>
        <v>#DIV/0!</v>
      </c>
      <c r="V364" s="27" t="e">
        <f>U364*ROUND(Q364,2)</f>
        <v>#DIV/0!</v>
      </c>
    </row>
    <row r="365" spans="1:22" x14ac:dyDescent="0.35">
      <c r="A365" s="93" t="s">
        <v>803</v>
      </c>
      <c r="B365" s="94" t="s">
        <v>40</v>
      </c>
      <c r="C365" s="94" t="s">
        <v>309</v>
      </c>
      <c r="D365" s="94" t="s">
        <v>885</v>
      </c>
      <c r="E365" s="94" t="s">
        <v>40</v>
      </c>
      <c r="F365" s="95" t="s">
        <v>883</v>
      </c>
      <c r="G365" s="94" t="s">
        <v>535</v>
      </c>
      <c r="H365" s="94" t="s">
        <v>234</v>
      </c>
      <c r="I365" s="94" t="s">
        <v>10</v>
      </c>
      <c r="J365" s="94" t="s">
        <v>218</v>
      </c>
      <c r="K365" s="95" t="s">
        <v>235</v>
      </c>
      <c r="L365" s="96">
        <v>32</v>
      </c>
      <c r="M365" s="96">
        <f>L365*VLOOKUP(I365,dagsoorttabel1,2,FALSE)</f>
        <v>32</v>
      </c>
      <c r="N365" s="97">
        <f>prodnorm15</f>
        <v>0</v>
      </c>
      <c r="O365" s="41">
        <f>dagwerk15</f>
        <v>0</v>
      </c>
      <c r="P365" s="94" t="s">
        <v>107</v>
      </c>
      <c r="Q365" s="26">
        <f>uurtarief15</f>
        <v>0</v>
      </c>
      <c r="R365" s="96" t="e">
        <f>IF(ISBLANK(N365),0,M365/ROUND(N365,4))</f>
        <v>#DIV/0!</v>
      </c>
      <c r="S365" s="96" t="e">
        <f>IF(ISBLANK(N365),0,R365*ROUND(O365,2))</f>
        <v>#DIV/0!</v>
      </c>
      <c r="T365" s="26" t="e">
        <f>ROUND(Q365,2)*R365</f>
        <v>#DIV/0!</v>
      </c>
      <c r="U365" s="96" t="e">
        <f>R365*dagenperjaar1</f>
        <v>#DIV/0!</v>
      </c>
      <c r="V365" s="27" t="e">
        <f>U365*ROUND(Q365,2)</f>
        <v>#DIV/0!</v>
      </c>
    </row>
    <row r="366" spans="1:22" x14ac:dyDescent="0.35">
      <c r="A366" s="93" t="s">
        <v>803</v>
      </c>
      <c r="B366" s="94" t="s">
        <v>40</v>
      </c>
      <c r="C366" s="94" t="s">
        <v>309</v>
      </c>
      <c r="D366" s="94" t="s">
        <v>886</v>
      </c>
      <c r="E366" s="94" t="s">
        <v>40</v>
      </c>
      <c r="F366" s="95" t="s">
        <v>883</v>
      </c>
      <c r="G366" s="94" t="s">
        <v>535</v>
      </c>
      <c r="H366" s="94" t="s">
        <v>234</v>
      </c>
      <c r="I366" s="94" t="s">
        <v>10</v>
      </c>
      <c r="J366" s="94" t="s">
        <v>218</v>
      </c>
      <c r="K366" s="95" t="s">
        <v>235</v>
      </c>
      <c r="L366" s="96">
        <v>32</v>
      </c>
      <c r="M366" s="96">
        <f>L366*VLOOKUP(I366,dagsoorttabel1,2,FALSE)</f>
        <v>32</v>
      </c>
      <c r="N366" s="97">
        <f>prodnorm15</f>
        <v>0</v>
      </c>
      <c r="O366" s="41">
        <f>dagwerk15</f>
        <v>0</v>
      </c>
      <c r="P366" s="94" t="s">
        <v>107</v>
      </c>
      <c r="Q366" s="26">
        <f>uurtarief15</f>
        <v>0</v>
      </c>
      <c r="R366" s="96" t="e">
        <f>IF(ISBLANK(N366),0,M366/ROUND(N366,4))</f>
        <v>#DIV/0!</v>
      </c>
      <c r="S366" s="96" t="e">
        <f>IF(ISBLANK(N366),0,R366*ROUND(O366,2))</f>
        <v>#DIV/0!</v>
      </c>
      <c r="T366" s="26" t="e">
        <f>ROUND(Q366,2)*R366</f>
        <v>#DIV/0!</v>
      </c>
      <c r="U366" s="96" t="e">
        <f>R366*dagenperjaar1</f>
        <v>#DIV/0!</v>
      </c>
      <c r="V366" s="27" t="e">
        <f>U366*ROUND(Q366,2)</f>
        <v>#DIV/0!</v>
      </c>
    </row>
    <row r="367" spans="1:22" x14ac:dyDescent="0.35">
      <c r="A367" s="93" t="s">
        <v>803</v>
      </c>
      <c r="B367" s="94" t="s">
        <v>40</v>
      </c>
      <c r="C367" s="94" t="s">
        <v>309</v>
      </c>
      <c r="D367" s="94" t="s">
        <v>887</v>
      </c>
      <c r="E367" s="94" t="s">
        <v>40</v>
      </c>
      <c r="F367" s="95" t="s">
        <v>883</v>
      </c>
      <c r="G367" s="94" t="s">
        <v>535</v>
      </c>
      <c r="H367" s="94" t="s">
        <v>234</v>
      </c>
      <c r="I367" s="94" t="s">
        <v>10</v>
      </c>
      <c r="J367" s="94" t="s">
        <v>218</v>
      </c>
      <c r="K367" s="95" t="s">
        <v>235</v>
      </c>
      <c r="L367" s="96">
        <v>33</v>
      </c>
      <c r="M367" s="96">
        <f>L367*VLOOKUP(I367,dagsoorttabel1,2,FALSE)</f>
        <v>33</v>
      </c>
      <c r="N367" s="97">
        <f>prodnorm15</f>
        <v>0</v>
      </c>
      <c r="O367" s="41">
        <f>dagwerk15</f>
        <v>0</v>
      </c>
      <c r="P367" s="94" t="s">
        <v>107</v>
      </c>
      <c r="Q367" s="26">
        <f>uurtarief15</f>
        <v>0</v>
      </c>
      <c r="R367" s="96" t="e">
        <f>IF(ISBLANK(N367),0,M367/ROUND(N367,4))</f>
        <v>#DIV/0!</v>
      </c>
      <c r="S367" s="96" t="e">
        <f>IF(ISBLANK(N367),0,R367*ROUND(O367,2))</f>
        <v>#DIV/0!</v>
      </c>
      <c r="T367" s="26" t="e">
        <f>ROUND(Q367,2)*R367</f>
        <v>#DIV/0!</v>
      </c>
      <c r="U367" s="96" t="e">
        <f>R367*dagenperjaar1</f>
        <v>#DIV/0!</v>
      </c>
      <c r="V367" s="27" t="e">
        <f>U367*ROUND(Q367,2)</f>
        <v>#DIV/0!</v>
      </c>
    </row>
    <row r="368" spans="1:22" x14ac:dyDescent="0.35">
      <c r="A368" s="93" t="s">
        <v>803</v>
      </c>
      <c r="B368" s="94" t="s">
        <v>40</v>
      </c>
      <c r="C368" s="94" t="s">
        <v>309</v>
      </c>
      <c r="D368" s="94" t="s">
        <v>888</v>
      </c>
      <c r="E368" s="94" t="s">
        <v>40</v>
      </c>
      <c r="F368" s="95" t="s">
        <v>883</v>
      </c>
      <c r="G368" s="94" t="s">
        <v>535</v>
      </c>
      <c r="H368" s="94" t="s">
        <v>234</v>
      </c>
      <c r="I368" s="94" t="s">
        <v>10</v>
      </c>
      <c r="J368" s="94" t="s">
        <v>218</v>
      </c>
      <c r="K368" s="95" t="s">
        <v>235</v>
      </c>
      <c r="L368" s="96">
        <v>100</v>
      </c>
      <c r="M368" s="96">
        <f>L368*VLOOKUP(I368,dagsoorttabel1,2,FALSE)</f>
        <v>100</v>
      </c>
      <c r="N368" s="97">
        <f>prodnorm15</f>
        <v>0</v>
      </c>
      <c r="O368" s="41">
        <f>dagwerk15</f>
        <v>0</v>
      </c>
      <c r="P368" s="94" t="s">
        <v>107</v>
      </c>
      <c r="Q368" s="26">
        <f>uurtarief15</f>
        <v>0</v>
      </c>
      <c r="R368" s="96" t="e">
        <f>IF(ISBLANK(N368),0,M368/ROUND(N368,4))</f>
        <v>#DIV/0!</v>
      </c>
      <c r="S368" s="96" t="e">
        <f>IF(ISBLANK(N368),0,R368*ROUND(O368,2))</f>
        <v>#DIV/0!</v>
      </c>
      <c r="T368" s="26" t="e">
        <f>ROUND(Q368,2)*R368</f>
        <v>#DIV/0!</v>
      </c>
      <c r="U368" s="96" t="e">
        <f>R368*dagenperjaar1</f>
        <v>#DIV/0!</v>
      </c>
      <c r="V368" s="27" t="e">
        <f>U368*ROUND(Q368,2)</f>
        <v>#DIV/0!</v>
      </c>
    </row>
    <row r="369" spans="1:22" x14ac:dyDescent="0.35">
      <c r="A369" s="93" t="s">
        <v>803</v>
      </c>
      <c r="B369" s="94" t="s">
        <v>40</v>
      </c>
      <c r="C369" s="94" t="s">
        <v>309</v>
      </c>
      <c r="D369" s="94" t="s">
        <v>889</v>
      </c>
      <c r="E369" s="94" t="s">
        <v>40</v>
      </c>
      <c r="F369" s="95" t="s">
        <v>883</v>
      </c>
      <c r="G369" s="94" t="s">
        <v>535</v>
      </c>
      <c r="H369" s="94" t="s">
        <v>234</v>
      </c>
      <c r="I369" s="94" t="s">
        <v>10</v>
      </c>
      <c r="J369" s="94" t="s">
        <v>218</v>
      </c>
      <c r="K369" s="95" t="s">
        <v>235</v>
      </c>
      <c r="L369" s="96">
        <v>59</v>
      </c>
      <c r="M369" s="96">
        <f>L369*VLOOKUP(I369,dagsoorttabel1,2,FALSE)</f>
        <v>59</v>
      </c>
      <c r="N369" s="97">
        <f>prodnorm15</f>
        <v>0</v>
      </c>
      <c r="O369" s="41">
        <f>dagwerk15</f>
        <v>0</v>
      </c>
      <c r="P369" s="94" t="s">
        <v>107</v>
      </c>
      <c r="Q369" s="26">
        <f>uurtarief15</f>
        <v>0</v>
      </c>
      <c r="R369" s="96" t="e">
        <f>IF(ISBLANK(N369),0,M369/ROUND(N369,4))</f>
        <v>#DIV/0!</v>
      </c>
      <c r="S369" s="96" t="e">
        <f>IF(ISBLANK(N369),0,R369*ROUND(O369,2))</f>
        <v>#DIV/0!</v>
      </c>
      <c r="T369" s="26" t="e">
        <f>ROUND(Q369,2)*R369</f>
        <v>#DIV/0!</v>
      </c>
      <c r="U369" s="96" t="e">
        <f>R369*dagenperjaar1</f>
        <v>#DIV/0!</v>
      </c>
      <c r="V369" s="27" t="e">
        <f>U369*ROUND(Q369,2)</f>
        <v>#DIV/0!</v>
      </c>
    </row>
    <row r="370" spans="1:22" x14ac:dyDescent="0.35">
      <c r="A370" s="93" t="s">
        <v>803</v>
      </c>
      <c r="B370" s="94" t="s">
        <v>40</v>
      </c>
      <c r="C370" s="94" t="s">
        <v>309</v>
      </c>
      <c r="D370" s="94" t="s">
        <v>890</v>
      </c>
      <c r="E370" s="94" t="s">
        <v>40</v>
      </c>
      <c r="F370" s="95" t="s">
        <v>598</v>
      </c>
      <c r="G370" s="94" t="s">
        <v>40</v>
      </c>
      <c r="H370" s="94" t="s">
        <v>316</v>
      </c>
      <c r="I370" s="94"/>
      <c r="J370" s="94"/>
      <c r="K370" s="94"/>
      <c r="L370" s="96">
        <v>0</v>
      </c>
      <c r="M370" s="96"/>
      <c r="N370" s="97"/>
      <c r="O370" s="41"/>
      <c r="P370" s="94"/>
      <c r="Q370" s="26"/>
      <c r="R370" s="96"/>
      <c r="S370" s="96"/>
      <c r="T370" s="26"/>
      <c r="U370" s="98"/>
      <c r="V370" s="27"/>
    </row>
    <row r="371" spans="1:22" x14ac:dyDescent="0.35">
      <c r="A371" s="93" t="s">
        <v>803</v>
      </c>
      <c r="B371" s="94" t="s">
        <v>40</v>
      </c>
      <c r="C371" s="94" t="s">
        <v>309</v>
      </c>
      <c r="D371" s="94" t="s">
        <v>891</v>
      </c>
      <c r="E371" s="94" t="s">
        <v>40</v>
      </c>
      <c r="F371" s="95" t="s">
        <v>892</v>
      </c>
      <c r="G371" s="94" t="s">
        <v>535</v>
      </c>
      <c r="H371" s="94" t="s">
        <v>234</v>
      </c>
      <c r="I371" s="94" t="s">
        <v>10</v>
      </c>
      <c r="J371" s="94" t="s">
        <v>218</v>
      </c>
      <c r="K371" s="95" t="s">
        <v>235</v>
      </c>
      <c r="L371" s="96">
        <v>77</v>
      </c>
      <c r="M371" s="96">
        <f>L371*VLOOKUP(I371,dagsoorttabel1,2,FALSE)</f>
        <v>77</v>
      </c>
      <c r="N371" s="97">
        <f>prodnorm15</f>
        <v>0</v>
      </c>
      <c r="O371" s="41">
        <f>dagwerk15</f>
        <v>0</v>
      </c>
      <c r="P371" s="94" t="s">
        <v>107</v>
      </c>
      <c r="Q371" s="26">
        <f>uurtarief15</f>
        <v>0</v>
      </c>
      <c r="R371" s="96" t="e">
        <f>IF(ISBLANK(N371),0,M371/ROUND(N371,4))</f>
        <v>#DIV/0!</v>
      </c>
      <c r="S371" s="96" t="e">
        <f>IF(ISBLANK(N371),0,R371*ROUND(O371,2))</f>
        <v>#DIV/0!</v>
      </c>
      <c r="T371" s="26" t="e">
        <f>ROUND(Q371,2)*R371</f>
        <v>#DIV/0!</v>
      </c>
      <c r="U371" s="96" t="e">
        <f>R371*dagenperjaar1</f>
        <v>#DIV/0!</v>
      </c>
      <c r="V371" s="27" t="e">
        <f>U371*ROUND(Q371,2)</f>
        <v>#DIV/0!</v>
      </c>
    </row>
    <row r="372" spans="1:22" x14ac:dyDescent="0.35">
      <c r="A372" s="93" t="s">
        <v>803</v>
      </c>
      <c r="B372" s="94" t="s">
        <v>40</v>
      </c>
      <c r="C372" s="94" t="s">
        <v>309</v>
      </c>
      <c r="D372" s="94" t="s">
        <v>893</v>
      </c>
      <c r="E372" s="94" t="s">
        <v>40</v>
      </c>
      <c r="F372" s="95" t="s">
        <v>894</v>
      </c>
      <c r="G372" s="94" t="s">
        <v>535</v>
      </c>
      <c r="H372" s="94" t="s">
        <v>234</v>
      </c>
      <c r="I372" s="94" t="s">
        <v>10</v>
      </c>
      <c r="J372" s="94" t="s">
        <v>218</v>
      </c>
      <c r="K372" s="95" t="s">
        <v>235</v>
      </c>
      <c r="L372" s="96">
        <v>77</v>
      </c>
      <c r="M372" s="96">
        <f>L372*VLOOKUP(I372,dagsoorttabel1,2,FALSE)</f>
        <v>77</v>
      </c>
      <c r="N372" s="97">
        <f>prodnorm15</f>
        <v>0</v>
      </c>
      <c r="O372" s="41">
        <f>dagwerk15</f>
        <v>0</v>
      </c>
      <c r="P372" s="94" t="s">
        <v>107</v>
      </c>
      <c r="Q372" s="26">
        <f>uurtarief15</f>
        <v>0</v>
      </c>
      <c r="R372" s="96" t="e">
        <f>IF(ISBLANK(N372),0,M372/ROUND(N372,4))</f>
        <v>#DIV/0!</v>
      </c>
      <c r="S372" s="96" t="e">
        <f>IF(ISBLANK(N372),0,R372*ROUND(O372,2))</f>
        <v>#DIV/0!</v>
      </c>
      <c r="T372" s="26" t="e">
        <f>ROUND(Q372,2)*R372</f>
        <v>#DIV/0!</v>
      </c>
      <c r="U372" s="96" t="e">
        <f>R372*dagenperjaar1</f>
        <v>#DIV/0!</v>
      </c>
      <c r="V372" s="27" t="e">
        <f>U372*ROUND(Q372,2)</f>
        <v>#DIV/0!</v>
      </c>
    </row>
    <row r="373" spans="1:22" x14ac:dyDescent="0.35">
      <c r="A373" s="93" t="s">
        <v>803</v>
      </c>
      <c r="B373" s="94" t="s">
        <v>40</v>
      </c>
      <c r="C373" s="94" t="s">
        <v>309</v>
      </c>
      <c r="D373" s="94" t="s">
        <v>895</v>
      </c>
      <c r="E373" s="94" t="s">
        <v>40</v>
      </c>
      <c r="F373" s="95" t="s">
        <v>883</v>
      </c>
      <c r="G373" s="94" t="s">
        <v>535</v>
      </c>
      <c r="H373" s="94" t="s">
        <v>234</v>
      </c>
      <c r="I373" s="94" t="s">
        <v>10</v>
      </c>
      <c r="J373" s="94" t="s">
        <v>218</v>
      </c>
      <c r="K373" s="95" t="s">
        <v>235</v>
      </c>
      <c r="L373" s="96">
        <v>60</v>
      </c>
      <c r="M373" s="96">
        <f>L373*VLOOKUP(I373,dagsoorttabel1,2,FALSE)</f>
        <v>60</v>
      </c>
      <c r="N373" s="97">
        <f>prodnorm15</f>
        <v>0</v>
      </c>
      <c r="O373" s="41">
        <f>dagwerk15</f>
        <v>0</v>
      </c>
      <c r="P373" s="94" t="s">
        <v>107</v>
      </c>
      <c r="Q373" s="26">
        <f>uurtarief15</f>
        <v>0</v>
      </c>
      <c r="R373" s="96" t="e">
        <f>IF(ISBLANK(N373),0,M373/ROUND(N373,4))</f>
        <v>#DIV/0!</v>
      </c>
      <c r="S373" s="96" t="e">
        <f>IF(ISBLANK(N373),0,R373*ROUND(O373,2))</f>
        <v>#DIV/0!</v>
      </c>
      <c r="T373" s="26" t="e">
        <f>ROUND(Q373,2)*R373</f>
        <v>#DIV/0!</v>
      </c>
      <c r="U373" s="96" t="e">
        <f>R373*dagenperjaar1</f>
        <v>#DIV/0!</v>
      </c>
      <c r="V373" s="27" t="e">
        <f>U373*ROUND(Q373,2)</f>
        <v>#DIV/0!</v>
      </c>
    </row>
    <row r="374" spans="1:22" ht="29" x14ac:dyDescent="0.35">
      <c r="A374" s="93" t="s">
        <v>803</v>
      </c>
      <c r="B374" s="94" t="s">
        <v>40</v>
      </c>
      <c r="C374" s="94" t="s">
        <v>309</v>
      </c>
      <c r="D374" s="94" t="s">
        <v>896</v>
      </c>
      <c r="E374" s="94" t="s">
        <v>40</v>
      </c>
      <c r="F374" s="95" t="s">
        <v>870</v>
      </c>
      <c r="G374" s="94" t="s">
        <v>679</v>
      </c>
      <c r="H374" s="94" t="s">
        <v>256</v>
      </c>
      <c r="I374" s="94" t="s">
        <v>14</v>
      </c>
      <c r="J374" s="94" t="s">
        <v>218</v>
      </c>
      <c r="K374" s="95" t="s">
        <v>257</v>
      </c>
      <c r="L374" s="96">
        <v>5</v>
      </c>
      <c r="M374" s="96">
        <f>L374*VLOOKUP(I374,dagsoorttabel1,2,FALSE)</f>
        <v>1</v>
      </c>
      <c r="N374" s="97">
        <f>prodnorm35</f>
        <v>0</v>
      </c>
      <c r="O374" s="41">
        <f>dagwerk35</f>
        <v>0</v>
      </c>
      <c r="P374" s="94" t="s">
        <v>107</v>
      </c>
      <c r="Q374" s="26">
        <f>uurtarief35</f>
        <v>0</v>
      </c>
      <c r="R374" s="96" t="e">
        <f>IF(ISBLANK(N374),0,M374/ROUND(N374,4))</f>
        <v>#DIV/0!</v>
      </c>
      <c r="S374" s="96" t="e">
        <f>IF(ISBLANK(N374),0,R374*ROUND(O374,2))</f>
        <v>#DIV/0!</v>
      </c>
      <c r="T374" s="26" t="e">
        <f>ROUND(Q374,2)*R374</f>
        <v>#DIV/0!</v>
      </c>
      <c r="U374" s="96" t="e">
        <f>R374*dagenperjaar1</f>
        <v>#DIV/0!</v>
      </c>
      <c r="V374" s="27" t="e">
        <f>U374*ROUND(Q374,2)</f>
        <v>#DIV/0!</v>
      </c>
    </row>
    <row r="375" spans="1:22" x14ac:dyDescent="0.35">
      <c r="A375" s="93" t="s">
        <v>803</v>
      </c>
      <c r="B375" s="94" t="s">
        <v>40</v>
      </c>
      <c r="C375" s="94" t="s">
        <v>309</v>
      </c>
      <c r="D375" s="94" t="s">
        <v>897</v>
      </c>
      <c r="E375" s="94" t="s">
        <v>40</v>
      </c>
      <c r="F375" s="95" t="s">
        <v>598</v>
      </c>
      <c r="G375" s="94" t="s">
        <v>40</v>
      </c>
      <c r="H375" s="94" t="s">
        <v>316</v>
      </c>
      <c r="I375" s="94"/>
      <c r="J375" s="94"/>
      <c r="K375" s="94"/>
      <c r="L375" s="96">
        <v>0</v>
      </c>
      <c r="M375" s="96"/>
      <c r="N375" s="97"/>
      <c r="O375" s="41"/>
      <c r="P375" s="94"/>
      <c r="Q375" s="26"/>
      <c r="R375" s="96"/>
      <c r="S375" s="96"/>
      <c r="T375" s="26"/>
      <c r="U375" s="98"/>
      <c r="V375" s="27"/>
    </row>
    <row r="376" spans="1:22" x14ac:dyDescent="0.35">
      <c r="A376" s="93" t="s">
        <v>803</v>
      </c>
      <c r="B376" s="94" t="s">
        <v>40</v>
      </c>
      <c r="C376" s="94" t="s">
        <v>309</v>
      </c>
      <c r="D376" s="94" t="s">
        <v>898</v>
      </c>
      <c r="E376" s="94" t="s">
        <v>40</v>
      </c>
      <c r="F376" s="95" t="s">
        <v>545</v>
      </c>
      <c r="G376" s="94" t="s">
        <v>40</v>
      </c>
      <c r="H376" s="94" t="s">
        <v>316</v>
      </c>
      <c r="I376" s="94"/>
      <c r="J376" s="94"/>
      <c r="K376" s="94"/>
      <c r="L376" s="96">
        <v>0</v>
      </c>
      <c r="M376" s="96"/>
      <c r="N376" s="97"/>
      <c r="O376" s="41"/>
      <c r="P376" s="94"/>
      <c r="Q376" s="26"/>
      <c r="R376" s="96"/>
      <c r="S376" s="96"/>
      <c r="T376" s="26"/>
      <c r="U376" s="98"/>
      <c r="V376" s="27"/>
    </row>
    <row r="377" spans="1:22" x14ac:dyDescent="0.35">
      <c r="A377" s="93" t="s">
        <v>803</v>
      </c>
      <c r="B377" s="94" t="s">
        <v>40</v>
      </c>
      <c r="C377" s="94" t="s">
        <v>309</v>
      </c>
      <c r="D377" s="94" t="s">
        <v>899</v>
      </c>
      <c r="E377" s="94" t="s">
        <v>40</v>
      </c>
      <c r="F377" s="95" t="s">
        <v>883</v>
      </c>
      <c r="G377" s="94" t="s">
        <v>535</v>
      </c>
      <c r="H377" s="94" t="s">
        <v>234</v>
      </c>
      <c r="I377" s="94" t="s">
        <v>10</v>
      </c>
      <c r="J377" s="94" t="s">
        <v>218</v>
      </c>
      <c r="K377" s="95" t="s">
        <v>235</v>
      </c>
      <c r="L377" s="96">
        <v>100</v>
      </c>
      <c r="M377" s="96">
        <f>L377*VLOOKUP(I377,dagsoorttabel1,2,FALSE)</f>
        <v>100</v>
      </c>
      <c r="N377" s="97">
        <f>prodnorm15</f>
        <v>0</v>
      </c>
      <c r="O377" s="41">
        <f>dagwerk15</f>
        <v>0</v>
      </c>
      <c r="P377" s="94" t="s">
        <v>107</v>
      </c>
      <c r="Q377" s="26">
        <f>uurtarief15</f>
        <v>0</v>
      </c>
      <c r="R377" s="96" t="e">
        <f>IF(ISBLANK(N377),0,M377/ROUND(N377,4))</f>
        <v>#DIV/0!</v>
      </c>
      <c r="S377" s="96" t="e">
        <f>IF(ISBLANK(N377),0,R377*ROUND(O377,2))</f>
        <v>#DIV/0!</v>
      </c>
      <c r="T377" s="26" t="e">
        <f>ROUND(Q377,2)*R377</f>
        <v>#DIV/0!</v>
      </c>
      <c r="U377" s="96" t="e">
        <f>R377*dagenperjaar1</f>
        <v>#DIV/0!</v>
      </c>
      <c r="V377" s="27" t="e">
        <f>U377*ROUND(Q377,2)</f>
        <v>#DIV/0!</v>
      </c>
    </row>
    <row r="378" spans="1:22" x14ac:dyDescent="0.35">
      <c r="A378" s="93" t="s">
        <v>803</v>
      </c>
      <c r="B378" s="94" t="s">
        <v>40</v>
      </c>
      <c r="C378" s="94" t="s">
        <v>309</v>
      </c>
      <c r="D378" s="94" t="s">
        <v>900</v>
      </c>
      <c r="E378" s="94" t="s">
        <v>40</v>
      </c>
      <c r="F378" s="95" t="s">
        <v>883</v>
      </c>
      <c r="G378" s="94" t="s">
        <v>535</v>
      </c>
      <c r="H378" s="94" t="s">
        <v>234</v>
      </c>
      <c r="I378" s="94" t="s">
        <v>10</v>
      </c>
      <c r="J378" s="94" t="s">
        <v>218</v>
      </c>
      <c r="K378" s="95" t="s">
        <v>235</v>
      </c>
      <c r="L378" s="96">
        <v>84</v>
      </c>
      <c r="M378" s="96">
        <f>L378*VLOOKUP(I378,dagsoorttabel1,2,FALSE)</f>
        <v>84</v>
      </c>
      <c r="N378" s="97">
        <f>prodnorm15</f>
        <v>0</v>
      </c>
      <c r="O378" s="41">
        <f>dagwerk15</f>
        <v>0</v>
      </c>
      <c r="P378" s="94" t="s">
        <v>107</v>
      </c>
      <c r="Q378" s="26">
        <f>uurtarief15</f>
        <v>0</v>
      </c>
      <c r="R378" s="96" t="e">
        <f>IF(ISBLANK(N378),0,M378/ROUND(N378,4))</f>
        <v>#DIV/0!</v>
      </c>
      <c r="S378" s="96" t="e">
        <f>IF(ISBLANK(N378),0,R378*ROUND(O378,2))</f>
        <v>#DIV/0!</v>
      </c>
      <c r="T378" s="26" t="e">
        <f>ROUND(Q378,2)*R378</f>
        <v>#DIV/0!</v>
      </c>
      <c r="U378" s="96" t="e">
        <f>R378*dagenperjaar1</f>
        <v>#DIV/0!</v>
      </c>
      <c r="V378" s="27" t="e">
        <f>U378*ROUND(Q378,2)</f>
        <v>#DIV/0!</v>
      </c>
    </row>
    <row r="379" spans="1:22" x14ac:dyDescent="0.35">
      <c r="A379" s="93" t="s">
        <v>803</v>
      </c>
      <c r="B379" s="94" t="s">
        <v>40</v>
      </c>
      <c r="C379" s="94" t="s">
        <v>309</v>
      </c>
      <c r="D379" s="94" t="s">
        <v>901</v>
      </c>
      <c r="E379" s="94" t="s">
        <v>40</v>
      </c>
      <c r="F379" s="95" t="s">
        <v>883</v>
      </c>
      <c r="G379" s="94" t="s">
        <v>535</v>
      </c>
      <c r="H379" s="94" t="s">
        <v>234</v>
      </c>
      <c r="I379" s="94" t="s">
        <v>10</v>
      </c>
      <c r="J379" s="94" t="s">
        <v>218</v>
      </c>
      <c r="K379" s="95" t="s">
        <v>235</v>
      </c>
      <c r="L379" s="96">
        <v>84</v>
      </c>
      <c r="M379" s="96">
        <f>L379*VLOOKUP(I379,dagsoorttabel1,2,FALSE)</f>
        <v>84</v>
      </c>
      <c r="N379" s="97">
        <f>prodnorm15</f>
        <v>0</v>
      </c>
      <c r="O379" s="41">
        <f>dagwerk15</f>
        <v>0</v>
      </c>
      <c r="P379" s="94" t="s">
        <v>107</v>
      </c>
      <c r="Q379" s="26">
        <f>uurtarief15</f>
        <v>0</v>
      </c>
      <c r="R379" s="96" t="e">
        <f>IF(ISBLANK(N379),0,M379/ROUND(N379,4))</f>
        <v>#DIV/0!</v>
      </c>
      <c r="S379" s="96" t="e">
        <f>IF(ISBLANK(N379),0,R379*ROUND(O379,2))</f>
        <v>#DIV/0!</v>
      </c>
      <c r="T379" s="26" t="e">
        <f>ROUND(Q379,2)*R379</f>
        <v>#DIV/0!</v>
      </c>
      <c r="U379" s="96" t="e">
        <f>R379*dagenperjaar1</f>
        <v>#DIV/0!</v>
      </c>
      <c r="V379" s="27" t="e">
        <f>U379*ROUND(Q379,2)</f>
        <v>#DIV/0!</v>
      </c>
    </row>
    <row r="380" spans="1:22" x14ac:dyDescent="0.35">
      <c r="A380" s="93" t="s">
        <v>803</v>
      </c>
      <c r="B380" s="94" t="s">
        <v>40</v>
      </c>
      <c r="C380" s="94" t="s">
        <v>309</v>
      </c>
      <c r="D380" s="94" t="s">
        <v>902</v>
      </c>
      <c r="E380" s="94" t="s">
        <v>40</v>
      </c>
      <c r="F380" s="95" t="s">
        <v>479</v>
      </c>
      <c r="G380" s="94" t="s">
        <v>40</v>
      </c>
      <c r="H380" s="94" t="s">
        <v>316</v>
      </c>
      <c r="I380" s="94"/>
      <c r="J380" s="94"/>
      <c r="K380" s="94"/>
      <c r="L380" s="96">
        <v>0</v>
      </c>
      <c r="M380" s="96"/>
      <c r="N380" s="97"/>
      <c r="O380" s="41"/>
      <c r="P380" s="94"/>
      <c r="Q380" s="26"/>
      <c r="R380" s="96"/>
      <c r="S380" s="96"/>
      <c r="T380" s="26"/>
      <c r="U380" s="98"/>
      <c r="V380" s="27"/>
    </row>
    <row r="381" spans="1:22" x14ac:dyDescent="0.35">
      <c r="A381" s="93" t="s">
        <v>803</v>
      </c>
      <c r="B381" s="94" t="s">
        <v>40</v>
      </c>
      <c r="C381" s="94" t="s">
        <v>309</v>
      </c>
      <c r="D381" s="94" t="s">
        <v>903</v>
      </c>
      <c r="E381" s="94" t="s">
        <v>40</v>
      </c>
      <c r="F381" s="95" t="s">
        <v>424</v>
      </c>
      <c r="G381" s="94" t="s">
        <v>40</v>
      </c>
      <c r="H381" s="94" t="s">
        <v>316</v>
      </c>
      <c r="I381" s="94"/>
      <c r="J381" s="94"/>
      <c r="K381" s="94"/>
      <c r="L381" s="96">
        <v>0</v>
      </c>
      <c r="M381" s="96"/>
      <c r="N381" s="97"/>
      <c r="O381" s="41"/>
      <c r="P381" s="94"/>
      <c r="Q381" s="26"/>
      <c r="R381" s="96"/>
      <c r="S381" s="96"/>
      <c r="T381" s="26"/>
      <c r="U381" s="98"/>
      <c r="V381" s="27"/>
    </row>
    <row r="382" spans="1:22" ht="29" x14ac:dyDescent="0.35">
      <c r="A382" s="93" t="s">
        <v>803</v>
      </c>
      <c r="B382" s="94" t="s">
        <v>40</v>
      </c>
      <c r="C382" s="94" t="s">
        <v>309</v>
      </c>
      <c r="D382" s="94" t="s">
        <v>904</v>
      </c>
      <c r="E382" s="94" t="s">
        <v>40</v>
      </c>
      <c r="F382" s="95" t="s">
        <v>905</v>
      </c>
      <c r="G382" s="94" t="s">
        <v>335</v>
      </c>
      <c r="H382" s="94" t="s">
        <v>246</v>
      </c>
      <c r="I382" s="94" t="s">
        <v>10</v>
      </c>
      <c r="J382" s="94" t="s">
        <v>218</v>
      </c>
      <c r="K382" s="95" t="s">
        <v>247</v>
      </c>
      <c r="L382" s="96">
        <v>68</v>
      </c>
      <c r="M382" s="96">
        <f>L382*VLOOKUP(I382,dagsoorttabel1,2,FALSE)</f>
        <v>68</v>
      </c>
      <c r="N382" s="97">
        <f>prodnorm26</f>
        <v>0</v>
      </c>
      <c r="O382" s="41">
        <f>dagwerk26</f>
        <v>0</v>
      </c>
      <c r="P382" s="94" t="s">
        <v>107</v>
      </c>
      <c r="Q382" s="26">
        <f>uurtarief26</f>
        <v>0</v>
      </c>
      <c r="R382" s="96" t="e">
        <f>IF(ISBLANK(N382),0,M382/ROUND(N382,4))</f>
        <v>#DIV/0!</v>
      </c>
      <c r="S382" s="96" t="e">
        <f>IF(ISBLANK(N382),0,R382*ROUND(O382,2))</f>
        <v>#DIV/0!</v>
      </c>
      <c r="T382" s="26" t="e">
        <f>ROUND(Q382,2)*R382</f>
        <v>#DIV/0!</v>
      </c>
      <c r="U382" s="96" t="e">
        <f>R382*dagenperjaar1</f>
        <v>#DIV/0!</v>
      </c>
      <c r="V382" s="27" t="e">
        <f>U382*ROUND(Q382,2)</f>
        <v>#DIV/0!</v>
      </c>
    </row>
    <row r="383" spans="1:22" x14ac:dyDescent="0.35">
      <c r="A383" s="93" t="s">
        <v>803</v>
      </c>
      <c r="B383" s="94" t="s">
        <v>40</v>
      </c>
      <c r="C383" s="94" t="s">
        <v>309</v>
      </c>
      <c r="D383" s="94" t="s">
        <v>906</v>
      </c>
      <c r="E383" s="94" t="s">
        <v>40</v>
      </c>
      <c r="F383" s="95" t="s">
        <v>907</v>
      </c>
      <c r="G383" s="94" t="s">
        <v>908</v>
      </c>
      <c r="H383" s="94" t="s">
        <v>256</v>
      </c>
      <c r="I383" s="94" t="s">
        <v>10</v>
      </c>
      <c r="J383" s="94" t="s">
        <v>218</v>
      </c>
      <c r="K383" s="95" t="s">
        <v>257</v>
      </c>
      <c r="L383" s="96">
        <v>221</v>
      </c>
      <c r="M383" s="96">
        <f>L383*VLOOKUP(I383,dagsoorttabel1,2,FALSE)</f>
        <v>221</v>
      </c>
      <c r="N383" s="97">
        <f>prodnorm38</f>
        <v>0</v>
      </c>
      <c r="O383" s="41">
        <f>dagwerk38</f>
        <v>0</v>
      </c>
      <c r="P383" s="94" t="s">
        <v>107</v>
      </c>
      <c r="Q383" s="26">
        <f>uurtarief38</f>
        <v>0</v>
      </c>
      <c r="R383" s="96" t="e">
        <f>IF(ISBLANK(N383),0,M383/ROUND(N383,4))</f>
        <v>#DIV/0!</v>
      </c>
      <c r="S383" s="96" t="e">
        <f>IF(ISBLANK(N383),0,R383*ROUND(O383,2))</f>
        <v>#DIV/0!</v>
      </c>
      <c r="T383" s="26" t="e">
        <f>ROUND(Q383,2)*R383</f>
        <v>#DIV/0!</v>
      </c>
      <c r="U383" s="96" t="e">
        <f>R383*dagenperjaar1</f>
        <v>#DIV/0!</v>
      </c>
      <c r="V383" s="27" t="e">
        <f>U383*ROUND(Q383,2)</f>
        <v>#DIV/0!</v>
      </c>
    </row>
    <row r="384" spans="1:22" x14ac:dyDescent="0.35">
      <c r="A384" s="93" t="s">
        <v>803</v>
      </c>
      <c r="B384" s="94" t="s">
        <v>40</v>
      </c>
      <c r="C384" s="94" t="s">
        <v>309</v>
      </c>
      <c r="D384" s="94" t="s">
        <v>909</v>
      </c>
      <c r="E384" s="94" t="s">
        <v>40</v>
      </c>
      <c r="F384" s="95" t="s">
        <v>835</v>
      </c>
      <c r="G384" s="94" t="s">
        <v>679</v>
      </c>
      <c r="H384" s="94" t="s">
        <v>256</v>
      </c>
      <c r="I384" s="94" t="s">
        <v>14</v>
      </c>
      <c r="J384" s="94" t="s">
        <v>218</v>
      </c>
      <c r="K384" s="95" t="s">
        <v>257</v>
      </c>
      <c r="L384" s="96">
        <v>10</v>
      </c>
      <c r="M384" s="96">
        <f>L384*VLOOKUP(I384,dagsoorttabel1,2,FALSE)</f>
        <v>2</v>
      </c>
      <c r="N384" s="97">
        <f>prodnorm35</f>
        <v>0</v>
      </c>
      <c r="O384" s="41">
        <f>dagwerk35</f>
        <v>0</v>
      </c>
      <c r="P384" s="94" t="s">
        <v>107</v>
      </c>
      <c r="Q384" s="26">
        <f>uurtarief35</f>
        <v>0</v>
      </c>
      <c r="R384" s="96" t="e">
        <f>IF(ISBLANK(N384),0,M384/ROUND(N384,4))</f>
        <v>#DIV/0!</v>
      </c>
      <c r="S384" s="96" t="e">
        <f>IF(ISBLANK(N384),0,R384*ROUND(O384,2))</f>
        <v>#DIV/0!</v>
      </c>
      <c r="T384" s="26" t="e">
        <f>ROUND(Q384,2)*R384</f>
        <v>#DIV/0!</v>
      </c>
      <c r="U384" s="96" t="e">
        <f>R384*dagenperjaar1</f>
        <v>#DIV/0!</v>
      </c>
      <c r="V384" s="27" t="e">
        <f>U384*ROUND(Q384,2)</f>
        <v>#DIV/0!</v>
      </c>
    </row>
    <row r="385" spans="1:22" x14ac:dyDescent="0.35">
      <c r="A385" s="93" t="s">
        <v>803</v>
      </c>
      <c r="B385" s="94" t="s">
        <v>40</v>
      </c>
      <c r="C385" s="94" t="s">
        <v>309</v>
      </c>
      <c r="D385" s="94" t="s">
        <v>910</v>
      </c>
      <c r="E385" s="94" t="s">
        <v>40</v>
      </c>
      <c r="F385" s="95" t="s">
        <v>589</v>
      </c>
      <c r="G385" s="94" t="s">
        <v>40</v>
      </c>
      <c r="H385" s="94" t="s">
        <v>316</v>
      </c>
      <c r="I385" s="94"/>
      <c r="J385" s="94"/>
      <c r="K385" s="94"/>
      <c r="L385" s="96">
        <v>0</v>
      </c>
      <c r="M385" s="96"/>
      <c r="N385" s="97"/>
      <c r="O385" s="41"/>
      <c r="P385" s="94"/>
      <c r="Q385" s="26"/>
      <c r="R385" s="96"/>
      <c r="S385" s="96"/>
      <c r="T385" s="26"/>
      <c r="U385" s="98"/>
      <c r="V385" s="27"/>
    </row>
    <row r="386" spans="1:22" x14ac:dyDescent="0.35">
      <c r="A386" s="93" t="s">
        <v>803</v>
      </c>
      <c r="B386" s="94" t="s">
        <v>40</v>
      </c>
      <c r="C386" s="94" t="s">
        <v>309</v>
      </c>
      <c r="D386" s="94" t="s">
        <v>911</v>
      </c>
      <c r="E386" s="94" t="s">
        <v>40</v>
      </c>
      <c r="F386" s="95" t="s">
        <v>835</v>
      </c>
      <c r="G386" s="94" t="s">
        <v>679</v>
      </c>
      <c r="H386" s="94" t="s">
        <v>256</v>
      </c>
      <c r="I386" s="94" t="s">
        <v>14</v>
      </c>
      <c r="J386" s="94" t="s">
        <v>218</v>
      </c>
      <c r="K386" s="95" t="s">
        <v>257</v>
      </c>
      <c r="L386" s="96">
        <v>10</v>
      </c>
      <c r="M386" s="96">
        <f>L386*VLOOKUP(I386,dagsoorttabel1,2,FALSE)</f>
        <v>2</v>
      </c>
      <c r="N386" s="97">
        <f>prodnorm35</f>
        <v>0</v>
      </c>
      <c r="O386" s="41">
        <f>dagwerk35</f>
        <v>0</v>
      </c>
      <c r="P386" s="94" t="s">
        <v>107</v>
      </c>
      <c r="Q386" s="26">
        <f>uurtarief35</f>
        <v>0</v>
      </c>
      <c r="R386" s="96" t="e">
        <f>IF(ISBLANK(N386),0,M386/ROUND(N386,4))</f>
        <v>#DIV/0!</v>
      </c>
      <c r="S386" s="96" t="e">
        <f>IF(ISBLANK(N386),0,R386*ROUND(O386,2))</f>
        <v>#DIV/0!</v>
      </c>
      <c r="T386" s="26" t="e">
        <f>ROUND(Q386,2)*R386</f>
        <v>#DIV/0!</v>
      </c>
      <c r="U386" s="96" t="e">
        <f>R386*dagenperjaar1</f>
        <v>#DIV/0!</v>
      </c>
      <c r="V386" s="27" t="e">
        <f>U386*ROUND(Q386,2)</f>
        <v>#DIV/0!</v>
      </c>
    </row>
    <row r="387" spans="1:22" x14ac:dyDescent="0.35">
      <c r="A387" s="93" t="s">
        <v>803</v>
      </c>
      <c r="B387" s="94" t="s">
        <v>40</v>
      </c>
      <c r="C387" s="94" t="s">
        <v>309</v>
      </c>
      <c r="D387" s="94" t="s">
        <v>912</v>
      </c>
      <c r="E387" s="94" t="s">
        <v>40</v>
      </c>
      <c r="F387" s="95" t="s">
        <v>839</v>
      </c>
      <c r="G387" s="94" t="s">
        <v>335</v>
      </c>
      <c r="H387" s="94" t="s">
        <v>254</v>
      </c>
      <c r="I387" s="94" t="s">
        <v>13</v>
      </c>
      <c r="J387" s="94" t="s">
        <v>218</v>
      </c>
      <c r="K387" s="95" t="s">
        <v>255</v>
      </c>
      <c r="L387" s="96">
        <v>6</v>
      </c>
      <c r="M387" s="96">
        <f>L387*VLOOKUP(I387,dagsoorttabel1,2,FALSE)</f>
        <v>2.4000000000000004</v>
      </c>
      <c r="N387" s="97">
        <f>prodnorm32</f>
        <v>0</v>
      </c>
      <c r="O387" s="41">
        <f>dagwerk32</f>
        <v>0</v>
      </c>
      <c r="P387" s="94" t="s">
        <v>107</v>
      </c>
      <c r="Q387" s="26">
        <f>uurtarief32</f>
        <v>0</v>
      </c>
      <c r="R387" s="96" t="e">
        <f>IF(ISBLANK(N387),0,M387/ROUND(N387,4))</f>
        <v>#DIV/0!</v>
      </c>
      <c r="S387" s="96" t="e">
        <f>IF(ISBLANK(N387),0,R387*ROUND(O387,2))</f>
        <v>#DIV/0!</v>
      </c>
      <c r="T387" s="26" t="e">
        <f>ROUND(Q387,2)*R387</f>
        <v>#DIV/0!</v>
      </c>
      <c r="U387" s="96" t="e">
        <f>R387*dagenperjaar1</f>
        <v>#DIV/0!</v>
      </c>
      <c r="V387" s="27" t="e">
        <f>U387*ROUND(Q387,2)</f>
        <v>#DIV/0!</v>
      </c>
    </row>
    <row r="388" spans="1:22" x14ac:dyDescent="0.35">
      <c r="A388" s="93" t="s">
        <v>803</v>
      </c>
      <c r="B388" s="94" t="s">
        <v>40</v>
      </c>
      <c r="C388" s="94" t="s">
        <v>309</v>
      </c>
      <c r="D388" s="94" t="s">
        <v>913</v>
      </c>
      <c r="E388" s="94" t="s">
        <v>40</v>
      </c>
      <c r="F388" s="95" t="s">
        <v>883</v>
      </c>
      <c r="G388" s="94" t="s">
        <v>535</v>
      </c>
      <c r="H388" s="94" t="s">
        <v>234</v>
      </c>
      <c r="I388" s="94" t="s">
        <v>10</v>
      </c>
      <c r="J388" s="94" t="s">
        <v>218</v>
      </c>
      <c r="K388" s="95" t="s">
        <v>235</v>
      </c>
      <c r="L388" s="96">
        <v>60</v>
      </c>
      <c r="M388" s="96">
        <f>L388*VLOOKUP(I388,dagsoorttabel1,2,FALSE)</f>
        <v>60</v>
      </c>
      <c r="N388" s="97">
        <f>prodnorm15</f>
        <v>0</v>
      </c>
      <c r="O388" s="41">
        <f>dagwerk15</f>
        <v>0</v>
      </c>
      <c r="P388" s="94" t="s">
        <v>107</v>
      </c>
      <c r="Q388" s="26">
        <f>uurtarief15</f>
        <v>0</v>
      </c>
      <c r="R388" s="96" t="e">
        <f>IF(ISBLANK(N388),0,M388/ROUND(N388,4))</f>
        <v>#DIV/0!</v>
      </c>
      <c r="S388" s="96" t="e">
        <f>IF(ISBLANK(N388),0,R388*ROUND(O388,2))</f>
        <v>#DIV/0!</v>
      </c>
      <c r="T388" s="26" t="e">
        <f>ROUND(Q388,2)*R388</f>
        <v>#DIV/0!</v>
      </c>
      <c r="U388" s="96" t="e">
        <f>R388*dagenperjaar1</f>
        <v>#DIV/0!</v>
      </c>
      <c r="V388" s="27" t="e">
        <f>U388*ROUND(Q388,2)</f>
        <v>#DIV/0!</v>
      </c>
    </row>
    <row r="389" spans="1:22" x14ac:dyDescent="0.35">
      <c r="A389" s="93" t="s">
        <v>803</v>
      </c>
      <c r="B389" s="94" t="s">
        <v>40</v>
      </c>
      <c r="C389" s="94" t="s">
        <v>309</v>
      </c>
      <c r="D389" s="94" t="s">
        <v>914</v>
      </c>
      <c r="E389" s="94" t="s">
        <v>40</v>
      </c>
      <c r="F389" s="95" t="s">
        <v>915</v>
      </c>
      <c r="G389" s="94" t="s">
        <v>916</v>
      </c>
      <c r="H389" s="94" t="s">
        <v>246</v>
      </c>
      <c r="I389" s="94" t="s">
        <v>10</v>
      </c>
      <c r="J389" s="94" t="s">
        <v>218</v>
      </c>
      <c r="K389" s="95" t="s">
        <v>247</v>
      </c>
      <c r="L389" s="96">
        <v>88</v>
      </c>
      <c r="M389" s="96">
        <f>L389*VLOOKUP(I389,dagsoorttabel1,2,FALSE)</f>
        <v>88</v>
      </c>
      <c r="N389" s="97">
        <f>prodnorm26</f>
        <v>0</v>
      </c>
      <c r="O389" s="41">
        <f>dagwerk26</f>
        <v>0</v>
      </c>
      <c r="P389" s="94" t="s">
        <v>107</v>
      </c>
      <c r="Q389" s="26">
        <f>uurtarief26</f>
        <v>0</v>
      </c>
      <c r="R389" s="96" t="e">
        <f>IF(ISBLANK(N389),0,M389/ROUND(N389,4))</f>
        <v>#DIV/0!</v>
      </c>
      <c r="S389" s="96" t="e">
        <f>IF(ISBLANK(N389),0,R389*ROUND(O389,2))</f>
        <v>#DIV/0!</v>
      </c>
      <c r="T389" s="26" t="e">
        <f>ROUND(Q389,2)*R389</f>
        <v>#DIV/0!</v>
      </c>
      <c r="U389" s="96" t="e">
        <f>R389*dagenperjaar1</f>
        <v>#DIV/0!</v>
      </c>
      <c r="V389" s="27" t="e">
        <f>U389*ROUND(Q389,2)</f>
        <v>#DIV/0!</v>
      </c>
    </row>
    <row r="390" spans="1:22" x14ac:dyDescent="0.35">
      <c r="A390" s="93" t="s">
        <v>803</v>
      </c>
      <c r="B390" s="94" t="s">
        <v>40</v>
      </c>
      <c r="C390" s="94" t="s">
        <v>309</v>
      </c>
      <c r="D390" s="94" t="s">
        <v>917</v>
      </c>
      <c r="E390" s="94" t="s">
        <v>40</v>
      </c>
      <c r="F390" s="95" t="s">
        <v>918</v>
      </c>
      <c r="G390" s="94" t="s">
        <v>535</v>
      </c>
      <c r="H390" s="94" t="s">
        <v>234</v>
      </c>
      <c r="I390" s="94" t="s">
        <v>10</v>
      </c>
      <c r="J390" s="94" t="s">
        <v>218</v>
      </c>
      <c r="K390" s="95" t="s">
        <v>235</v>
      </c>
      <c r="L390" s="96">
        <v>30</v>
      </c>
      <c r="M390" s="96">
        <f>L390*VLOOKUP(I390,dagsoorttabel1,2,FALSE)</f>
        <v>30</v>
      </c>
      <c r="N390" s="97">
        <f>prodnorm15</f>
        <v>0</v>
      </c>
      <c r="O390" s="41">
        <f>dagwerk15</f>
        <v>0</v>
      </c>
      <c r="P390" s="94" t="s">
        <v>107</v>
      </c>
      <c r="Q390" s="26">
        <f>uurtarief15</f>
        <v>0</v>
      </c>
      <c r="R390" s="96" t="e">
        <f>IF(ISBLANK(N390),0,M390/ROUND(N390,4))</f>
        <v>#DIV/0!</v>
      </c>
      <c r="S390" s="96" t="e">
        <f>IF(ISBLANK(N390),0,R390*ROUND(O390,2))</f>
        <v>#DIV/0!</v>
      </c>
      <c r="T390" s="26" t="e">
        <f>ROUND(Q390,2)*R390</f>
        <v>#DIV/0!</v>
      </c>
      <c r="U390" s="96" t="e">
        <f>R390*dagenperjaar1</f>
        <v>#DIV/0!</v>
      </c>
      <c r="V390" s="27" t="e">
        <f>U390*ROUND(Q390,2)</f>
        <v>#DIV/0!</v>
      </c>
    </row>
    <row r="391" spans="1:22" x14ac:dyDescent="0.35">
      <c r="A391" s="93" t="s">
        <v>803</v>
      </c>
      <c r="B391" s="94" t="s">
        <v>40</v>
      </c>
      <c r="C391" s="94" t="s">
        <v>309</v>
      </c>
      <c r="D391" s="94" t="s">
        <v>919</v>
      </c>
      <c r="E391" s="94" t="s">
        <v>40</v>
      </c>
      <c r="F391" s="95" t="s">
        <v>571</v>
      </c>
      <c r="G391" s="94" t="s">
        <v>321</v>
      </c>
      <c r="H391" s="94" t="s">
        <v>242</v>
      </c>
      <c r="I391" s="94" t="s">
        <v>10</v>
      </c>
      <c r="J391" s="94" t="s">
        <v>218</v>
      </c>
      <c r="K391" s="95" t="s">
        <v>243</v>
      </c>
      <c r="L391" s="96">
        <v>5</v>
      </c>
      <c r="M391" s="96">
        <f>L391*VLOOKUP(I391,dagsoorttabel1,2,FALSE)</f>
        <v>5</v>
      </c>
      <c r="N391" s="97">
        <f>prodnorm21</f>
        <v>0</v>
      </c>
      <c r="O391" s="41">
        <f>dagwerk21</f>
        <v>0</v>
      </c>
      <c r="P391" s="94" t="s">
        <v>107</v>
      </c>
      <c r="Q391" s="26">
        <f>uurtarief21</f>
        <v>0</v>
      </c>
      <c r="R391" s="96" t="e">
        <f>IF(ISBLANK(N391),0,M391/ROUND(N391,4))</f>
        <v>#DIV/0!</v>
      </c>
      <c r="S391" s="96" t="e">
        <f>IF(ISBLANK(N391),0,R391*ROUND(O391,2))</f>
        <v>#DIV/0!</v>
      </c>
      <c r="T391" s="26" t="e">
        <f>ROUND(Q391,2)*R391</f>
        <v>#DIV/0!</v>
      </c>
      <c r="U391" s="96" t="e">
        <f>R391*dagenperjaar1</f>
        <v>#DIV/0!</v>
      </c>
      <c r="V391" s="27" t="e">
        <f>U391*ROUND(Q391,2)</f>
        <v>#DIV/0!</v>
      </c>
    </row>
    <row r="392" spans="1:22" x14ac:dyDescent="0.35">
      <c r="A392" s="93" t="s">
        <v>803</v>
      </c>
      <c r="B392" s="94" t="s">
        <v>40</v>
      </c>
      <c r="C392" s="94" t="s">
        <v>309</v>
      </c>
      <c r="D392" s="94" t="s">
        <v>919</v>
      </c>
      <c r="E392" s="94" t="s">
        <v>40</v>
      </c>
      <c r="F392" s="95" t="s">
        <v>571</v>
      </c>
      <c r="G392" s="94" t="s">
        <v>321</v>
      </c>
      <c r="H392" s="94" t="s">
        <v>244</v>
      </c>
      <c r="I392" s="94" t="s">
        <v>9</v>
      </c>
      <c r="J392" s="94" t="s">
        <v>218</v>
      </c>
      <c r="K392" s="95" t="s">
        <v>245</v>
      </c>
      <c r="L392" s="96">
        <v>5</v>
      </c>
      <c r="M392" s="96">
        <f>L392*VLOOKUP(I392,dagsoorttabel1,2,FALSE)</f>
        <v>15</v>
      </c>
      <c r="N392" s="97">
        <f>prodnorm22</f>
        <v>0</v>
      </c>
      <c r="O392" s="41">
        <f>dagwerk22</f>
        <v>0</v>
      </c>
      <c r="P392" s="94" t="s">
        <v>107</v>
      </c>
      <c r="Q392" s="26">
        <f>uurtarief22</f>
        <v>0</v>
      </c>
      <c r="R392" s="96" t="e">
        <f>IF(ISBLANK(N392),0,M392/ROUND(N392,4))</f>
        <v>#DIV/0!</v>
      </c>
      <c r="S392" s="96" t="e">
        <f>IF(ISBLANK(N392),0,R392*ROUND(O392,2))</f>
        <v>#DIV/0!</v>
      </c>
      <c r="T392" s="26" t="e">
        <f>ROUND(Q392,2)*R392</f>
        <v>#DIV/0!</v>
      </c>
      <c r="U392" s="96" t="e">
        <f>R392*dagenperjaar1</f>
        <v>#DIV/0!</v>
      </c>
      <c r="V392" s="27" t="e">
        <f>U392*ROUND(Q392,2)</f>
        <v>#DIV/0!</v>
      </c>
    </row>
    <row r="393" spans="1:22" x14ac:dyDescent="0.35">
      <c r="A393" s="93" t="s">
        <v>803</v>
      </c>
      <c r="B393" s="94" t="s">
        <v>40</v>
      </c>
      <c r="C393" s="94" t="s">
        <v>309</v>
      </c>
      <c r="D393" s="94" t="s">
        <v>920</v>
      </c>
      <c r="E393" s="94" t="s">
        <v>40</v>
      </c>
      <c r="F393" s="95" t="s">
        <v>479</v>
      </c>
      <c r="G393" s="94" t="s">
        <v>40</v>
      </c>
      <c r="H393" s="94" t="s">
        <v>316</v>
      </c>
      <c r="I393" s="94"/>
      <c r="J393" s="94"/>
      <c r="K393" s="94"/>
      <c r="L393" s="96">
        <v>0</v>
      </c>
      <c r="M393" s="96"/>
      <c r="N393" s="97"/>
      <c r="O393" s="41"/>
      <c r="P393" s="94"/>
      <c r="Q393" s="26"/>
      <c r="R393" s="96"/>
      <c r="S393" s="96"/>
      <c r="T393" s="26"/>
      <c r="U393" s="98"/>
      <c r="V393" s="27"/>
    </row>
    <row r="394" spans="1:22" x14ac:dyDescent="0.35">
      <c r="A394" s="93" t="s">
        <v>803</v>
      </c>
      <c r="B394" s="94" t="s">
        <v>40</v>
      </c>
      <c r="C394" s="94" t="s">
        <v>309</v>
      </c>
      <c r="D394" s="94" t="s">
        <v>921</v>
      </c>
      <c r="E394" s="94" t="s">
        <v>40</v>
      </c>
      <c r="F394" s="95" t="s">
        <v>568</v>
      </c>
      <c r="G394" s="94" t="s">
        <v>321</v>
      </c>
      <c r="H394" s="94" t="s">
        <v>242</v>
      </c>
      <c r="I394" s="94" t="s">
        <v>10</v>
      </c>
      <c r="J394" s="94" t="s">
        <v>218</v>
      </c>
      <c r="K394" s="95" t="s">
        <v>243</v>
      </c>
      <c r="L394" s="96">
        <v>18</v>
      </c>
      <c r="M394" s="96">
        <f>L394*VLOOKUP(I394,dagsoorttabel1,2,FALSE)</f>
        <v>18</v>
      </c>
      <c r="N394" s="97">
        <f>prodnorm21</f>
        <v>0</v>
      </c>
      <c r="O394" s="41">
        <f>dagwerk21</f>
        <v>0</v>
      </c>
      <c r="P394" s="94" t="s">
        <v>107</v>
      </c>
      <c r="Q394" s="26">
        <f>uurtarief21</f>
        <v>0</v>
      </c>
      <c r="R394" s="96" t="e">
        <f>IF(ISBLANK(N394),0,M394/ROUND(N394,4))</f>
        <v>#DIV/0!</v>
      </c>
      <c r="S394" s="96" t="e">
        <f>IF(ISBLANK(N394),0,R394*ROUND(O394,2))</f>
        <v>#DIV/0!</v>
      </c>
      <c r="T394" s="26" t="e">
        <f>ROUND(Q394,2)*R394</f>
        <v>#DIV/0!</v>
      </c>
      <c r="U394" s="96" t="e">
        <f>R394*dagenperjaar1</f>
        <v>#DIV/0!</v>
      </c>
      <c r="V394" s="27" t="e">
        <f>U394*ROUND(Q394,2)</f>
        <v>#DIV/0!</v>
      </c>
    </row>
    <row r="395" spans="1:22" x14ac:dyDescent="0.35">
      <c r="A395" s="93" t="s">
        <v>803</v>
      </c>
      <c r="B395" s="94" t="s">
        <v>40</v>
      </c>
      <c r="C395" s="94" t="s">
        <v>309</v>
      </c>
      <c r="D395" s="94" t="s">
        <v>921</v>
      </c>
      <c r="E395" s="94" t="s">
        <v>40</v>
      </c>
      <c r="F395" s="95" t="s">
        <v>568</v>
      </c>
      <c r="G395" s="94" t="s">
        <v>321</v>
      </c>
      <c r="H395" s="94" t="s">
        <v>244</v>
      </c>
      <c r="I395" s="94" t="s">
        <v>9</v>
      </c>
      <c r="J395" s="94" t="s">
        <v>218</v>
      </c>
      <c r="K395" s="95" t="s">
        <v>245</v>
      </c>
      <c r="L395" s="96">
        <v>18</v>
      </c>
      <c r="M395" s="96">
        <f>L395*VLOOKUP(I395,dagsoorttabel1,2,FALSE)</f>
        <v>54</v>
      </c>
      <c r="N395" s="97">
        <f>prodnorm22</f>
        <v>0</v>
      </c>
      <c r="O395" s="41">
        <f>dagwerk22</f>
        <v>0</v>
      </c>
      <c r="P395" s="94" t="s">
        <v>107</v>
      </c>
      <c r="Q395" s="26">
        <f>uurtarief22</f>
        <v>0</v>
      </c>
      <c r="R395" s="96" t="e">
        <f>IF(ISBLANK(N395),0,M395/ROUND(N395,4))</f>
        <v>#DIV/0!</v>
      </c>
      <c r="S395" s="96" t="e">
        <f>IF(ISBLANK(N395),0,R395*ROUND(O395,2))</f>
        <v>#DIV/0!</v>
      </c>
      <c r="T395" s="26" t="e">
        <f>ROUND(Q395,2)*R395</f>
        <v>#DIV/0!</v>
      </c>
      <c r="U395" s="96" t="e">
        <f>R395*dagenperjaar1</f>
        <v>#DIV/0!</v>
      </c>
      <c r="V395" s="27" t="e">
        <f>U395*ROUND(Q395,2)</f>
        <v>#DIV/0!</v>
      </c>
    </row>
    <row r="396" spans="1:22" x14ac:dyDescent="0.35">
      <c r="A396" s="93" t="s">
        <v>803</v>
      </c>
      <c r="B396" s="94" t="s">
        <v>40</v>
      </c>
      <c r="C396" s="94" t="s">
        <v>309</v>
      </c>
      <c r="D396" s="94" t="s">
        <v>922</v>
      </c>
      <c r="E396" s="94" t="s">
        <v>40</v>
      </c>
      <c r="F396" s="95" t="s">
        <v>923</v>
      </c>
      <c r="G396" s="94" t="s">
        <v>335</v>
      </c>
      <c r="H396" s="94" t="s">
        <v>246</v>
      </c>
      <c r="I396" s="94" t="s">
        <v>10</v>
      </c>
      <c r="J396" s="94" t="s">
        <v>218</v>
      </c>
      <c r="K396" s="95" t="s">
        <v>247</v>
      </c>
      <c r="L396" s="96">
        <v>34</v>
      </c>
      <c r="M396" s="96">
        <f>L396*VLOOKUP(I396,dagsoorttabel1,2,FALSE)</f>
        <v>34</v>
      </c>
      <c r="N396" s="97">
        <f>prodnorm26</f>
        <v>0</v>
      </c>
      <c r="O396" s="41">
        <f>dagwerk26</f>
        <v>0</v>
      </c>
      <c r="P396" s="94" t="s">
        <v>107</v>
      </c>
      <c r="Q396" s="26">
        <f>uurtarief26</f>
        <v>0</v>
      </c>
      <c r="R396" s="96" t="e">
        <f>IF(ISBLANK(N396),0,M396/ROUND(N396,4))</f>
        <v>#DIV/0!</v>
      </c>
      <c r="S396" s="96" t="e">
        <f>IF(ISBLANK(N396),0,R396*ROUND(O396,2))</f>
        <v>#DIV/0!</v>
      </c>
      <c r="T396" s="26" t="e">
        <f>ROUND(Q396,2)*R396</f>
        <v>#DIV/0!</v>
      </c>
      <c r="U396" s="96" t="e">
        <f>R396*dagenperjaar1</f>
        <v>#DIV/0!</v>
      </c>
      <c r="V396" s="27" t="e">
        <f>U396*ROUND(Q396,2)</f>
        <v>#DIV/0!</v>
      </c>
    </row>
    <row r="397" spans="1:22" x14ac:dyDescent="0.35">
      <c r="A397" s="93" t="s">
        <v>803</v>
      </c>
      <c r="B397" s="94" t="s">
        <v>40</v>
      </c>
      <c r="C397" s="94" t="s">
        <v>309</v>
      </c>
      <c r="D397" s="94" t="s">
        <v>924</v>
      </c>
      <c r="E397" s="94" t="s">
        <v>40</v>
      </c>
      <c r="F397" s="95" t="s">
        <v>835</v>
      </c>
      <c r="G397" s="94" t="s">
        <v>679</v>
      </c>
      <c r="H397" s="94" t="s">
        <v>256</v>
      </c>
      <c r="I397" s="94" t="s">
        <v>14</v>
      </c>
      <c r="J397" s="94" t="s">
        <v>218</v>
      </c>
      <c r="K397" s="95" t="s">
        <v>257</v>
      </c>
      <c r="L397" s="96">
        <v>8</v>
      </c>
      <c r="M397" s="96">
        <f>L397*VLOOKUP(I397,dagsoorttabel1,2,FALSE)</f>
        <v>1.6</v>
      </c>
      <c r="N397" s="97">
        <f>prodnorm35</f>
        <v>0</v>
      </c>
      <c r="O397" s="41">
        <f>dagwerk35</f>
        <v>0</v>
      </c>
      <c r="P397" s="94" t="s">
        <v>107</v>
      </c>
      <c r="Q397" s="26">
        <f>uurtarief35</f>
        <v>0</v>
      </c>
      <c r="R397" s="96" t="e">
        <f>IF(ISBLANK(N397),0,M397/ROUND(N397,4))</f>
        <v>#DIV/0!</v>
      </c>
      <c r="S397" s="96" t="e">
        <f>IF(ISBLANK(N397),0,R397*ROUND(O397,2))</f>
        <v>#DIV/0!</v>
      </c>
      <c r="T397" s="26" t="e">
        <f>ROUND(Q397,2)*R397</f>
        <v>#DIV/0!</v>
      </c>
      <c r="U397" s="96" t="e">
        <f>R397*dagenperjaar1</f>
        <v>#DIV/0!</v>
      </c>
      <c r="V397" s="27" t="e">
        <f>U397*ROUND(Q397,2)</f>
        <v>#DIV/0!</v>
      </c>
    </row>
    <row r="398" spans="1:22" x14ac:dyDescent="0.35">
      <c r="A398" s="93" t="s">
        <v>803</v>
      </c>
      <c r="B398" s="94" t="s">
        <v>40</v>
      </c>
      <c r="C398" s="94" t="s">
        <v>309</v>
      </c>
      <c r="D398" s="94" t="s">
        <v>925</v>
      </c>
      <c r="E398" s="94" t="s">
        <v>40</v>
      </c>
      <c r="F398" s="95" t="s">
        <v>926</v>
      </c>
      <c r="G398" s="94" t="s">
        <v>535</v>
      </c>
      <c r="H398" s="94" t="s">
        <v>316</v>
      </c>
      <c r="I398" s="94"/>
      <c r="J398" s="94"/>
      <c r="K398" s="94"/>
      <c r="L398" s="96">
        <v>16</v>
      </c>
      <c r="M398" s="96"/>
      <c r="N398" s="97"/>
      <c r="O398" s="41"/>
      <c r="P398" s="94"/>
      <c r="Q398" s="26"/>
      <c r="R398" s="96"/>
      <c r="S398" s="96"/>
      <c r="T398" s="26"/>
      <c r="U398" s="98"/>
      <c r="V398" s="27"/>
    </row>
    <row r="399" spans="1:22" x14ac:dyDescent="0.35">
      <c r="A399" s="93" t="s">
        <v>803</v>
      </c>
      <c r="B399" s="94" t="s">
        <v>40</v>
      </c>
      <c r="C399" s="94" t="s">
        <v>309</v>
      </c>
      <c r="D399" s="94" t="s">
        <v>927</v>
      </c>
      <c r="E399" s="94" t="s">
        <v>40</v>
      </c>
      <c r="F399" s="95" t="s">
        <v>883</v>
      </c>
      <c r="G399" s="94" t="s">
        <v>535</v>
      </c>
      <c r="H399" s="94" t="s">
        <v>234</v>
      </c>
      <c r="I399" s="94" t="s">
        <v>10</v>
      </c>
      <c r="J399" s="94" t="s">
        <v>218</v>
      </c>
      <c r="K399" s="95" t="s">
        <v>235</v>
      </c>
      <c r="L399" s="96">
        <v>91</v>
      </c>
      <c r="M399" s="96">
        <f>L399*VLOOKUP(I399,dagsoorttabel1,2,FALSE)</f>
        <v>91</v>
      </c>
      <c r="N399" s="97">
        <f>prodnorm15</f>
        <v>0</v>
      </c>
      <c r="O399" s="41">
        <f>dagwerk15</f>
        <v>0</v>
      </c>
      <c r="P399" s="94" t="s">
        <v>107</v>
      </c>
      <c r="Q399" s="26">
        <f>uurtarief15</f>
        <v>0</v>
      </c>
      <c r="R399" s="96" t="e">
        <f>IF(ISBLANK(N399),0,M399/ROUND(N399,4))</f>
        <v>#DIV/0!</v>
      </c>
      <c r="S399" s="96" t="e">
        <f>IF(ISBLANK(N399),0,R399*ROUND(O399,2))</f>
        <v>#DIV/0!</v>
      </c>
      <c r="T399" s="26" t="e">
        <f>ROUND(Q399,2)*R399</f>
        <v>#DIV/0!</v>
      </c>
      <c r="U399" s="96" t="e">
        <f>R399*dagenperjaar1</f>
        <v>#DIV/0!</v>
      </c>
      <c r="V399" s="27" t="e">
        <f>U399*ROUND(Q399,2)</f>
        <v>#DIV/0!</v>
      </c>
    </row>
    <row r="400" spans="1:22" x14ac:dyDescent="0.35">
      <c r="A400" s="93" t="s">
        <v>803</v>
      </c>
      <c r="B400" s="94" t="s">
        <v>40</v>
      </c>
      <c r="C400" s="94" t="s">
        <v>309</v>
      </c>
      <c r="D400" s="94" t="s">
        <v>928</v>
      </c>
      <c r="E400" s="94" t="s">
        <v>40</v>
      </c>
      <c r="F400" s="95" t="s">
        <v>929</v>
      </c>
      <c r="G400" s="94" t="s">
        <v>535</v>
      </c>
      <c r="H400" s="94" t="s">
        <v>217</v>
      </c>
      <c r="I400" s="94" t="s">
        <v>12</v>
      </c>
      <c r="J400" s="94" t="s">
        <v>218</v>
      </c>
      <c r="K400" s="95" t="s">
        <v>219</v>
      </c>
      <c r="L400" s="96">
        <v>29</v>
      </c>
      <c r="M400" s="96">
        <f>L400*VLOOKUP(I400,dagsoorttabel1,2,FALSE)</f>
        <v>17.399999999999999</v>
      </c>
      <c r="N400" s="97">
        <f>prodnorm5</f>
        <v>0</v>
      </c>
      <c r="O400" s="41">
        <f>dagwerk5</f>
        <v>0</v>
      </c>
      <c r="P400" s="94" t="s">
        <v>107</v>
      </c>
      <c r="Q400" s="26">
        <f>uurtarief5</f>
        <v>0</v>
      </c>
      <c r="R400" s="96" t="e">
        <f>IF(ISBLANK(N400),0,M400/ROUND(N400,4))</f>
        <v>#DIV/0!</v>
      </c>
      <c r="S400" s="96" t="e">
        <f>IF(ISBLANK(N400),0,R400*ROUND(O400,2))</f>
        <v>#DIV/0!</v>
      </c>
      <c r="T400" s="26" t="e">
        <f>ROUND(Q400,2)*R400</f>
        <v>#DIV/0!</v>
      </c>
      <c r="U400" s="96" t="e">
        <f>R400*dagenperjaar1</f>
        <v>#DIV/0!</v>
      </c>
      <c r="V400" s="27" t="e">
        <f>U400*ROUND(Q400,2)</f>
        <v>#DIV/0!</v>
      </c>
    </row>
    <row r="401" spans="1:22" x14ac:dyDescent="0.35">
      <c r="A401" s="93" t="s">
        <v>803</v>
      </c>
      <c r="B401" s="94" t="s">
        <v>40</v>
      </c>
      <c r="C401" s="94" t="s">
        <v>309</v>
      </c>
      <c r="D401" s="94" t="s">
        <v>930</v>
      </c>
      <c r="E401" s="94" t="s">
        <v>40</v>
      </c>
      <c r="F401" s="95" t="s">
        <v>883</v>
      </c>
      <c r="G401" s="94" t="s">
        <v>535</v>
      </c>
      <c r="H401" s="94" t="s">
        <v>234</v>
      </c>
      <c r="I401" s="94" t="s">
        <v>10</v>
      </c>
      <c r="J401" s="94" t="s">
        <v>218</v>
      </c>
      <c r="K401" s="95" t="s">
        <v>235</v>
      </c>
      <c r="L401" s="96">
        <v>33</v>
      </c>
      <c r="M401" s="96">
        <f>L401*VLOOKUP(I401,dagsoorttabel1,2,FALSE)</f>
        <v>33</v>
      </c>
      <c r="N401" s="97">
        <f>prodnorm15</f>
        <v>0</v>
      </c>
      <c r="O401" s="41">
        <f>dagwerk15</f>
        <v>0</v>
      </c>
      <c r="P401" s="94" t="s">
        <v>107</v>
      </c>
      <c r="Q401" s="26">
        <f>uurtarief15</f>
        <v>0</v>
      </c>
      <c r="R401" s="96" t="e">
        <f>IF(ISBLANK(N401),0,M401/ROUND(N401,4))</f>
        <v>#DIV/0!</v>
      </c>
      <c r="S401" s="96" t="e">
        <f>IF(ISBLANK(N401),0,R401*ROUND(O401,2))</f>
        <v>#DIV/0!</v>
      </c>
      <c r="T401" s="26" t="e">
        <f>ROUND(Q401,2)*R401</f>
        <v>#DIV/0!</v>
      </c>
      <c r="U401" s="96" t="e">
        <f>R401*dagenperjaar1</f>
        <v>#DIV/0!</v>
      </c>
      <c r="V401" s="27" t="e">
        <f>U401*ROUND(Q401,2)</f>
        <v>#DIV/0!</v>
      </c>
    </row>
    <row r="402" spans="1:22" x14ac:dyDescent="0.35">
      <c r="A402" s="93" t="s">
        <v>803</v>
      </c>
      <c r="B402" s="94" t="s">
        <v>40</v>
      </c>
      <c r="C402" s="94" t="s">
        <v>309</v>
      </c>
      <c r="D402" s="94" t="s">
        <v>931</v>
      </c>
      <c r="E402" s="94" t="s">
        <v>40</v>
      </c>
      <c r="F402" s="95" t="s">
        <v>883</v>
      </c>
      <c r="G402" s="94" t="s">
        <v>535</v>
      </c>
      <c r="H402" s="94" t="s">
        <v>234</v>
      </c>
      <c r="I402" s="94" t="s">
        <v>10</v>
      </c>
      <c r="J402" s="94" t="s">
        <v>218</v>
      </c>
      <c r="K402" s="95" t="s">
        <v>235</v>
      </c>
      <c r="L402" s="96">
        <v>32</v>
      </c>
      <c r="M402" s="96">
        <f>L402*VLOOKUP(I402,dagsoorttabel1,2,FALSE)</f>
        <v>32</v>
      </c>
      <c r="N402" s="97">
        <f>prodnorm15</f>
        <v>0</v>
      </c>
      <c r="O402" s="41">
        <f>dagwerk15</f>
        <v>0</v>
      </c>
      <c r="P402" s="94" t="s">
        <v>107</v>
      </c>
      <c r="Q402" s="26">
        <f>uurtarief15</f>
        <v>0</v>
      </c>
      <c r="R402" s="96" t="e">
        <f>IF(ISBLANK(N402),0,M402/ROUND(N402,4))</f>
        <v>#DIV/0!</v>
      </c>
      <c r="S402" s="96" t="e">
        <f>IF(ISBLANK(N402),0,R402*ROUND(O402,2))</f>
        <v>#DIV/0!</v>
      </c>
      <c r="T402" s="26" t="e">
        <f>ROUND(Q402,2)*R402</f>
        <v>#DIV/0!</v>
      </c>
      <c r="U402" s="96" t="e">
        <f>R402*dagenperjaar1</f>
        <v>#DIV/0!</v>
      </c>
      <c r="V402" s="27" t="e">
        <f>U402*ROUND(Q402,2)</f>
        <v>#DIV/0!</v>
      </c>
    </row>
    <row r="403" spans="1:22" x14ac:dyDescent="0.35">
      <c r="A403" s="93" t="s">
        <v>803</v>
      </c>
      <c r="B403" s="94" t="s">
        <v>40</v>
      </c>
      <c r="C403" s="94" t="s">
        <v>309</v>
      </c>
      <c r="D403" s="94" t="s">
        <v>932</v>
      </c>
      <c r="E403" s="94" t="s">
        <v>40</v>
      </c>
      <c r="F403" s="95" t="s">
        <v>883</v>
      </c>
      <c r="G403" s="94" t="s">
        <v>535</v>
      </c>
      <c r="H403" s="94" t="s">
        <v>234</v>
      </c>
      <c r="I403" s="94" t="s">
        <v>10</v>
      </c>
      <c r="J403" s="94" t="s">
        <v>218</v>
      </c>
      <c r="K403" s="95" t="s">
        <v>235</v>
      </c>
      <c r="L403" s="96">
        <v>32</v>
      </c>
      <c r="M403" s="96">
        <f>L403*VLOOKUP(I403,dagsoorttabel1,2,FALSE)</f>
        <v>32</v>
      </c>
      <c r="N403" s="97">
        <f>prodnorm15</f>
        <v>0</v>
      </c>
      <c r="O403" s="41">
        <f>dagwerk15</f>
        <v>0</v>
      </c>
      <c r="P403" s="94" t="s">
        <v>107</v>
      </c>
      <c r="Q403" s="26">
        <f>uurtarief15</f>
        <v>0</v>
      </c>
      <c r="R403" s="96" t="e">
        <f>IF(ISBLANK(N403),0,M403/ROUND(N403,4))</f>
        <v>#DIV/0!</v>
      </c>
      <c r="S403" s="96" t="e">
        <f>IF(ISBLANK(N403),0,R403*ROUND(O403,2))</f>
        <v>#DIV/0!</v>
      </c>
      <c r="T403" s="26" t="e">
        <f>ROUND(Q403,2)*R403</f>
        <v>#DIV/0!</v>
      </c>
      <c r="U403" s="96" t="e">
        <f>R403*dagenperjaar1</f>
        <v>#DIV/0!</v>
      </c>
      <c r="V403" s="27" t="e">
        <f>U403*ROUND(Q403,2)</f>
        <v>#DIV/0!</v>
      </c>
    </row>
    <row r="404" spans="1:22" x14ac:dyDescent="0.35">
      <c r="A404" s="93" t="s">
        <v>803</v>
      </c>
      <c r="B404" s="94" t="s">
        <v>40</v>
      </c>
      <c r="C404" s="94" t="s">
        <v>309</v>
      </c>
      <c r="D404" s="94" t="s">
        <v>933</v>
      </c>
      <c r="E404" s="94" t="s">
        <v>40</v>
      </c>
      <c r="F404" s="95" t="s">
        <v>883</v>
      </c>
      <c r="G404" s="94" t="s">
        <v>535</v>
      </c>
      <c r="H404" s="94" t="s">
        <v>234</v>
      </c>
      <c r="I404" s="94" t="s">
        <v>10</v>
      </c>
      <c r="J404" s="94" t="s">
        <v>218</v>
      </c>
      <c r="K404" s="95" t="s">
        <v>235</v>
      </c>
      <c r="L404" s="96">
        <v>32</v>
      </c>
      <c r="M404" s="96">
        <f>L404*VLOOKUP(I404,dagsoorttabel1,2,FALSE)</f>
        <v>32</v>
      </c>
      <c r="N404" s="97">
        <f>prodnorm15</f>
        <v>0</v>
      </c>
      <c r="O404" s="41">
        <f>dagwerk15</f>
        <v>0</v>
      </c>
      <c r="P404" s="94" t="s">
        <v>107</v>
      </c>
      <c r="Q404" s="26">
        <f>uurtarief15</f>
        <v>0</v>
      </c>
      <c r="R404" s="96" t="e">
        <f>IF(ISBLANK(N404),0,M404/ROUND(N404,4))</f>
        <v>#DIV/0!</v>
      </c>
      <c r="S404" s="96" t="e">
        <f>IF(ISBLANK(N404),0,R404*ROUND(O404,2))</f>
        <v>#DIV/0!</v>
      </c>
      <c r="T404" s="26" t="e">
        <f>ROUND(Q404,2)*R404</f>
        <v>#DIV/0!</v>
      </c>
      <c r="U404" s="96" t="e">
        <f>R404*dagenperjaar1</f>
        <v>#DIV/0!</v>
      </c>
      <c r="V404" s="27" t="e">
        <f>U404*ROUND(Q404,2)</f>
        <v>#DIV/0!</v>
      </c>
    </row>
    <row r="405" spans="1:22" x14ac:dyDescent="0.35">
      <c r="A405" s="93" t="s">
        <v>803</v>
      </c>
      <c r="B405" s="94" t="s">
        <v>40</v>
      </c>
      <c r="C405" s="94" t="s">
        <v>309</v>
      </c>
      <c r="D405" s="94" t="s">
        <v>934</v>
      </c>
      <c r="E405" s="94" t="s">
        <v>40</v>
      </c>
      <c r="F405" s="95" t="s">
        <v>883</v>
      </c>
      <c r="G405" s="94" t="s">
        <v>535</v>
      </c>
      <c r="H405" s="94" t="s">
        <v>234</v>
      </c>
      <c r="I405" s="94" t="s">
        <v>10</v>
      </c>
      <c r="J405" s="94" t="s">
        <v>218</v>
      </c>
      <c r="K405" s="95" t="s">
        <v>235</v>
      </c>
      <c r="L405" s="96">
        <v>100</v>
      </c>
      <c r="M405" s="96">
        <f>L405*VLOOKUP(I405,dagsoorttabel1,2,FALSE)</f>
        <v>100</v>
      </c>
      <c r="N405" s="97">
        <f>prodnorm15</f>
        <v>0</v>
      </c>
      <c r="O405" s="41">
        <f>dagwerk15</f>
        <v>0</v>
      </c>
      <c r="P405" s="94" t="s">
        <v>107</v>
      </c>
      <c r="Q405" s="26">
        <f>uurtarief15</f>
        <v>0</v>
      </c>
      <c r="R405" s="96" t="e">
        <f>IF(ISBLANK(N405),0,M405/ROUND(N405,4))</f>
        <v>#DIV/0!</v>
      </c>
      <c r="S405" s="96" t="e">
        <f>IF(ISBLANK(N405),0,R405*ROUND(O405,2))</f>
        <v>#DIV/0!</v>
      </c>
      <c r="T405" s="26" t="e">
        <f>ROUND(Q405,2)*R405</f>
        <v>#DIV/0!</v>
      </c>
      <c r="U405" s="96" t="e">
        <f>R405*dagenperjaar1</f>
        <v>#DIV/0!</v>
      </c>
      <c r="V405" s="27" t="e">
        <f>U405*ROUND(Q405,2)</f>
        <v>#DIV/0!</v>
      </c>
    </row>
    <row r="406" spans="1:22" x14ac:dyDescent="0.35">
      <c r="A406" s="93" t="s">
        <v>803</v>
      </c>
      <c r="B406" s="94" t="s">
        <v>40</v>
      </c>
      <c r="C406" s="94" t="s">
        <v>309</v>
      </c>
      <c r="D406" s="94" t="s">
        <v>935</v>
      </c>
      <c r="E406" s="94" t="s">
        <v>40</v>
      </c>
      <c r="F406" s="95" t="s">
        <v>883</v>
      </c>
      <c r="G406" s="94" t="s">
        <v>535</v>
      </c>
      <c r="H406" s="94" t="s">
        <v>234</v>
      </c>
      <c r="I406" s="94" t="s">
        <v>10</v>
      </c>
      <c r="J406" s="94" t="s">
        <v>218</v>
      </c>
      <c r="K406" s="95" t="s">
        <v>235</v>
      </c>
      <c r="L406" s="96">
        <v>226</v>
      </c>
      <c r="M406" s="96">
        <f>L406*VLOOKUP(I406,dagsoorttabel1,2,FALSE)</f>
        <v>226</v>
      </c>
      <c r="N406" s="97">
        <f>prodnorm15</f>
        <v>0</v>
      </c>
      <c r="O406" s="41">
        <f>dagwerk15</f>
        <v>0</v>
      </c>
      <c r="P406" s="94" t="s">
        <v>107</v>
      </c>
      <c r="Q406" s="26">
        <f>uurtarief15</f>
        <v>0</v>
      </c>
      <c r="R406" s="96" t="e">
        <f>IF(ISBLANK(N406),0,M406/ROUND(N406,4))</f>
        <v>#DIV/0!</v>
      </c>
      <c r="S406" s="96" t="e">
        <f>IF(ISBLANK(N406),0,R406*ROUND(O406,2))</f>
        <v>#DIV/0!</v>
      </c>
      <c r="T406" s="26" t="e">
        <f>ROUND(Q406,2)*R406</f>
        <v>#DIV/0!</v>
      </c>
      <c r="U406" s="96" t="e">
        <f>R406*dagenperjaar1</f>
        <v>#DIV/0!</v>
      </c>
      <c r="V406" s="27" t="e">
        <f>U406*ROUND(Q406,2)</f>
        <v>#DIV/0!</v>
      </c>
    </row>
    <row r="407" spans="1:22" x14ac:dyDescent="0.35">
      <c r="A407" s="93" t="s">
        <v>803</v>
      </c>
      <c r="B407" s="94" t="s">
        <v>40</v>
      </c>
      <c r="C407" s="94" t="s">
        <v>309</v>
      </c>
      <c r="D407" s="94" t="s">
        <v>936</v>
      </c>
      <c r="E407" s="94" t="s">
        <v>40</v>
      </c>
      <c r="F407" s="95" t="s">
        <v>883</v>
      </c>
      <c r="G407" s="94" t="s">
        <v>535</v>
      </c>
      <c r="H407" s="94" t="s">
        <v>234</v>
      </c>
      <c r="I407" s="94" t="s">
        <v>10</v>
      </c>
      <c r="J407" s="94" t="s">
        <v>218</v>
      </c>
      <c r="K407" s="95" t="s">
        <v>235</v>
      </c>
      <c r="L407" s="96">
        <v>60</v>
      </c>
      <c r="M407" s="96">
        <f>L407*VLOOKUP(I407,dagsoorttabel1,2,FALSE)</f>
        <v>60</v>
      </c>
      <c r="N407" s="97">
        <f>prodnorm15</f>
        <v>0</v>
      </c>
      <c r="O407" s="41">
        <f>dagwerk15</f>
        <v>0</v>
      </c>
      <c r="P407" s="94" t="s">
        <v>107</v>
      </c>
      <c r="Q407" s="26">
        <f>uurtarief15</f>
        <v>0</v>
      </c>
      <c r="R407" s="96" t="e">
        <f>IF(ISBLANK(N407),0,M407/ROUND(N407,4))</f>
        <v>#DIV/0!</v>
      </c>
      <c r="S407" s="96" t="e">
        <f>IF(ISBLANK(N407),0,R407*ROUND(O407,2))</f>
        <v>#DIV/0!</v>
      </c>
      <c r="T407" s="26" t="e">
        <f>ROUND(Q407,2)*R407</f>
        <v>#DIV/0!</v>
      </c>
      <c r="U407" s="96" t="e">
        <f>R407*dagenperjaar1</f>
        <v>#DIV/0!</v>
      </c>
      <c r="V407" s="27" t="e">
        <f>U407*ROUND(Q407,2)</f>
        <v>#DIV/0!</v>
      </c>
    </row>
    <row r="408" spans="1:22" x14ac:dyDescent="0.35">
      <c r="A408" s="93" t="s">
        <v>803</v>
      </c>
      <c r="B408" s="94" t="s">
        <v>40</v>
      </c>
      <c r="C408" s="94" t="s">
        <v>309</v>
      </c>
      <c r="D408" s="94" t="s">
        <v>937</v>
      </c>
      <c r="E408" s="94" t="s">
        <v>40</v>
      </c>
      <c r="F408" s="95" t="s">
        <v>883</v>
      </c>
      <c r="G408" s="94" t="s">
        <v>535</v>
      </c>
      <c r="H408" s="94" t="s">
        <v>234</v>
      </c>
      <c r="I408" s="94" t="s">
        <v>10</v>
      </c>
      <c r="J408" s="94" t="s">
        <v>218</v>
      </c>
      <c r="K408" s="95" t="s">
        <v>235</v>
      </c>
      <c r="L408" s="96">
        <v>60</v>
      </c>
      <c r="M408" s="96">
        <f>L408*VLOOKUP(I408,dagsoorttabel1,2,FALSE)</f>
        <v>60</v>
      </c>
      <c r="N408" s="97">
        <f>prodnorm15</f>
        <v>0</v>
      </c>
      <c r="O408" s="41">
        <f>dagwerk15</f>
        <v>0</v>
      </c>
      <c r="P408" s="94" t="s">
        <v>107</v>
      </c>
      <c r="Q408" s="26">
        <f>uurtarief15</f>
        <v>0</v>
      </c>
      <c r="R408" s="96" t="e">
        <f>IF(ISBLANK(N408),0,M408/ROUND(N408,4))</f>
        <v>#DIV/0!</v>
      </c>
      <c r="S408" s="96" t="e">
        <f>IF(ISBLANK(N408),0,R408*ROUND(O408,2))</f>
        <v>#DIV/0!</v>
      </c>
      <c r="T408" s="26" t="e">
        <f>ROUND(Q408,2)*R408</f>
        <v>#DIV/0!</v>
      </c>
      <c r="U408" s="96" t="e">
        <f>R408*dagenperjaar1</f>
        <v>#DIV/0!</v>
      </c>
      <c r="V408" s="27" t="e">
        <f>U408*ROUND(Q408,2)</f>
        <v>#DIV/0!</v>
      </c>
    </row>
    <row r="409" spans="1:22" x14ac:dyDescent="0.35">
      <c r="A409" s="93" t="s">
        <v>803</v>
      </c>
      <c r="B409" s="94" t="s">
        <v>40</v>
      </c>
      <c r="C409" s="94" t="s">
        <v>309</v>
      </c>
      <c r="D409" s="94" t="s">
        <v>938</v>
      </c>
      <c r="E409" s="94" t="s">
        <v>40</v>
      </c>
      <c r="F409" s="95" t="s">
        <v>883</v>
      </c>
      <c r="G409" s="94" t="s">
        <v>535</v>
      </c>
      <c r="H409" s="94" t="s">
        <v>234</v>
      </c>
      <c r="I409" s="94" t="s">
        <v>10</v>
      </c>
      <c r="J409" s="94" t="s">
        <v>218</v>
      </c>
      <c r="K409" s="95" t="s">
        <v>235</v>
      </c>
      <c r="L409" s="96">
        <v>60</v>
      </c>
      <c r="M409" s="96">
        <f>L409*VLOOKUP(I409,dagsoorttabel1,2,FALSE)</f>
        <v>60</v>
      </c>
      <c r="N409" s="97">
        <f>prodnorm15</f>
        <v>0</v>
      </c>
      <c r="O409" s="41">
        <f>dagwerk15</f>
        <v>0</v>
      </c>
      <c r="P409" s="94" t="s">
        <v>107</v>
      </c>
      <c r="Q409" s="26">
        <f>uurtarief15</f>
        <v>0</v>
      </c>
      <c r="R409" s="96" t="e">
        <f>IF(ISBLANK(N409),0,M409/ROUND(N409,4))</f>
        <v>#DIV/0!</v>
      </c>
      <c r="S409" s="96" t="e">
        <f>IF(ISBLANK(N409),0,R409*ROUND(O409,2))</f>
        <v>#DIV/0!</v>
      </c>
      <c r="T409" s="26" t="e">
        <f>ROUND(Q409,2)*R409</f>
        <v>#DIV/0!</v>
      </c>
      <c r="U409" s="96" t="e">
        <f>R409*dagenperjaar1</f>
        <v>#DIV/0!</v>
      </c>
      <c r="V409" s="27" t="e">
        <f>U409*ROUND(Q409,2)</f>
        <v>#DIV/0!</v>
      </c>
    </row>
    <row r="410" spans="1:22" x14ac:dyDescent="0.35">
      <c r="A410" s="93" t="s">
        <v>803</v>
      </c>
      <c r="B410" s="94" t="s">
        <v>40</v>
      </c>
      <c r="C410" s="94" t="s">
        <v>309</v>
      </c>
      <c r="D410" s="94" t="s">
        <v>939</v>
      </c>
      <c r="E410" s="94" t="s">
        <v>40</v>
      </c>
      <c r="F410" s="95" t="s">
        <v>883</v>
      </c>
      <c r="G410" s="94" t="s">
        <v>535</v>
      </c>
      <c r="H410" s="94" t="s">
        <v>234</v>
      </c>
      <c r="I410" s="94" t="s">
        <v>10</v>
      </c>
      <c r="J410" s="94" t="s">
        <v>218</v>
      </c>
      <c r="K410" s="95" t="s">
        <v>235</v>
      </c>
      <c r="L410" s="96">
        <v>100</v>
      </c>
      <c r="M410" s="96">
        <f>L410*VLOOKUP(I410,dagsoorttabel1,2,FALSE)</f>
        <v>100</v>
      </c>
      <c r="N410" s="97">
        <f>prodnorm15</f>
        <v>0</v>
      </c>
      <c r="O410" s="41">
        <f>dagwerk15</f>
        <v>0</v>
      </c>
      <c r="P410" s="94" t="s">
        <v>107</v>
      </c>
      <c r="Q410" s="26">
        <f>uurtarief15</f>
        <v>0</v>
      </c>
      <c r="R410" s="96" t="e">
        <f>IF(ISBLANK(N410),0,M410/ROUND(N410,4))</f>
        <v>#DIV/0!</v>
      </c>
      <c r="S410" s="96" t="e">
        <f>IF(ISBLANK(N410),0,R410*ROUND(O410,2))</f>
        <v>#DIV/0!</v>
      </c>
      <c r="T410" s="26" t="e">
        <f>ROUND(Q410,2)*R410</f>
        <v>#DIV/0!</v>
      </c>
      <c r="U410" s="96" t="e">
        <f>R410*dagenperjaar1</f>
        <v>#DIV/0!</v>
      </c>
      <c r="V410" s="27" t="e">
        <f>U410*ROUND(Q410,2)</f>
        <v>#DIV/0!</v>
      </c>
    </row>
    <row r="411" spans="1:22" x14ac:dyDescent="0.35">
      <c r="A411" s="93" t="s">
        <v>803</v>
      </c>
      <c r="B411" s="94" t="s">
        <v>40</v>
      </c>
      <c r="C411" s="94" t="s">
        <v>309</v>
      </c>
      <c r="D411" s="94" t="s">
        <v>940</v>
      </c>
      <c r="E411" s="94" t="s">
        <v>40</v>
      </c>
      <c r="F411" s="95" t="s">
        <v>883</v>
      </c>
      <c r="G411" s="94" t="s">
        <v>535</v>
      </c>
      <c r="H411" s="94" t="s">
        <v>234</v>
      </c>
      <c r="I411" s="94" t="s">
        <v>10</v>
      </c>
      <c r="J411" s="94" t="s">
        <v>218</v>
      </c>
      <c r="K411" s="95" t="s">
        <v>235</v>
      </c>
      <c r="L411" s="96">
        <v>84</v>
      </c>
      <c r="M411" s="96">
        <f>L411*VLOOKUP(I411,dagsoorttabel1,2,FALSE)</f>
        <v>84</v>
      </c>
      <c r="N411" s="97">
        <f>prodnorm15</f>
        <v>0</v>
      </c>
      <c r="O411" s="41">
        <f>dagwerk15</f>
        <v>0</v>
      </c>
      <c r="P411" s="94" t="s">
        <v>107</v>
      </c>
      <c r="Q411" s="26">
        <f>uurtarief15</f>
        <v>0</v>
      </c>
      <c r="R411" s="96" t="e">
        <f>IF(ISBLANK(N411),0,M411/ROUND(N411,4))</f>
        <v>#DIV/0!</v>
      </c>
      <c r="S411" s="96" t="e">
        <f>IF(ISBLANK(N411),0,R411*ROUND(O411,2))</f>
        <v>#DIV/0!</v>
      </c>
      <c r="T411" s="26" t="e">
        <f>ROUND(Q411,2)*R411</f>
        <v>#DIV/0!</v>
      </c>
      <c r="U411" s="96" t="e">
        <f>R411*dagenperjaar1</f>
        <v>#DIV/0!</v>
      </c>
      <c r="V411" s="27" t="e">
        <f>U411*ROUND(Q411,2)</f>
        <v>#DIV/0!</v>
      </c>
    </row>
    <row r="412" spans="1:22" x14ac:dyDescent="0.35">
      <c r="A412" s="93" t="s">
        <v>803</v>
      </c>
      <c r="B412" s="94" t="s">
        <v>40</v>
      </c>
      <c r="C412" s="94" t="s">
        <v>309</v>
      </c>
      <c r="D412" s="94" t="s">
        <v>941</v>
      </c>
      <c r="E412" s="94" t="s">
        <v>40</v>
      </c>
      <c r="F412" s="95" t="s">
        <v>883</v>
      </c>
      <c r="G412" s="94" t="s">
        <v>535</v>
      </c>
      <c r="H412" s="94" t="s">
        <v>234</v>
      </c>
      <c r="I412" s="94" t="s">
        <v>10</v>
      </c>
      <c r="J412" s="94" t="s">
        <v>218</v>
      </c>
      <c r="K412" s="95" t="s">
        <v>235</v>
      </c>
      <c r="L412" s="96">
        <v>33</v>
      </c>
      <c r="M412" s="96">
        <f>L412*VLOOKUP(I412,dagsoorttabel1,2,FALSE)</f>
        <v>33</v>
      </c>
      <c r="N412" s="97">
        <f>prodnorm15</f>
        <v>0</v>
      </c>
      <c r="O412" s="41">
        <f>dagwerk15</f>
        <v>0</v>
      </c>
      <c r="P412" s="94" t="s">
        <v>107</v>
      </c>
      <c r="Q412" s="26">
        <f>uurtarief15</f>
        <v>0</v>
      </c>
      <c r="R412" s="96" t="e">
        <f>IF(ISBLANK(N412),0,M412/ROUND(N412,4))</f>
        <v>#DIV/0!</v>
      </c>
      <c r="S412" s="96" t="e">
        <f>IF(ISBLANK(N412),0,R412*ROUND(O412,2))</f>
        <v>#DIV/0!</v>
      </c>
      <c r="T412" s="26" t="e">
        <f>ROUND(Q412,2)*R412</f>
        <v>#DIV/0!</v>
      </c>
      <c r="U412" s="96" t="e">
        <f>R412*dagenperjaar1</f>
        <v>#DIV/0!</v>
      </c>
      <c r="V412" s="27" t="e">
        <f>U412*ROUND(Q412,2)</f>
        <v>#DIV/0!</v>
      </c>
    </row>
    <row r="413" spans="1:22" x14ac:dyDescent="0.35">
      <c r="A413" s="93" t="s">
        <v>803</v>
      </c>
      <c r="B413" s="94" t="s">
        <v>40</v>
      </c>
      <c r="C413" s="94" t="s">
        <v>309</v>
      </c>
      <c r="D413" s="94" t="s">
        <v>942</v>
      </c>
      <c r="E413" s="94" t="s">
        <v>40</v>
      </c>
      <c r="F413" s="95" t="s">
        <v>883</v>
      </c>
      <c r="G413" s="94" t="s">
        <v>535</v>
      </c>
      <c r="H413" s="94" t="s">
        <v>234</v>
      </c>
      <c r="I413" s="94" t="s">
        <v>10</v>
      </c>
      <c r="J413" s="94" t="s">
        <v>218</v>
      </c>
      <c r="K413" s="95" t="s">
        <v>235</v>
      </c>
      <c r="L413" s="96">
        <v>273</v>
      </c>
      <c r="M413" s="96">
        <f>L413*VLOOKUP(I413,dagsoorttabel1,2,FALSE)</f>
        <v>273</v>
      </c>
      <c r="N413" s="97">
        <f>prodnorm15</f>
        <v>0</v>
      </c>
      <c r="O413" s="41">
        <f>dagwerk15</f>
        <v>0</v>
      </c>
      <c r="P413" s="94" t="s">
        <v>107</v>
      </c>
      <c r="Q413" s="26">
        <f>uurtarief15</f>
        <v>0</v>
      </c>
      <c r="R413" s="96" t="e">
        <f>IF(ISBLANK(N413),0,M413/ROUND(N413,4))</f>
        <v>#DIV/0!</v>
      </c>
      <c r="S413" s="96" t="e">
        <f>IF(ISBLANK(N413),0,R413*ROUND(O413,2))</f>
        <v>#DIV/0!</v>
      </c>
      <c r="T413" s="26" t="e">
        <f>ROUND(Q413,2)*R413</f>
        <v>#DIV/0!</v>
      </c>
      <c r="U413" s="96" t="e">
        <f>R413*dagenperjaar1</f>
        <v>#DIV/0!</v>
      </c>
      <c r="V413" s="27" t="e">
        <f>U413*ROUND(Q413,2)</f>
        <v>#DIV/0!</v>
      </c>
    </row>
    <row r="414" spans="1:22" x14ac:dyDescent="0.35">
      <c r="A414" s="93" t="s">
        <v>803</v>
      </c>
      <c r="B414" s="94" t="s">
        <v>40</v>
      </c>
      <c r="C414" s="94" t="s">
        <v>309</v>
      </c>
      <c r="D414" s="94" t="s">
        <v>943</v>
      </c>
      <c r="E414" s="94" t="s">
        <v>40</v>
      </c>
      <c r="F414" s="95" t="s">
        <v>479</v>
      </c>
      <c r="G414" s="94" t="s">
        <v>40</v>
      </c>
      <c r="H414" s="94" t="s">
        <v>316</v>
      </c>
      <c r="I414" s="94"/>
      <c r="J414" s="94"/>
      <c r="K414" s="94"/>
      <c r="L414" s="96">
        <v>0</v>
      </c>
      <c r="M414" s="96"/>
      <c r="N414" s="97"/>
      <c r="O414" s="41"/>
      <c r="P414" s="94"/>
      <c r="Q414" s="26"/>
      <c r="R414" s="96"/>
      <c r="S414" s="96"/>
      <c r="T414" s="26"/>
      <c r="U414" s="98"/>
      <c r="V414" s="27"/>
    </row>
    <row r="415" spans="1:22" x14ac:dyDescent="0.35">
      <c r="A415" s="93" t="s">
        <v>803</v>
      </c>
      <c r="B415" s="94" t="s">
        <v>40</v>
      </c>
      <c r="C415" s="94" t="s">
        <v>309</v>
      </c>
      <c r="D415" s="94" t="s">
        <v>944</v>
      </c>
      <c r="E415" s="94" t="s">
        <v>40</v>
      </c>
      <c r="F415" s="95" t="s">
        <v>479</v>
      </c>
      <c r="G415" s="94" t="s">
        <v>40</v>
      </c>
      <c r="H415" s="94" t="s">
        <v>316</v>
      </c>
      <c r="I415" s="94"/>
      <c r="J415" s="94"/>
      <c r="K415" s="94"/>
      <c r="L415" s="96">
        <v>0</v>
      </c>
      <c r="M415" s="96"/>
      <c r="N415" s="97"/>
      <c r="O415" s="41"/>
      <c r="P415" s="94"/>
      <c r="Q415" s="26"/>
      <c r="R415" s="96"/>
      <c r="S415" s="96"/>
      <c r="T415" s="26"/>
      <c r="U415" s="98"/>
      <c r="V415" s="27"/>
    </row>
    <row r="416" spans="1:22" x14ac:dyDescent="0.35">
      <c r="A416" s="93" t="s">
        <v>803</v>
      </c>
      <c r="B416" s="94" t="s">
        <v>40</v>
      </c>
      <c r="C416" s="94" t="s">
        <v>309</v>
      </c>
      <c r="D416" s="94" t="s">
        <v>945</v>
      </c>
      <c r="E416" s="94" t="s">
        <v>40</v>
      </c>
      <c r="F416" s="95" t="s">
        <v>598</v>
      </c>
      <c r="G416" s="94" t="s">
        <v>40</v>
      </c>
      <c r="H416" s="94" t="s">
        <v>316</v>
      </c>
      <c r="I416" s="94"/>
      <c r="J416" s="94"/>
      <c r="K416" s="94"/>
      <c r="L416" s="96">
        <v>0</v>
      </c>
      <c r="M416" s="96"/>
      <c r="N416" s="97"/>
      <c r="O416" s="41"/>
      <c r="P416" s="94"/>
      <c r="Q416" s="26"/>
      <c r="R416" s="96"/>
      <c r="S416" s="96"/>
      <c r="T416" s="26"/>
      <c r="U416" s="98"/>
      <c r="V416" s="27"/>
    </row>
    <row r="417" spans="1:22" x14ac:dyDescent="0.35">
      <c r="A417" s="93" t="s">
        <v>803</v>
      </c>
      <c r="B417" s="94" t="s">
        <v>40</v>
      </c>
      <c r="C417" s="94" t="s">
        <v>309</v>
      </c>
      <c r="D417" s="94" t="s">
        <v>946</v>
      </c>
      <c r="E417" s="94" t="s">
        <v>40</v>
      </c>
      <c r="F417" s="95" t="s">
        <v>947</v>
      </c>
      <c r="G417" s="94" t="s">
        <v>948</v>
      </c>
      <c r="H417" s="94" t="s">
        <v>246</v>
      </c>
      <c r="I417" s="94" t="s">
        <v>10</v>
      </c>
      <c r="J417" s="94" t="s">
        <v>218</v>
      </c>
      <c r="K417" s="95" t="s">
        <v>247</v>
      </c>
      <c r="L417" s="96">
        <v>14</v>
      </c>
      <c r="M417" s="96">
        <f>L417*VLOOKUP(I417,dagsoorttabel1,2,FALSE)</f>
        <v>14</v>
      </c>
      <c r="N417" s="97">
        <f>prodnorm26</f>
        <v>0</v>
      </c>
      <c r="O417" s="41">
        <f>dagwerk26</f>
        <v>0</v>
      </c>
      <c r="P417" s="94" t="s">
        <v>107</v>
      </c>
      <c r="Q417" s="26">
        <f>uurtarief26</f>
        <v>0</v>
      </c>
      <c r="R417" s="96" t="e">
        <f>IF(ISBLANK(N417),0,M417/ROUND(N417,4))</f>
        <v>#DIV/0!</v>
      </c>
      <c r="S417" s="96" t="e">
        <f>IF(ISBLANK(N417),0,R417*ROUND(O417,2))</f>
        <v>#DIV/0!</v>
      </c>
      <c r="T417" s="26" t="e">
        <f>ROUND(Q417,2)*R417</f>
        <v>#DIV/0!</v>
      </c>
      <c r="U417" s="96" t="e">
        <f>R417*dagenperjaar1</f>
        <v>#DIV/0!</v>
      </c>
      <c r="V417" s="27" t="e">
        <f>U417*ROUND(Q417,2)</f>
        <v>#DIV/0!</v>
      </c>
    </row>
    <row r="418" spans="1:22" x14ac:dyDescent="0.35">
      <c r="A418" s="93" t="s">
        <v>803</v>
      </c>
      <c r="B418" s="94" t="s">
        <v>40</v>
      </c>
      <c r="C418" s="94" t="s">
        <v>309</v>
      </c>
      <c r="D418" s="94" t="s">
        <v>949</v>
      </c>
      <c r="E418" s="94" t="s">
        <v>40</v>
      </c>
      <c r="F418" s="95" t="s">
        <v>950</v>
      </c>
      <c r="G418" s="94" t="s">
        <v>483</v>
      </c>
      <c r="H418" s="94" t="s">
        <v>246</v>
      </c>
      <c r="I418" s="94" t="s">
        <v>14</v>
      </c>
      <c r="J418" s="94" t="s">
        <v>218</v>
      </c>
      <c r="K418" s="95" t="s">
        <v>247</v>
      </c>
      <c r="L418" s="96">
        <v>61</v>
      </c>
      <c r="M418" s="96">
        <f>L418*VLOOKUP(I418,dagsoorttabel1,2,FALSE)</f>
        <v>12.200000000000001</v>
      </c>
      <c r="N418" s="97">
        <f>prodnorm24</f>
        <v>0</v>
      </c>
      <c r="O418" s="41">
        <f>dagwerk24</f>
        <v>0</v>
      </c>
      <c r="P418" s="94" t="s">
        <v>107</v>
      </c>
      <c r="Q418" s="26">
        <f>uurtarief24</f>
        <v>0</v>
      </c>
      <c r="R418" s="96" t="e">
        <f>IF(ISBLANK(N418),0,M418/ROUND(N418,4))</f>
        <v>#DIV/0!</v>
      </c>
      <c r="S418" s="96" t="e">
        <f>IF(ISBLANK(N418),0,R418*ROUND(O418,2))</f>
        <v>#DIV/0!</v>
      </c>
      <c r="T418" s="26" t="e">
        <f>ROUND(Q418,2)*R418</f>
        <v>#DIV/0!</v>
      </c>
      <c r="U418" s="96" t="e">
        <f>R418*dagenperjaar1</f>
        <v>#DIV/0!</v>
      </c>
      <c r="V418" s="27" t="e">
        <f>U418*ROUND(Q418,2)</f>
        <v>#DIV/0!</v>
      </c>
    </row>
    <row r="419" spans="1:22" x14ac:dyDescent="0.35">
      <c r="A419" s="93" t="s">
        <v>803</v>
      </c>
      <c r="B419" s="94" t="s">
        <v>40</v>
      </c>
      <c r="C419" s="94" t="s">
        <v>309</v>
      </c>
      <c r="D419" s="94" t="s">
        <v>951</v>
      </c>
      <c r="E419" s="94" t="s">
        <v>40</v>
      </c>
      <c r="F419" s="95" t="s">
        <v>598</v>
      </c>
      <c r="G419" s="94" t="s">
        <v>40</v>
      </c>
      <c r="H419" s="94" t="s">
        <v>316</v>
      </c>
      <c r="I419" s="94"/>
      <c r="J419" s="94"/>
      <c r="K419" s="94"/>
      <c r="L419" s="96">
        <v>0</v>
      </c>
      <c r="M419" s="96"/>
      <c r="N419" s="97"/>
      <c r="O419" s="41"/>
      <c r="P419" s="94"/>
      <c r="Q419" s="26"/>
      <c r="R419" s="96"/>
      <c r="S419" s="96"/>
      <c r="T419" s="26"/>
      <c r="U419" s="98"/>
      <c r="V419" s="27"/>
    </row>
    <row r="420" spans="1:22" x14ac:dyDescent="0.35">
      <c r="A420" s="93" t="s">
        <v>803</v>
      </c>
      <c r="B420" s="94" t="s">
        <v>40</v>
      </c>
      <c r="C420" s="94" t="s">
        <v>309</v>
      </c>
      <c r="D420" s="94" t="s">
        <v>952</v>
      </c>
      <c r="E420" s="94" t="s">
        <v>40</v>
      </c>
      <c r="F420" s="95" t="s">
        <v>953</v>
      </c>
      <c r="G420" s="94" t="s">
        <v>40</v>
      </c>
      <c r="H420" s="94" t="s">
        <v>316</v>
      </c>
      <c r="I420" s="94"/>
      <c r="J420" s="94"/>
      <c r="K420" s="94"/>
      <c r="L420" s="96">
        <v>0</v>
      </c>
      <c r="M420" s="96"/>
      <c r="N420" s="97"/>
      <c r="O420" s="41"/>
      <c r="P420" s="94"/>
      <c r="Q420" s="26"/>
      <c r="R420" s="96"/>
      <c r="S420" s="96"/>
      <c r="T420" s="26"/>
      <c r="U420" s="98"/>
      <c r="V420" s="27"/>
    </row>
    <row r="421" spans="1:22" x14ac:dyDescent="0.35">
      <c r="A421" s="93" t="s">
        <v>803</v>
      </c>
      <c r="B421" s="94" t="s">
        <v>40</v>
      </c>
      <c r="C421" s="94" t="s">
        <v>309</v>
      </c>
      <c r="D421" s="94" t="s">
        <v>954</v>
      </c>
      <c r="E421" s="94" t="s">
        <v>40</v>
      </c>
      <c r="F421" s="95" t="s">
        <v>953</v>
      </c>
      <c r="G421" s="94" t="s">
        <v>40</v>
      </c>
      <c r="H421" s="94" t="s">
        <v>316</v>
      </c>
      <c r="I421" s="94"/>
      <c r="J421" s="94"/>
      <c r="K421" s="94"/>
      <c r="L421" s="96">
        <v>0</v>
      </c>
      <c r="M421" s="96"/>
      <c r="N421" s="97"/>
      <c r="O421" s="41"/>
      <c r="P421" s="94"/>
      <c r="Q421" s="26"/>
      <c r="R421" s="96"/>
      <c r="S421" s="96"/>
      <c r="T421" s="26"/>
      <c r="U421" s="98"/>
      <c r="V421" s="27"/>
    </row>
    <row r="422" spans="1:22" x14ac:dyDescent="0.35">
      <c r="A422" s="93" t="s">
        <v>803</v>
      </c>
      <c r="B422" s="94" t="s">
        <v>40</v>
      </c>
      <c r="C422" s="94" t="s">
        <v>309</v>
      </c>
      <c r="D422" s="94" t="s">
        <v>955</v>
      </c>
      <c r="E422" s="94" t="s">
        <v>40</v>
      </c>
      <c r="F422" s="95" t="s">
        <v>953</v>
      </c>
      <c r="G422" s="94" t="s">
        <v>40</v>
      </c>
      <c r="H422" s="94" t="s">
        <v>316</v>
      </c>
      <c r="I422" s="94"/>
      <c r="J422" s="94"/>
      <c r="K422" s="94"/>
      <c r="L422" s="96">
        <v>0</v>
      </c>
      <c r="M422" s="96"/>
      <c r="N422" s="97"/>
      <c r="O422" s="41"/>
      <c r="P422" s="94"/>
      <c r="Q422" s="26"/>
      <c r="R422" s="96"/>
      <c r="S422" s="96"/>
      <c r="T422" s="26"/>
      <c r="U422" s="98"/>
      <c r="V422" s="27"/>
    </row>
    <row r="423" spans="1:22" x14ac:dyDescent="0.35">
      <c r="A423" s="93" t="s">
        <v>803</v>
      </c>
      <c r="B423" s="94" t="s">
        <v>40</v>
      </c>
      <c r="C423" s="94" t="s">
        <v>309</v>
      </c>
      <c r="D423" s="94" t="s">
        <v>956</v>
      </c>
      <c r="E423" s="94" t="s">
        <v>40</v>
      </c>
      <c r="F423" s="95" t="s">
        <v>589</v>
      </c>
      <c r="G423" s="94" t="s">
        <v>40</v>
      </c>
      <c r="H423" s="94" t="s">
        <v>316</v>
      </c>
      <c r="I423" s="94"/>
      <c r="J423" s="94"/>
      <c r="K423" s="94"/>
      <c r="L423" s="96">
        <v>0</v>
      </c>
      <c r="M423" s="96"/>
      <c r="N423" s="97"/>
      <c r="O423" s="41"/>
      <c r="P423" s="94"/>
      <c r="Q423" s="26"/>
      <c r="R423" s="96"/>
      <c r="S423" s="96"/>
      <c r="T423" s="26"/>
      <c r="U423" s="98"/>
      <c r="V423" s="27"/>
    </row>
    <row r="424" spans="1:22" x14ac:dyDescent="0.35">
      <c r="A424" s="93" t="s">
        <v>803</v>
      </c>
      <c r="B424" s="94" t="s">
        <v>40</v>
      </c>
      <c r="C424" s="94" t="s">
        <v>309</v>
      </c>
      <c r="D424" s="94" t="s">
        <v>957</v>
      </c>
      <c r="E424" s="94" t="s">
        <v>40</v>
      </c>
      <c r="F424" s="95" t="s">
        <v>953</v>
      </c>
      <c r="G424" s="94" t="s">
        <v>40</v>
      </c>
      <c r="H424" s="94" t="s">
        <v>316</v>
      </c>
      <c r="I424" s="94"/>
      <c r="J424" s="94"/>
      <c r="K424" s="94"/>
      <c r="L424" s="96">
        <v>0</v>
      </c>
      <c r="M424" s="96"/>
      <c r="N424" s="97"/>
      <c r="O424" s="41"/>
      <c r="P424" s="94"/>
      <c r="Q424" s="26"/>
      <c r="R424" s="96"/>
      <c r="S424" s="96"/>
      <c r="T424" s="26"/>
      <c r="U424" s="98"/>
      <c r="V424" s="27"/>
    </row>
    <row r="425" spans="1:22" x14ac:dyDescent="0.35">
      <c r="A425" s="93" t="s">
        <v>803</v>
      </c>
      <c r="B425" s="94" t="s">
        <v>40</v>
      </c>
      <c r="C425" s="94" t="s">
        <v>309</v>
      </c>
      <c r="D425" s="94" t="s">
        <v>958</v>
      </c>
      <c r="E425" s="94" t="s">
        <v>40</v>
      </c>
      <c r="F425" s="95" t="s">
        <v>479</v>
      </c>
      <c r="G425" s="94" t="s">
        <v>40</v>
      </c>
      <c r="H425" s="94" t="s">
        <v>316</v>
      </c>
      <c r="I425" s="94"/>
      <c r="J425" s="94"/>
      <c r="K425" s="94"/>
      <c r="L425" s="96">
        <v>0</v>
      </c>
      <c r="M425" s="96"/>
      <c r="N425" s="97"/>
      <c r="O425" s="41"/>
      <c r="P425" s="94"/>
      <c r="Q425" s="26"/>
      <c r="R425" s="96"/>
      <c r="S425" s="96"/>
      <c r="T425" s="26"/>
      <c r="U425" s="98"/>
      <c r="V425" s="27"/>
    </row>
    <row r="426" spans="1:22" x14ac:dyDescent="0.35">
      <c r="A426" s="93" t="s">
        <v>803</v>
      </c>
      <c r="B426" s="94" t="s">
        <v>40</v>
      </c>
      <c r="C426" s="94" t="s">
        <v>309</v>
      </c>
      <c r="D426" s="94" t="s">
        <v>959</v>
      </c>
      <c r="E426" s="94" t="s">
        <v>40</v>
      </c>
      <c r="F426" s="95" t="s">
        <v>960</v>
      </c>
      <c r="G426" s="94" t="s">
        <v>335</v>
      </c>
      <c r="H426" s="94" t="s">
        <v>217</v>
      </c>
      <c r="I426" s="94" t="s">
        <v>13</v>
      </c>
      <c r="J426" s="94" t="s">
        <v>218</v>
      </c>
      <c r="K426" s="95" t="s">
        <v>219</v>
      </c>
      <c r="L426" s="96">
        <v>7</v>
      </c>
      <c r="M426" s="96">
        <f>L426*VLOOKUP(I426,dagsoorttabel1,2,FALSE)</f>
        <v>2.8000000000000003</v>
      </c>
      <c r="N426" s="97">
        <f>prodnorm4</f>
        <v>0</v>
      </c>
      <c r="O426" s="41">
        <f>dagwerk4</f>
        <v>0</v>
      </c>
      <c r="P426" s="94" t="s">
        <v>107</v>
      </c>
      <c r="Q426" s="26">
        <f>uurtarief4</f>
        <v>0</v>
      </c>
      <c r="R426" s="96" t="e">
        <f>IF(ISBLANK(N426),0,M426/ROUND(N426,4))</f>
        <v>#DIV/0!</v>
      </c>
      <c r="S426" s="96" t="e">
        <f>IF(ISBLANK(N426),0,R426*ROUND(O426,2))</f>
        <v>#DIV/0!</v>
      </c>
      <c r="T426" s="26" t="e">
        <f>ROUND(Q426,2)*R426</f>
        <v>#DIV/0!</v>
      </c>
      <c r="U426" s="96" t="e">
        <f>R426*dagenperjaar1</f>
        <v>#DIV/0!</v>
      </c>
      <c r="V426" s="27" t="e">
        <f>U426*ROUND(Q426,2)</f>
        <v>#DIV/0!</v>
      </c>
    </row>
    <row r="427" spans="1:22" x14ac:dyDescent="0.35">
      <c r="A427" s="93" t="s">
        <v>803</v>
      </c>
      <c r="B427" s="94" t="s">
        <v>40</v>
      </c>
      <c r="C427" s="94" t="s">
        <v>309</v>
      </c>
      <c r="D427" s="94" t="s">
        <v>961</v>
      </c>
      <c r="E427" s="94" t="s">
        <v>40</v>
      </c>
      <c r="F427" s="95" t="s">
        <v>568</v>
      </c>
      <c r="G427" s="94" t="s">
        <v>321</v>
      </c>
      <c r="H427" s="94" t="s">
        <v>242</v>
      </c>
      <c r="I427" s="94" t="s">
        <v>10</v>
      </c>
      <c r="J427" s="94" t="s">
        <v>218</v>
      </c>
      <c r="K427" s="95" t="s">
        <v>243</v>
      </c>
      <c r="L427" s="96">
        <v>18</v>
      </c>
      <c r="M427" s="96">
        <f>L427*VLOOKUP(I427,dagsoorttabel1,2,FALSE)</f>
        <v>18</v>
      </c>
      <c r="N427" s="97">
        <f>prodnorm21</f>
        <v>0</v>
      </c>
      <c r="O427" s="41">
        <f>dagwerk21</f>
        <v>0</v>
      </c>
      <c r="P427" s="94" t="s">
        <v>107</v>
      </c>
      <c r="Q427" s="26">
        <f>uurtarief21</f>
        <v>0</v>
      </c>
      <c r="R427" s="96" t="e">
        <f>IF(ISBLANK(N427),0,M427/ROUND(N427,4))</f>
        <v>#DIV/0!</v>
      </c>
      <c r="S427" s="96" t="e">
        <f>IF(ISBLANK(N427),0,R427*ROUND(O427,2))</f>
        <v>#DIV/0!</v>
      </c>
      <c r="T427" s="26" t="e">
        <f>ROUND(Q427,2)*R427</f>
        <v>#DIV/0!</v>
      </c>
      <c r="U427" s="96" t="e">
        <f>R427*dagenperjaar1</f>
        <v>#DIV/0!</v>
      </c>
      <c r="V427" s="27" t="e">
        <f>U427*ROUND(Q427,2)</f>
        <v>#DIV/0!</v>
      </c>
    </row>
    <row r="428" spans="1:22" x14ac:dyDescent="0.35">
      <c r="A428" s="93" t="s">
        <v>803</v>
      </c>
      <c r="B428" s="94" t="s">
        <v>40</v>
      </c>
      <c r="C428" s="94" t="s">
        <v>309</v>
      </c>
      <c r="D428" s="94" t="s">
        <v>961</v>
      </c>
      <c r="E428" s="94" t="s">
        <v>40</v>
      </c>
      <c r="F428" s="95" t="s">
        <v>568</v>
      </c>
      <c r="G428" s="94" t="s">
        <v>321</v>
      </c>
      <c r="H428" s="94" t="s">
        <v>244</v>
      </c>
      <c r="I428" s="94" t="s">
        <v>9</v>
      </c>
      <c r="J428" s="94" t="s">
        <v>218</v>
      </c>
      <c r="K428" s="95" t="s">
        <v>245</v>
      </c>
      <c r="L428" s="96">
        <v>18</v>
      </c>
      <c r="M428" s="96">
        <f>L428*VLOOKUP(I428,dagsoorttabel1,2,FALSE)</f>
        <v>54</v>
      </c>
      <c r="N428" s="97">
        <f>prodnorm22</f>
        <v>0</v>
      </c>
      <c r="O428" s="41">
        <f>dagwerk22</f>
        <v>0</v>
      </c>
      <c r="P428" s="94" t="s">
        <v>107</v>
      </c>
      <c r="Q428" s="26">
        <f>uurtarief22</f>
        <v>0</v>
      </c>
      <c r="R428" s="96" t="e">
        <f>IF(ISBLANK(N428),0,M428/ROUND(N428,4))</f>
        <v>#DIV/0!</v>
      </c>
      <c r="S428" s="96" t="e">
        <f>IF(ISBLANK(N428),0,R428*ROUND(O428,2))</f>
        <v>#DIV/0!</v>
      </c>
      <c r="T428" s="26" t="e">
        <f>ROUND(Q428,2)*R428</f>
        <v>#DIV/0!</v>
      </c>
      <c r="U428" s="96" t="e">
        <f>R428*dagenperjaar1</f>
        <v>#DIV/0!</v>
      </c>
      <c r="V428" s="27" t="e">
        <f>U428*ROUND(Q428,2)</f>
        <v>#DIV/0!</v>
      </c>
    </row>
    <row r="429" spans="1:22" x14ac:dyDescent="0.35">
      <c r="A429" s="93" t="s">
        <v>803</v>
      </c>
      <c r="B429" s="94" t="s">
        <v>40</v>
      </c>
      <c r="C429" s="94" t="s">
        <v>391</v>
      </c>
      <c r="D429" s="94" t="s">
        <v>962</v>
      </c>
      <c r="E429" s="94" t="s">
        <v>40</v>
      </c>
      <c r="F429" s="95" t="s">
        <v>589</v>
      </c>
      <c r="G429" s="94" t="s">
        <v>40</v>
      </c>
      <c r="H429" s="94" t="s">
        <v>316</v>
      </c>
      <c r="I429" s="94"/>
      <c r="J429" s="94"/>
      <c r="K429" s="94"/>
      <c r="L429" s="96">
        <v>0</v>
      </c>
      <c r="M429" s="96"/>
      <c r="N429" s="97"/>
      <c r="O429" s="41"/>
      <c r="P429" s="94"/>
      <c r="Q429" s="26"/>
      <c r="R429" s="96"/>
      <c r="S429" s="96"/>
      <c r="T429" s="26"/>
      <c r="U429" s="98"/>
      <c r="V429" s="27"/>
    </row>
    <row r="430" spans="1:22" x14ac:dyDescent="0.35">
      <c r="A430" s="93" t="s">
        <v>803</v>
      </c>
      <c r="B430" s="94" t="s">
        <v>40</v>
      </c>
      <c r="C430" s="94" t="s">
        <v>391</v>
      </c>
      <c r="D430" s="94" t="s">
        <v>963</v>
      </c>
      <c r="E430" s="94" t="s">
        <v>40</v>
      </c>
      <c r="F430" s="95" t="s">
        <v>835</v>
      </c>
      <c r="G430" s="94" t="s">
        <v>679</v>
      </c>
      <c r="H430" s="94" t="s">
        <v>256</v>
      </c>
      <c r="I430" s="94" t="s">
        <v>14</v>
      </c>
      <c r="J430" s="94" t="s">
        <v>218</v>
      </c>
      <c r="K430" s="95" t="s">
        <v>257</v>
      </c>
      <c r="L430" s="96">
        <v>10</v>
      </c>
      <c r="M430" s="96">
        <f>L430*VLOOKUP(I430,dagsoorttabel1,2,FALSE)</f>
        <v>2</v>
      </c>
      <c r="N430" s="97">
        <f>prodnorm35</f>
        <v>0</v>
      </c>
      <c r="O430" s="41">
        <f>dagwerk35</f>
        <v>0</v>
      </c>
      <c r="P430" s="94" t="s">
        <v>107</v>
      </c>
      <c r="Q430" s="26">
        <f>uurtarief35</f>
        <v>0</v>
      </c>
      <c r="R430" s="96" t="e">
        <f>IF(ISBLANK(N430),0,M430/ROUND(N430,4))</f>
        <v>#DIV/0!</v>
      </c>
      <c r="S430" s="96" t="e">
        <f>IF(ISBLANK(N430),0,R430*ROUND(O430,2))</f>
        <v>#DIV/0!</v>
      </c>
      <c r="T430" s="26" t="e">
        <f>ROUND(Q430,2)*R430</f>
        <v>#DIV/0!</v>
      </c>
      <c r="U430" s="96" t="e">
        <f>R430*dagenperjaar1</f>
        <v>#DIV/0!</v>
      </c>
      <c r="V430" s="27" t="e">
        <f>U430*ROUND(Q430,2)</f>
        <v>#DIV/0!</v>
      </c>
    </row>
    <row r="431" spans="1:22" x14ac:dyDescent="0.35">
      <c r="A431" s="93" t="s">
        <v>803</v>
      </c>
      <c r="B431" s="94" t="s">
        <v>40</v>
      </c>
      <c r="C431" s="94" t="s">
        <v>391</v>
      </c>
      <c r="D431" s="94" t="s">
        <v>964</v>
      </c>
      <c r="E431" s="94" t="s">
        <v>40</v>
      </c>
      <c r="F431" s="95" t="s">
        <v>835</v>
      </c>
      <c r="G431" s="94" t="s">
        <v>679</v>
      </c>
      <c r="H431" s="94" t="s">
        <v>256</v>
      </c>
      <c r="I431" s="94" t="s">
        <v>14</v>
      </c>
      <c r="J431" s="94" t="s">
        <v>218</v>
      </c>
      <c r="K431" s="95" t="s">
        <v>257</v>
      </c>
      <c r="L431" s="96">
        <v>8</v>
      </c>
      <c r="M431" s="96">
        <f>L431*VLOOKUP(I431,dagsoorttabel1,2,FALSE)</f>
        <v>1.6</v>
      </c>
      <c r="N431" s="97">
        <f>prodnorm35</f>
        <v>0</v>
      </c>
      <c r="O431" s="41">
        <f>dagwerk35</f>
        <v>0</v>
      </c>
      <c r="P431" s="94" t="s">
        <v>107</v>
      </c>
      <c r="Q431" s="26">
        <f>uurtarief35</f>
        <v>0</v>
      </c>
      <c r="R431" s="96" t="e">
        <f>IF(ISBLANK(N431),0,M431/ROUND(N431,4))</f>
        <v>#DIV/0!</v>
      </c>
      <c r="S431" s="96" t="e">
        <f>IF(ISBLANK(N431),0,R431*ROUND(O431,2))</f>
        <v>#DIV/0!</v>
      </c>
      <c r="T431" s="26" t="e">
        <f>ROUND(Q431,2)*R431</f>
        <v>#DIV/0!</v>
      </c>
      <c r="U431" s="96" t="e">
        <f>R431*dagenperjaar1</f>
        <v>#DIV/0!</v>
      </c>
      <c r="V431" s="27" t="e">
        <f>U431*ROUND(Q431,2)</f>
        <v>#DIV/0!</v>
      </c>
    </row>
    <row r="432" spans="1:22" x14ac:dyDescent="0.35">
      <c r="A432" s="93" t="s">
        <v>803</v>
      </c>
      <c r="B432" s="94" t="s">
        <v>40</v>
      </c>
      <c r="C432" s="94" t="s">
        <v>391</v>
      </c>
      <c r="D432" s="94" t="s">
        <v>965</v>
      </c>
      <c r="E432" s="94" t="s">
        <v>40</v>
      </c>
      <c r="F432" s="95" t="s">
        <v>765</v>
      </c>
      <c r="G432" s="94" t="s">
        <v>40</v>
      </c>
      <c r="H432" s="94" t="s">
        <v>316</v>
      </c>
      <c r="I432" s="94"/>
      <c r="J432" s="94"/>
      <c r="K432" s="94"/>
      <c r="L432" s="96">
        <v>0</v>
      </c>
      <c r="M432" s="96"/>
      <c r="N432" s="97"/>
      <c r="O432" s="41"/>
      <c r="P432" s="94"/>
      <c r="Q432" s="26"/>
      <c r="R432" s="96"/>
      <c r="S432" s="96"/>
      <c r="T432" s="26"/>
      <c r="U432" s="98"/>
      <c r="V432" s="27"/>
    </row>
    <row r="433" spans="1:22" x14ac:dyDescent="0.35">
      <c r="A433" s="93" t="s">
        <v>803</v>
      </c>
      <c r="B433" s="94" t="s">
        <v>40</v>
      </c>
      <c r="C433" s="94" t="s">
        <v>391</v>
      </c>
      <c r="D433" s="94" t="s">
        <v>966</v>
      </c>
      <c r="E433" s="94" t="s">
        <v>40</v>
      </c>
      <c r="F433" s="95" t="s">
        <v>589</v>
      </c>
      <c r="G433" s="94" t="s">
        <v>40</v>
      </c>
      <c r="H433" s="94" t="s">
        <v>316</v>
      </c>
      <c r="I433" s="94"/>
      <c r="J433" s="94"/>
      <c r="K433" s="94"/>
      <c r="L433" s="96">
        <v>0</v>
      </c>
      <c r="M433" s="96"/>
      <c r="N433" s="97"/>
      <c r="O433" s="41"/>
      <c r="P433" s="94"/>
      <c r="Q433" s="26"/>
      <c r="R433" s="96"/>
      <c r="S433" s="96"/>
      <c r="T433" s="26"/>
      <c r="U433" s="98"/>
      <c r="V433" s="27"/>
    </row>
    <row r="434" spans="1:22" x14ac:dyDescent="0.35">
      <c r="A434" s="93" t="s">
        <v>803</v>
      </c>
      <c r="B434" s="94" t="s">
        <v>40</v>
      </c>
      <c r="C434" s="94" t="s">
        <v>391</v>
      </c>
      <c r="D434" s="94" t="s">
        <v>967</v>
      </c>
      <c r="E434" s="94" t="s">
        <v>40</v>
      </c>
      <c r="F434" s="95" t="s">
        <v>968</v>
      </c>
      <c r="G434" s="94" t="s">
        <v>40</v>
      </c>
      <c r="H434" s="94" t="s">
        <v>316</v>
      </c>
      <c r="I434" s="94"/>
      <c r="J434" s="94"/>
      <c r="K434" s="94"/>
      <c r="L434" s="96">
        <v>0</v>
      </c>
      <c r="M434" s="96"/>
      <c r="N434" s="97"/>
      <c r="O434" s="41"/>
      <c r="P434" s="94"/>
      <c r="Q434" s="26"/>
      <c r="R434" s="96"/>
      <c r="S434" s="96"/>
      <c r="T434" s="26"/>
      <c r="U434" s="98"/>
      <c r="V434" s="27"/>
    </row>
    <row r="435" spans="1:22" x14ac:dyDescent="0.35">
      <c r="A435" s="93" t="s">
        <v>803</v>
      </c>
      <c r="B435" s="94" t="s">
        <v>40</v>
      </c>
      <c r="C435" s="94" t="s">
        <v>391</v>
      </c>
      <c r="D435" s="94" t="s">
        <v>969</v>
      </c>
      <c r="E435" s="94" t="s">
        <v>40</v>
      </c>
      <c r="F435" s="95" t="s">
        <v>765</v>
      </c>
      <c r="G435" s="94" t="s">
        <v>40</v>
      </c>
      <c r="H435" s="94" t="s">
        <v>316</v>
      </c>
      <c r="I435" s="94"/>
      <c r="J435" s="94"/>
      <c r="K435" s="94"/>
      <c r="L435" s="96">
        <v>0</v>
      </c>
      <c r="M435" s="96"/>
      <c r="N435" s="97"/>
      <c r="O435" s="41"/>
      <c r="P435" s="94"/>
      <c r="Q435" s="26"/>
      <c r="R435" s="96"/>
      <c r="S435" s="96"/>
      <c r="T435" s="26"/>
      <c r="U435" s="98"/>
      <c r="V435" s="27"/>
    </row>
    <row r="436" spans="1:22" x14ac:dyDescent="0.35">
      <c r="A436" s="93" t="s">
        <v>803</v>
      </c>
      <c r="B436" s="94" t="s">
        <v>40</v>
      </c>
      <c r="C436" s="94" t="s">
        <v>391</v>
      </c>
      <c r="D436" s="94" t="s">
        <v>970</v>
      </c>
      <c r="E436" s="94" t="s">
        <v>40</v>
      </c>
      <c r="F436" s="95" t="s">
        <v>971</v>
      </c>
      <c r="G436" s="94" t="s">
        <v>40</v>
      </c>
      <c r="H436" s="94" t="s">
        <v>316</v>
      </c>
      <c r="I436" s="94"/>
      <c r="J436" s="94"/>
      <c r="K436" s="94"/>
      <c r="L436" s="96">
        <v>0</v>
      </c>
      <c r="M436" s="96"/>
      <c r="N436" s="97"/>
      <c r="O436" s="41"/>
      <c r="P436" s="94"/>
      <c r="Q436" s="26"/>
      <c r="R436" s="96"/>
      <c r="S436" s="96"/>
      <c r="T436" s="26"/>
      <c r="U436" s="98"/>
      <c r="V436" s="27"/>
    </row>
    <row r="437" spans="1:22" x14ac:dyDescent="0.35">
      <c r="A437" s="93" t="s">
        <v>803</v>
      </c>
      <c r="B437" s="94" t="s">
        <v>40</v>
      </c>
      <c r="C437" s="94" t="s">
        <v>391</v>
      </c>
      <c r="D437" s="94" t="s">
        <v>972</v>
      </c>
      <c r="E437" s="94" t="s">
        <v>40</v>
      </c>
      <c r="F437" s="95" t="s">
        <v>479</v>
      </c>
      <c r="G437" s="94" t="s">
        <v>40</v>
      </c>
      <c r="H437" s="94" t="s">
        <v>316</v>
      </c>
      <c r="I437" s="94"/>
      <c r="J437" s="94"/>
      <c r="K437" s="94"/>
      <c r="L437" s="96">
        <v>0</v>
      </c>
      <c r="M437" s="96"/>
      <c r="N437" s="97"/>
      <c r="O437" s="41"/>
      <c r="P437" s="94"/>
      <c r="Q437" s="26"/>
      <c r="R437" s="96"/>
      <c r="S437" s="96"/>
      <c r="T437" s="26"/>
      <c r="U437" s="98"/>
      <c r="V437" s="27"/>
    </row>
    <row r="438" spans="1:22" x14ac:dyDescent="0.35">
      <c r="A438" s="93" t="s">
        <v>803</v>
      </c>
      <c r="B438" s="94" t="s">
        <v>40</v>
      </c>
      <c r="C438" s="94" t="s">
        <v>391</v>
      </c>
      <c r="D438" s="94" t="s">
        <v>973</v>
      </c>
      <c r="E438" s="94" t="s">
        <v>40</v>
      </c>
      <c r="F438" s="95" t="s">
        <v>974</v>
      </c>
      <c r="G438" s="94" t="s">
        <v>335</v>
      </c>
      <c r="H438" s="94" t="s">
        <v>228</v>
      </c>
      <c r="I438" s="94" t="s">
        <v>10</v>
      </c>
      <c r="J438" s="94" t="s">
        <v>218</v>
      </c>
      <c r="K438" s="95" t="s">
        <v>229</v>
      </c>
      <c r="L438" s="96">
        <v>34</v>
      </c>
      <c r="M438" s="96">
        <f>L438*VLOOKUP(I438,dagsoorttabel1,2,FALSE)</f>
        <v>34</v>
      </c>
      <c r="N438" s="97">
        <f>prodnorm11</f>
        <v>0</v>
      </c>
      <c r="O438" s="41">
        <f>dagwerk11</f>
        <v>0</v>
      </c>
      <c r="P438" s="94" t="s">
        <v>107</v>
      </c>
      <c r="Q438" s="26">
        <f>uurtarief11</f>
        <v>0</v>
      </c>
      <c r="R438" s="96" t="e">
        <f>IF(ISBLANK(N438),0,M438/ROUND(N438,4))</f>
        <v>#DIV/0!</v>
      </c>
      <c r="S438" s="96" t="e">
        <f>IF(ISBLANK(N438),0,R438*ROUND(O438,2))</f>
        <v>#DIV/0!</v>
      </c>
      <c r="T438" s="26" t="e">
        <f>ROUND(Q438,2)*R438</f>
        <v>#DIV/0!</v>
      </c>
      <c r="U438" s="96" t="e">
        <f>R438*dagenperjaar1</f>
        <v>#DIV/0!</v>
      </c>
      <c r="V438" s="27" t="e">
        <f>U438*ROUND(Q438,2)</f>
        <v>#DIV/0!</v>
      </c>
    </row>
    <row r="439" spans="1:22" x14ac:dyDescent="0.35">
      <c r="A439" s="93" t="s">
        <v>803</v>
      </c>
      <c r="B439" s="94" t="s">
        <v>40</v>
      </c>
      <c r="C439" s="94" t="s">
        <v>391</v>
      </c>
      <c r="D439" s="94" t="s">
        <v>975</v>
      </c>
      <c r="E439" s="94" t="s">
        <v>40</v>
      </c>
      <c r="F439" s="95" t="s">
        <v>974</v>
      </c>
      <c r="G439" s="94" t="s">
        <v>335</v>
      </c>
      <c r="H439" s="94" t="s">
        <v>228</v>
      </c>
      <c r="I439" s="94" t="s">
        <v>10</v>
      </c>
      <c r="J439" s="94" t="s">
        <v>218</v>
      </c>
      <c r="K439" s="95" t="s">
        <v>229</v>
      </c>
      <c r="L439" s="96">
        <v>44</v>
      </c>
      <c r="M439" s="96">
        <f>L439*VLOOKUP(I439,dagsoorttabel1,2,FALSE)</f>
        <v>44</v>
      </c>
      <c r="N439" s="97">
        <f>prodnorm11</f>
        <v>0</v>
      </c>
      <c r="O439" s="41">
        <f>dagwerk11</f>
        <v>0</v>
      </c>
      <c r="P439" s="94" t="s">
        <v>107</v>
      </c>
      <c r="Q439" s="26">
        <f>uurtarief11</f>
        <v>0</v>
      </c>
      <c r="R439" s="96" t="e">
        <f>IF(ISBLANK(N439),0,M439/ROUND(N439,4))</f>
        <v>#DIV/0!</v>
      </c>
      <c r="S439" s="96" t="e">
        <f>IF(ISBLANK(N439),0,R439*ROUND(O439,2))</f>
        <v>#DIV/0!</v>
      </c>
      <c r="T439" s="26" t="e">
        <f>ROUND(Q439,2)*R439</f>
        <v>#DIV/0!</v>
      </c>
      <c r="U439" s="96" t="e">
        <f>R439*dagenperjaar1</f>
        <v>#DIV/0!</v>
      </c>
      <c r="V439" s="27" t="e">
        <f>U439*ROUND(Q439,2)</f>
        <v>#DIV/0!</v>
      </c>
    </row>
    <row r="440" spans="1:22" x14ac:dyDescent="0.35">
      <c r="A440" s="93" t="s">
        <v>803</v>
      </c>
      <c r="B440" s="94" t="s">
        <v>40</v>
      </c>
      <c r="C440" s="94" t="s">
        <v>391</v>
      </c>
      <c r="D440" s="94" t="s">
        <v>976</v>
      </c>
      <c r="E440" s="94" t="s">
        <v>40</v>
      </c>
      <c r="F440" s="95" t="s">
        <v>479</v>
      </c>
      <c r="G440" s="94" t="s">
        <v>40</v>
      </c>
      <c r="H440" s="94" t="s">
        <v>316</v>
      </c>
      <c r="I440" s="94"/>
      <c r="J440" s="94"/>
      <c r="K440" s="94"/>
      <c r="L440" s="96">
        <v>0</v>
      </c>
      <c r="M440" s="96"/>
      <c r="N440" s="97"/>
      <c r="O440" s="41"/>
      <c r="P440" s="94"/>
      <c r="Q440" s="26"/>
      <c r="R440" s="96"/>
      <c r="S440" s="96"/>
      <c r="T440" s="26"/>
      <c r="U440" s="98"/>
      <c r="V440" s="27"/>
    </row>
    <row r="441" spans="1:22" x14ac:dyDescent="0.35">
      <c r="A441" s="93" t="s">
        <v>803</v>
      </c>
      <c r="B441" s="94" t="s">
        <v>40</v>
      </c>
      <c r="C441" s="94" t="s">
        <v>391</v>
      </c>
      <c r="D441" s="94" t="s">
        <v>977</v>
      </c>
      <c r="E441" s="94" t="s">
        <v>40</v>
      </c>
      <c r="F441" s="95" t="s">
        <v>479</v>
      </c>
      <c r="G441" s="94" t="s">
        <v>40</v>
      </c>
      <c r="H441" s="94" t="s">
        <v>316</v>
      </c>
      <c r="I441" s="94"/>
      <c r="J441" s="94"/>
      <c r="K441" s="94"/>
      <c r="L441" s="96">
        <v>0</v>
      </c>
      <c r="M441" s="96"/>
      <c r="N441" s="97"/>
      <c r="O441" s="41"/>
      <c r="P441" s="94"/>
      <c r="Q441" s="26"/>
      <c r="R441" s="96"/>
      <c r="S441" s="96"/>
      <c r="T441" s="26"/>
      <c r="U441" s="98"/>
      <c r="V441" s="27"/>
    </row>
    <row r="442" spans="1:22" x14ac:dyDescent="0.35">
      <c r="A442" s="93" t="s">
        <v>803</v>
      </c>
      <c r="B442" s="94" t="s">
        <v>40</v>
      </c>
      <c r="C442" s="94" t="s">
        <v>391</v>
      </c>
      <c r="D442" s="94" t="s">
        <v>978</v>
      </c>
      <c r="E442" s="94" t="s">
        <v>40</v>
      </c>
      <c r="F442" s="95" t="s">
        <v>979</v>
      </c>
      <c r="G442" s="94" t="s">
        <v>335</v>
      </c>
      <c r="H442" s="94" t="s">
        <v>226</v>
      </c>
      <c r="I442" s="94" t="s">
        <v>10</v>
      </c>
      <c r="J442" s="94" t="s">
        <v>218</v>
      </c>
      <c r="K442" s="95" t="s">
        <v>227</v>
      </c>
      <c r="L442" s="96">
        <v>8</v>
      </c>
      <c r="M442" s="96">
        <f>L442*VLOOKUP(I442,dagsoorttabel1,2,FALSE)</f>
        <v>8</v>
      </c>
      <c r="N442" s="97">
        <f>prodnorm10</f>
        <v>0</v>
      </c>
      <c r="O442" s="41">
        <f>dagwerk10</f>
        <v>0</v>
      </c>
      <c r="P442" s="94" t="s">
        <v>107</v>
      </c>
      <c r="Q442" s="26">
        <f>uurtarief10</f>
        <v>0</v>
      </c>
      <c r="R442" s="96" t="e">
        <f>IF(ISBLANK(N442),0,M442/ROUND(N442,4))</f>
        <v>#DIV/0!</v>
      </c>
      <c r="S442" s="96" t="e">
        <f>IF(ISBLANK(N442),0,R442*ROUND(O442,2))</f>
        <v>#DIV/0!</v>
      </c>
      <c r="T442" s="26" t="e">
        <f>ROUND(Q442,2)*R442</f>
        <v>#DIV/0!</v>
      </c>
      <c r="U442" s="96" t="e">
        <f>R442*dagenperjaar1</f>
        <v>#DIV/0!</v>
      </c>
      <c r="V442" s="27" t="e">
        <f>U442*ROUND(Q442,2)</f>
        <v>#DIV/0!</v>
      </c>
    </row>
    <row r="443" spans="1:22" x14ac:dyDescent="0.35">
      <c r="A443" s="93" t="s">
        <v>803</v>
      </c>
      <c r="B443" s="94" t="s">
        <v>40</v>
      </c>
      <c r="C443" s="94" t="s">
        <v>391</v>
      </c>
      <c r="D443" s="94" t="s">
        <v>980</v>
      </c>
      <c r="E443" s="94" t="s">
        <v>40</v>
      </c>
      <c r="F443" s="95" t="s">
        <v>835</v>
      </c>
      <c r="G443" s="94" t="s">
        <v>679</v>
      </c>
      <c r="H443" s="94" t="s">
        <v>256</v>
      </c>
      <c r="I443" s="94" t="s">
        <v>14</v>
      </c>
      <c r="J443" s="94" t="s">
        <v>218</v>
      </c>
      <c r="K443" s="95" t="s">
        <v>257</v>
      </c>
      <c r="L443" s="96">
        <v>10</v>
      </c>
      <c r="M443" s="96">
        <f>L443*VLOOKUP(I443,dagsoorttabel1,2,FALSE)</f>
        <v>2</v>
      </c>
      <c r="N443" s="97">
        <f>prodnorm35</f>
        <v>0</v>
      </c>
      <c r="O443" s="41">
        <f>dagwerk35</f>
        <v>0</v>
      </c>
      <c r="P443" s="94" t="s">
        <v>107</v>
      </c>
      <c r="Q443" s="26">
        <f>uurtarief35</f>
        <v>0</v>
      </c>
      <c r="R443" s="96" t="e">
        <f>IF(ISBLANK(N443),0,M443/ROUND(N443,4))</f>
        <v>#DIV/0!</v>
      </c>
      <c r="S443" s="96" t="e">
        <f>IF(ISBLANK(N443),0,R443*ROUND(O443,2))</f>
        <v>#DIV/0!</v>
      </c>
      <c r="T443" s="26" t="e">
        <f>ROUND(Q443,2)*R443</f>
        <v>#DIV/0!</v>
      </c>
      <c r="U443" s="96" t="e">
        <f>R443*dagenperjaar1</f>
        <v>#DIV/0!</v>
      </c>
      <c r="V443" s="27" t="e">
        <f>U443*ROUND(Q443,2)</f>
        <v>#DIV/0!</v>
      </c>
    </row>
    <row r="444" spans="1:22" x14ac:dyDescent="0.35">
      <c r="A444" s="93" t="s">
        <v>803</v>
      </c>
      <c r="B444" s="94" t="s">
        <v>40</v>
      </c>
      <c r="C444" s="94" t="s">
        <v>417</v>
      </c>
      <c r="D444" s="94" t="s">
        <v>981</v>
      </c>
      <c r="E444" s="94" t="s">
        <v>40</v>
      </c>
      <c r="F444" s="95" t="s">
        <v>982</v>
      </c>
      <c r="G444" s="94" t="s">
        <v>40</v>
      </c>
      <c r="H444" s="94" t="s">
        <v>316</v>
      </c>
      <c r="I444" s="94"/>
      <c r="J444" s="94"/>
      <c r="K444" s="94"/>
      <c r="L444" s="96">
        <v>0</v>
      </c>
      <c r="M444" s="96"/>
      <c r="N444" s="97"/>
      <c r="O444" s="41"/>
      <c r="P444" s="94"/>
      <c r="Q444" s="26"/>
      <c r="R444" s="96"/>
      <c r="S444" s="96"/>
      <c r="T444" s="26"/>
      <c r="U444" s="98"/>
      <c r="V444" s="27"/>
    </row>
    <row r="445" spans="1:22" x14ac:dyDescent="0.35">
      <c r="A445" s="93" t="s">
        <v>803</v>
      </c>
      <c r="B445" s="94" t="s">
        <v>40</v>
      </c>
      <c r="C445" s="94" t="s">
        <v>417</v>
      </c>
      <c r="D445" s="94" t="s">
        <v>983</v>
      </c>
      <c r="E445" s="94" t="s">
        <v>40</v>
      </c>
      <c r="F445" s="95" t="s">
        <v>984</v>
      </c>
      <c r="G445" s="94" t="s">
        <v>985</v>
      </c>
      <c r="H445" s="94" t="s">
        <v>316</v>
      </c>
      <c r="I445" s="94"/>
      <c r="J445" s="94"/>
      <c r="K445" s="94"/>
      <c r="L445" s="96">
        <v>88</v>
      </c>
      <c r="M445" s="96"/>
      <c r="N445" s="97"/>
      <c r="O445" s="41"/>
      <c r="P445" s="94"/>
      <c r="Q445" s="26"/>
      <c r="R445" s="96"/>
      <c r="S445" s="96"/>
      <c r="T445" s="26"/>
      <c r="U445" s="98"/>
      <c r="V445" s="27"/>
    </row>
    <row r="446" spans="1:22" x14ac:dyDescent="0.35">
      <c r="A446" s="93" t="s">
        <v>803</v>
      </c>
      <c r="B446" s="94" t="s">
        <v>40</v>
      </c>
      <c r="C446" s="94" t="s">
        <v>417</v>
      </c>
      <c r="D446" s="94" t="s">
        <v>986</v>
      </c>
      <c r="E446" s="94" t="s">
        <v>40</v>
      </c>
      <c r="F446" s="95" t="s">
        <v>984</v>
      </c>
      <c r="G446" s="94" t="s">
        <v>985</v>
      </c>
      <c r="H446" s="94" t="s">
        <v>316</v>
      </c>
      <c r="I446" s="94"/>
      <c r="J446" s="94"/>
      <c r="K446" s="94"/>
      <c r="L446" s="96">
        <v>55</v>
      </c>
      <c r="M446" s="96"/>
      <c r="N446" s="97"/>
      <c r="O446" s="41"/>
      <c r="P446" s="94"/>
      <c r="Q446" s="26"/>
      <c r="R446" s="96"/>
      <c r="S446" s="96"/>
      <c r="T446" s="26"/>
      <c r="U446" s="98"/>
      <c r="V446" s="27"/>
    </row>
    <row r="447" spans="1:22" x14ac:dyDescent="0.35">
      <c r="A447" s="93" t="s">
        <v>803</v>
      </c>
      <c r="B447" s="94" t="s">
        <v>40</v>
      </c>
      <c r="C447" s="94" t="s">
        <v>417</v>
      </c>
      <c r="D447" s="94" t="s">
        <v>987</v>
      </c>
      <c r="E447" s="94" t="s">
        <v>40</v>
      </c>
      <c r="F447" s="95" t="s">
        <v>988</v>
      </c>
      <c r="G447" s="94" t="s">
        <v>40</v>
      </c>
      <c r="H447" s="94" t="s">
        <v>316</v>
      </c>
      <c r="I447" s="94"/>
      <c r="J447" s="94"/>
      <c r="K447" s="94"/>
      <c r="L447" s="96">
        <v>0</v>
      </c>
      <c r="M447" s="96"/>
      <c r="N447" s="97"/>
      <c r="O447" s="41"/>
      <c r="P447" s="94"/>
      <c r="Q447" s="26"/>
      <c r="R447" s="96"/>
      <c r="S447" s="96"/>
      <c r="T447" s="26"/>
      <c r="U447" s="98"/>
      <c r="V447" s="27"/>
    </row>
    <row r="448" spans="1:22" x14ac:dyDescent="0.35">
      <c r="A448" s="93" t="s">
        <v>803</v>
      </c>
      <c r="B448" s="94" t="s">
        <v>40</v>
      </c>
      <c r="C448" s="94" t="s">
        <v>417</v>
      </c>
      <c r="D448" s="94" t="s">
        <v>989</v>
      </c>
      <c r="E448" s="94" t="s">
        <v>40</v>
      </c>
      <c r="F448" s="95" t="s">
        <v>883</v>
      </c>
      <c r="G448" s="94" t="s">
        <v>535</v>
      </c>
      <c r="H448" s="94" t="s">
        <v>234</v>
      </c>
      <c r="I448" s="94" t="s">
        <v>10</v>
      </c>
      <c r="J448" s="94" t="s">
        <v>218</v>
      </c>
      <c r="K448" s="95" t="s">
        <v>235</v>
      </c>
      <c r="L448" s="96">
        <v>88</v>
      </c>
      <c r="M448" s="96">
        <f>L448*VLOOKUP(I448,dagsoorttabel1,2,FALSE)</f>
        <v>88</v>
      </c>
      <c r="N448" s="97">
        <f>prodnorm15</f>
        <v>0</v>
      </c>
      <c r="O448" s="41">
        <f>dagwerk15</f>
        <v>0</v>
      </c>
      <c r="P448" s="94" t="s">
        <v>107</v>
      </c>
      <c r="Q448" s="26">
        <f>uurtarief15</f>
        <v>0</v>
      </c>
      <c r="R448" s="96" t="e">
        <f>IF(ISBLANK(N448),0,M448/ROUND(N448,4))</f>
        <v>#DIV/0!</v>
      </c>
      <c r="S448" s="96" t="e">
        <f>IF(ISBLANK(N448),0,R448*ROUND(O448,2))</f>
        <v>#DIV/0!</v>
      </c>
      <c r="T448" s="26" t="e">
        <f>ROUND(Q448,2)*R448</f>
        <v>#DIV/0!</v>
      </c>
      <c r="U448" s="96" t="e">
        <f>R448*dagenperjaar1</f>
        <v>#DIV/0!</v>
      </c>
      <c r="V448" s="27" t="e">
        <f>U448*ROUND(Q448,2)</f>
        <v>#DIV/0!</v>
      </c>
    </row>
    <row r="449" spans="1:22" x14ac:dyDescent="0.35">
      <c r="A449" s="93" t="s">
        <v>803</v>
      </c>
      <c r="B449" s="94" t="s">
        <v>40</v>
      </c>
      <c r="C449" s="94" t="s">
        <v>417</v>
      </c>
      <c r="D449" s="94" t="s">
        <v>990</v>
      </c>
      <c r="E449" s="94" t="s">
        <v>40</v>
      </c>
      <c r="F449" s="95" t="s">
        <v>982</v>
      </c>
      <c r="G449" s="94" t="s">
        <v>40</v>
      </c>
      <c r="H449" s="94" t="s">
        <v>316</v>
      </c>
      <c r="I449" s="94"/>
      <c r="J449" s="94"/>
      <c r="K449" s="94"/>
      <c r="L449" s="96">
        <v>0</v>
      </c>
      <c r="M449" s="96"/>
      <c r="N449" s="97"/>
      <c r="O449" s="41"/>
      <c r="P449" s="94"/>
      <c r="Q449" s="26"/>
      <c r="R449" s="96"/>
      <c r="S449" s="96"/>
      <c r="T449" s="26"/>
      <c r="U449" s="98"/>
      <c r="V449" s="27"/>
    </row>
    <row r="450" spans="1:22" x14ac:dyDescent="0.35">
      <c r="A450" s="93" t="s">
        <v>803</v>
      </c>
      <c r="B450" s="94" t="s">
        <v>40</v>
      </c>
      <c r="C450" s="94" t="s">
        <v>417</v>
      </c>
      <c r="D450" s="94" t="s">
        <v>991</v>
      </c>
      <c r="E450" s="94" t="s">
        <v>40</v>
      </c>
      <c r="F450" s="95" t="s">
        <v>883</v>
      </c>
      <c r="G450" s="94" t="s">
        <v>535</v>
      </c>
      <c r="H450" s="94" t="s">
        <v>234</v>
      </c>
      <c r="I450" s="94" t="s">
        <v>10</v>
      </c>
      <c r="J450" s="94" t="s">
        <v>218</v>
      </c>
      <c r="K450" s="95" t="s">
        <v>235</v>
      </c>
      <c r="L450" s="96">
        <v>31</v>
      </c>
      <c r="M450" s="96">
        <f>L450*VLOOKUP(I450,dagsoorttabel1,2,FALSE)</f>
        <v>31</v>
      </c>
      <c r="N450" s="97">
        <f>prodnorm15</f>
        <v>0</v>
      </c>
      <c r="O450" s="41">
        <f>dagwerk15</f>
        <v>0</v>
      </c>
      <c r="P450" s="94" t="s">
        <v>107</v>
      </c>
      <c r="Q450" s="26">
        <f>uurtarief15</f>
        <v>0</v>
      </c>
      <c r="R450" s="96" t="e">
        <f>IF(ISBLANK(N450),0,M450/ROUND(N450,4))</f>
        <v>#DIV/0!</v>
      </c>
      <c r="S450" s="96" t="e">
        <f>IF(ISBLANK(N450),0,R450*ROUND(O450,2))</f>
        <v>#DIV/0!</v>
      </c>
      <c r="T450" s="26" t="e">
        <f>ROUND(Q450,2)*R450</f>
        <v>#DIV/0!</v>
      </c>
      <c r="U450" s="96" t="e">
        <f>R450*dagenperjaar1</f>
        <v>#DIV/0!</v>
      </c>
      <c r="V450" s="27" t="e">
        <f>U450*ROUND(Q450,2)</f>
        <v>#DIV/0!</v>
      </c>
    </row>
    <row r="451" spans="1:22" x14ac:dyDescent="0.35">
      <c r="A451" s="93" t="s">
        <v>803</v>
      </c>
      <c r="B451" s="94" t="s">
        <v>40</v>
      </c>
      <c r="C451" s="94" t="s">
        <v>417</v>
      </c>
      <c r="D451" s="94" t="s">
        <v>992</v>
      </c>
      <c r="E451" s="94" t="s">
        <v>40</v>
      </c>
      <c r="F451" s="95" t="s">
        <v>883</v>
      </c>
      <c r="G451" s="94" t="s">
        <v>535</v>
      </c>
      <c r="H451" s="94" t="s">
        <v>234</v>
      </c>
      <c r="I451" s="94" t="s">
        <v>10</v>
      </c>
      <c r="J451" s="94" t="s">
        <v>218</v>
      </c>
      <c r="K451" s="95" t="s">
        <v>235</v>
      </c>
      <c r="L451" s="96">
        <v>30</v>
      </c>
      <c r="M451" s="96">
        <f>L451*VLOOKUP(I451,dagsoorttabel1,2,FALSE)</f>
        <v>30</v>
      </c>
      <c r="N451" s="97">
        <f>prodnorm15</f>
        <v>0</v>
      </c>
      <c r="O451" s="41">
        <f>dagwerk15</f>
        <v>0</v>
      </c>
      <c r="P451" s="94" t="s">
        <v>107</v>
      </c>
      <c r="Q451" s="26">
        <f>uurtarief15</f>
        <v>0</v>
      </c>
      <c r="R451" s="96" t="e">
        <f>IF(ISBLANK(N451),0,M451/ROUND(N451,4))</f>
        <v>#DIV/0!</v>
      </c>
      <c r="S451" s="96" t="e">
        <f>IF(ISBLANK(N451),0,R451*ROUND(O451,2))</f>
        <v>#DIV/0!</v>
      </c>
      <c r="T451" s="26" t="e">
        <f>ROUND(Q451,2)*R451</f>
        <v>#DIV/0!</v>
      </c>
      <c r="U451" s="96" t="e">
        <f>R451*dagenperjaar1</f>
        <v>#DIV/0!</v>
      </c>
      <c r="V451" s="27" t="e">
        <f>U451*ROUND(Q451,2)</f>
        <v>#DIV/0!</v>
      </c>
    </row>
    <row r="452" spans="1:22" x14ac:dyDescent="0.35">
      <c r="A452" s="93" t="s">
        <v>803</v>
      </c>
      <c r="B452" s="94" t="s">
        <v>40</v>
      </c>
      <c r="C452" s="94" t="s">
        <v>417</v>
      </c>
      <c r="D452" s="94" t="s">
        <v>993</v>
      </c>
      <c r="E452" s="94" t="s">
        <v>40</v>
      </c>
      <c r="F452" s="95" t="s">
        <v>883</v>
      </c>
      <c r="G452" s="94" t="s">
        <v>535</v>
      </c>
      <c r="H452" s="94" t="s">
        <v>234</v>
      </c>
      <c r="I452" s="94" t="s">
        <v>10</v>
      </c>
      <c r="J452" s="94" t="s">
        <v>218</v>
      </c>
      <c r="K452" s="95" t="s">
        <v>235</v>
      </c>
      <c r="L452" s="96">
        <v>30</v>
      </c>
      <c r="M452" s="96">
        <f>L452*VLOOKUP(I452,dagsoorttabel1,2,FALSE)</f>
        <v>30</v>
      </c>
      <c r="N452" s="97">
        <f>prodnorm15</f>
        <v>0</v>
      </c>
      <c r="O452" s="41">
        <f>dagwerk15</f>
        <v>0</v>
      </c>
      <c r="P452" s="94" t="s">
        <v>107</v>
      </c>
      <c r="Q452" s="26">
        <f>uurtarief15</f>
        <v>0</v>
      </c>
      <c r="R452" s="96" t="e">
        <f>IF(ISBLANK(N452),0,M452/ROUND(N452,4))</f>
        <v>#DIV/0!</v>
      </c>
      <c r="S452" s="96" t="e">
        <f>IF(ISBLANK(N452),0,R452*ROUND(O452,2))</f>
        <v>#DIV/0!</v>
      </c>
      <c r="T452" s="26" t="e">
        <f>ROUND(Q452,2)*R452</f>
        <v>#DIV/0!</v>
      </c>
      <c r="U452" s="96" t="e">
        <f>R452*dagenperjaar1</f>
        <v>#DIV/0!</v>
      </c>
      <c r="V452" s="27" t="e">
        <f>U452*ROUND(Q452,2)</f>
        <v>#DIV/0!</v>
      </c>
    </row>
    <row r="453" spans="1:22" x14ac:dyDescent="0.35">
      <c r="A453" s="93" t="s">
        <v>803</v>
      </c>
      <c r="B453" s="94" t="s">
        <v>40</v>
      </c>
      <c r="C453" s="94" t="s">
        <v>417</v>
      </c>
      <c r="D453" s="94" t="s">
        <v>994</v>
      </c>
      <c r="E453" s="94" t="s">
        <v>40</v>
      </c>
      <c r="F453" s="95" t="s">
        <v>883</v>
      </c>
      <c r="G453" s="94" t="s">
        <v>535</v>
      </c>
      <c r="H453" s="94" t="s">
        <v>234</v>
      </c>
      <c r="I453" s="94" t="s">
        <v>10</v>
      </c>
      <c r="J453" s="94" t="s">
        <v>218</v>
      </c>
      <c r="K453" s="95" t="s">
        <v>235</v>
      </c>
      <c r="L453" s="96">
        <v>31</v>
      </c>
      <c r="M453" s="96">
        <f>L453*VLOOKUP(I453,dagsoorttabel1,2,FALSE)</f>
        <v>31</v>
      </c>
      <c r="N453" s="97">
        <f>prodnorm15</f>
        <v>0</v>
      </c>
      <c r="O453" s="41">
        <f>dagwerk15</f>
        <v>0</v>
      </c>
      <c r="P453" s="94" t="s">
        <v>107</v>
      </c>
      <c r="Q453" s="26">
        <f>uurtarief15</f>
        <v>0</v>
      </c>
      <c r="R453" s="96" t="e">
        <f>IF(ISBLANK(N453),0,M453/ROUND(N453,4))</f>
        <v>#DIV/0!</v>
      </c>
      <c r="S453" s="96" t="e">
        <f>IF(ISBLANK(N453),0,R453*ROUND(O453,2))</f>
        <v>#DIV/0!</v>
      </c>
      <c r="T453" s="26" t="e">
        <f>ROUND(Q453,2)*R453</f>
        <v>#DIV/0!</v>
      </c>
      <c r="U453" s="96" t="e">
        <f>R453*dagenperjaar1</f>
        <v>#DIV/0!</v>
      </c>
      <c r="V453" s="27" t="e">
        <f>U453*ROUND(Q453,2)</f>
        <v>#DIV/0!</v>
      </c>
    </row>
    <row r="454" spans="1:22" x14ac:dyDescent="0.35">
      <c r="A454" s="93" t="s">
        <v>803</v>
      </c>
      <c r="B454" s="94" t="s">
        <v>40</v>
      </c>
      <c r="C454" s="94" t="s">
        <v>417</v>
      </c>
      <c r="D454" s="94" t="s">
        <v>995</v>
      </c>
      <c r="E454" s="94" t="s">
        <v>40</v>
      </c>
      <c r="F454" s="95" t="s">
        <v>883</v>
      </c>
      <c r="G454" s="94" t="s">
        <v>535</v>
      </c>
      <c r="H454" s="94" t="s">
        <v>234</v>
      </c>
      <c r="I454" s="94" t="s">
        <v>10</v>
      </c>
      <c r="J454" s="94" t="s">
        <v>218</v>
      </c>
      <c r="K454" s="95" t="s">
        <v>235</v>
      </c>
      <c r="L454" s="96">
        <v>95</v>
      </c>
      <c r="M454" s="96">
        <f>L454*VLOOKUP(I454,dagsoorttabel1,2,FALSE)</f>
        <v>95</v>
      </c>
      <c r="N454" s="97">
        <f>prodnorm15</f>
        <v>0</v>
      </c>
      <c r="O454" s="41">
        <f>dagwerk15</f>
        <v>0</v>
      </c>
      <c r="P454" s="94" t="s">
        <v>107</v>
      </c>
      <c r="Q454" s="26">
        <f>uurtarief15</f>
        <v>0</v>
      </c>
      <c r="R454" s="96" t="e">
        <f>IF(ISBLANK(N454),0,M454/ROUND(N454,4))</f>
        <v>#DIV/0!</v>
      </c>
      <c r="S454" s="96" t="e">
        <f>IF(ISBLANK(N454),0,R454*ROUND(O454,2))</f>
        <v>#DIV/0!</v>
      </c>
      <c r="T454" s="26" t="e">
        <f>ROUND(Q454,2)*R454</f>
        <v>#DIV/0!</v>
      </c>
      <c r="U454" s="96" t="e">
        <f>R454*dagenperjaar1</f>
        <v>#DIV/0!</v>
      </c>
      <c r="V454" s="27" t="e">
        <f>U454*ROUND(Q454,2)</f>
        <v>#DIV/0!</v>
      </c>
    </row>
    <row r="455" spans="1:22" x14ac:dyDescent="0.35">
      <c r="A455" s="93" t="s">
        <v>803</v>
      </c>
      <c r="B455" s="94" t="s">
        <v>40</v>
      </c>
      <c r="C455" s="94" t="s">
        <v>417</v>
      </c>
      <c r="D455" s="94" t="s">
        <v>996</v>
      </c>
      <c r="E455" s="94" t="s">
        <v>40</v>
      </c>
      <c r="F455" s="95" t="s">
        <v>883</v>
      </c>
      <c r="G455" s="94" t="s">
        <v>535</v>
      </c>
      <c r="H455" s="94" t="s">
        <v>234</v>
      </c>
      <c r="I455" s="94" t="s">
        <v>10</v>
      </c>
      <c r="J455" s="94" t="s">
        <v>218</v>
      </c>
      <c r="K455" s="95" t="s">
        <v>235</v>
      </c>
      <c r="L455" s="96">
        <v>123</v>
      </c>
      <c r="M455" s="96">
        <f>L455*VLOOKUP(I455,dagsoorttabel1,2,FALSE)</f>
        <v>123</v>
      </c>
      <c r="N455" s="97">
        <f>prodnorm15</f>
        <v>0</v>
      </c>
      <c r="O455" s="41">
        <f>dagwerk15</f>
        <v>0</v>
      </c>
      <c r="P455" s="94" t="s">
        <v>107</v>
      </c>
      <c r="Q455" s="26">
        <f>uurtarief15</f>
        <v>0</v>
      </c>
      <c r="R455" s="96" t="e">
        <f>IF(ISBLANK(N455),0,M455/ROUND(N455,4))</f>
        <v>#DIV/0!</v>
      </c>
      <c r="S455" s="96" t="e">
        <f>IF(ISBLANK(N455),0,R455*ROUND(O455,2))</f>
        <v>#DIV/0!</v>
      </c>
      <c r="T455" s="26" t="e">
        <f>ROUND(Q455,2)*R455</f>
        <v>#DIV/0!</v>
      </c>
      <c r="U455" s="96" t="e">
        <f>R455*dagenperjaar1</f>
        <v>#DIV/0!</v>
      </c>
      <c r="V455" s="27" t="e">
        <f>U455*ROUND(Q455,2)</f>
        <v>#DIV/0!</v>
      </c>
    </row>
    <row r="456" spans="1:22" x14ac:dyDescent="0.35">
      <c r="A456" s="93" t="s">
        <v>803</v>
      </c>
      <c r="B456" s="94" t="s">
        <v>40</v>
      </c>
      <c r="C456" s="94" t="s">
        <v>417</v>
      </c>
      <c r="D456" s="94" t="s">
        <v>997</v>
      </c>
      <c r="E456" s="94" t="s">
        <v>40</v>
      </c>
      <c r="F456" s="95" t="s">
        <v>883</v>
      </c>
      <c r="G456" s="94" t="s">
        <v>535</v>
      </c>
      <c r="H456" s="94" t="s">
        <v>234</v>
      </c>
      <c r="I456" s="94" t="s">
        <v>10</v>
      </c>
      <c r="J456" s="94" t="s">
        <v>218</v>
      </c>
      <c r="K456" s="95" t="s">
        <v>235</v>
      </c>
      <c r="L456" s="96">
        <v>123</v>
      </c>
      <c r="M456" s="96">
        <f>L456*VLOOKUP(I456,dagsoorttabel1,2,FALSE)</f>
        <v>123</v>
      </c>
      <c r="N456" s="97">
        <f>prodnorm15</f>
        <v>0</v>
      </c>
      <c r="O456" s="41">
        <f>dagwerk15</f>
        <v>0</v>
      </c>
      <c r="P456" s="94" t="s">
        <v>107</v>
      </c>
      <c r="Q456" s="26">
        <f>uurtarief15</f>
        <v>0</v>
      </c>
      <c r="R456" s="96" t="e">
        <f>IF(ISBLANK(N456),0,M456/ROUND(N456,4))</f>
        <v>#DIV/0!</v>
      </c>
      <c r="S456" s="96" t="e">
        <f>IF(ISBLANK(N456),0,R456*ROUND(O456,2))</f>
        <v>#DIV/0!</v>
      </c>
      <c r="T456" s="26" t="e">
        <f>ROUND(Q456,2)*R456</f>
        <v>#DIV/0!</v>
      </c>
      <c r="U456" s="96" t="e">
        <f>R456*dagenperjaar1</f>
        <v>#DIV/0!</v>
      </c>
      <c r="V456" s="27" t="e">
        <f>U456*ROUND(Q456,2)</f>
        <v>#DIV/0!</v>
      </c>
    </row>
    <row r="457" spans="1:22" x14ac:dyDescent="0.35">
      <c r="A457" s="93" t="s">
        <v>803</v>
      </c>
      <c r="B457" s="94" t="s">
        <v>40</v>
      </c>
      <c r="C457" s="94" t="s">
        <v>417</v>
      </c>
      <c r="D457" s="94" t="s">
        <v>998</v>
      </c>
      <c r="E457" s="94" t="s">
        <v>40</v>
      </c>
      <c r="F457" s="95" t="s">
        <v>883</v>
      </c>
      <c r="G457" s="94" t="s">
        <v>535</v>
      </c>
      <c r="H457" s="94" t="s">
        <v>234</v>
      </c>
      <c r="I457" s="94" t="s">
        <v>10</v>
      </c>
      <c r="J457" s="94" t="s">
        <v>218</v>
      </c>
      <c r="K457" s="95" t="s">
        <v>235</v>
      </c>
      <c r="L457" s="96">
        <v>121</v>
      </c>
      <c r="M457" s="96">
        <f>L457*VLOOKUP(I457,dagsoorttabel1,2,FALSE)</f>
        <v>121</v>
      </c>
      <c r="N457" s="97">
        <f>prodnorm15</f>
        <v>0</v>
      </c>
      <c r="O457" s="41">
        <f>dagwerk15</f>
        <v>0</v>
      </c>
      <c r="P457" s="94" t="s">
        <v>107</v>
      </c>
      <c r="Q457" s="26">
        <f>uurtarief15</f>
        <v>0</v>
      </c>
      <c r="R457" s="96" t="e">
        <f>IF(ISBLANK(N457),0,M457/ROUND(N457,4))</f>
        <v>#DIV/0!</v>
      </c>
      <c r="S457" s="96" t="e">
        <f>IF(ISBLANK(N457),0,R457*ROUND(O457,2))</f>
        <v>#DIV/0!</v>
      </c>
      <c r="T457" s="26" t="e">
        <f>ROUND(Q457,2)*R457</f>
        <v>#DIV/0!</v>
      </c>
      <c r="U457" s="96" t="e">
        <f>R457*dagenperjaar1</f>
        <v>#DIV/0!</v>
      </c>
      <c r="V457" s="27" t="e">
        <f>U457*ROUND(Q457,2)</f>
        <v>#DIV/0!</v>
      </c>
    </row>
    <row r="458" spans="1:22" x14ac:dyDescent="0.35">
      <c r="A458" s="93" t="s">
        <v>803</v>
      </c>
      <c r="B458" s="94" t="s">
        <v>40</v>
      </c>
      <c r="C458" s="94" t="s">
        <v>417</v>
      </c>
      <c r="D458" s="94" t="s">
        <v>999</v>
      </c>
      <c r="E458" s="94" t="s">
        <v>40</v>
      </c>
      <c r="F458" s="95" t="s">
        <v>883</v>
      </c>
      <c r="G458" s="94" t="s">
        <v>535</v>
      </c>
      <c r="H458" s="94" t="s">
        <v>234</v>
      </c>
      <c r="I458" s="94" t="s">
        <v>10</v>
      </c>
      <c r="J458" s="94" t="s">
        <v>218</v>
      </c>
      <c r="K458" s="95" t="s">
        <v>235</v>
      </c>
      <c r="L458" s="96">
        <v>122</v>
      </c>
      <c r="M458" s="96">
        <f>L458*VLOOKUP(I458,dagsoorttabel1,2,FALSE)</f>
        <v>122</v>
      </c>
      <c r="N458" s="97">
        <f>prodnorm15</f>
        <v>0</v>
      </c>
      <c r="O458" s="41">
        <f>dagwerk15</f>
        <v>0</v>
      </c>
      <c r="P458" s="94" t="s">
        <v>107</v>
      </c>
      <c r="Q458" s="26">
        <f>uurtarief15</f>
        <v>0</v>
      </c>
      <c r="R458" s="96" t="e">
        <f>IF(ISBLANK(N458),0,M458/ROUND(N458,4))</f>
        <v>#DIV/0!</v>
      </c>
      <c r="S458" s="96" t="e">
        <f>IF(ISBLANK(N458),0,R458*ROUND(O458,2))</f>
        <v>#DIV/0!</v>
      </c>
      <c r="T458" s="26" t="e">
        <f>ROUND(Q458,2)*R458</f>
        <v>#DIV/0!</v>
      </c>
      <c r="U458" s="96" t="e">
        <f>R458*dagenperjaar1</f>
        <v>#DIV/0!</v>
      </c>
      <c r="V458" s="27" t="e">
        <f>U458*ROUND(Q458,2)</f>
        <v>#DIV/0!</v>
      </c>
    </row>
    <row r="459" spans="1:22" x14ac:dyDescent="0.35">
      <c r="A459" s="93" t="s">
        <v>803</v>
      </c>
      <c r="B459" s="94" t="s">
        <v>40</v>
      </c>
      <c r="C459" s="94" t="s">
        <v>417</v>
      </c>
      <c r="D459" s="94" t="s">
        <v>1000</v>
      </c>
      <c r="E459" s="94" t="s">
        <v>40</v>
      </c>
      <c r="F459" s="95" t="s">
        <v>883</v>
      </c>
      <c r="G459" s="94" t="s">
        <v>535</v>
      </c>
      <c r="H459" s="94" t="s">
        <v>234</v>
      </c>
      <c r="I459" s="94" t="s">
        <v>10</v>
      </c>
      <c r="J459" s="94" t="s">
        <v>218</v>
      </c>
      <c r="K459" s="95" t="s">
        <v>235</v>
      </c>
      <c r="L459" s="96">
        <v>95</v>
      </c>
      <c r="M459" s="96">
        <f>L459*VLOOKUP(I459,dagsoorttabel1,2,FALSE)</f>
        <v>95</v>
      </c>
      <c r="N459" s="97">
        <f>prodnorm15</f>
        <v>0</v>
      </c>
      <c r="O459" s="41">
        <f>dagwerk15</f>
        <v>0</v>
      </c>
      <c r="P459" s="94" t="s">
        <v>107</v>
      </c>
      <c r="Q459" s="26">
        <f>uurtarief15</f>
        <v>0</v>
      </c>
      <c r="R459" s="96" t="e">
        <f>IF(ISBLANK(N459),0,M459/ROUND(N459,4))</f>
        <v>#DIV/0!</v>
      </c>
      <c r="S459" s="96" t="e">
        <f>IF(ISBLANK(N459),0,R459*ROUND(O459,2))</f>
        <v>#DIV/0!</v>
      </c>
      <c r="T459" s="26" t="e">
        <f>ROUND(Q459,2)*R459</f>
        <v>#DIV/0!</v>
      </c>
      <c r="U459" s="96" t="e">
        <f>R459*dagenperjaar1</f>
        <v>#DIV/0!</v>
      </c>
      <c r="V459" s="27" t="e">
        <f>U459*ROUND(Q459,2)</f>
        <v>#DIV/0!</v>
      </c>
    </row>
    <row r="460" spans="1:22" x14ac:dyDescent="0.35">
      <c r="A460" s="93" t="s">
        <v>803</v>
      </c>
      <c r="B460" s="94" t="s">
        <v>40</v>
      </c>
      <c r="C460" s="94" t="s">
        <v>417</v>
      </c>
      <c r="D460" s="94" t="s">
        <v>1001</v>
      </c>
      <c r="E460" s="94" t="s">
        <v>40</v>
      </c>
      <c r="F460" s="95" t="s">
        <v>883</v>
      </c>
      <c r="G460" s="94" t="s">
        <v>535</v>
      </c>
      <c r="H460" s="94" t="s">
        <v>234</v>
      </c>
      <c r="I460" s="94" t="s">
        <v>10</v>
      </c>
      <c r="J460" s="94" t="s">
        <v>218</v>
      </c>
      <c r="K460" s="95" t="s">
        <v>235</v>
      </c>
      <c r="L460" s="96">
        <v>83</v>
      </c>
      <c r="M460" s="96">
        <f>L460*VLOOKUP(I460,dagsoorttabel1,2,FALSE)</f>
        <v>83</v>
      </c>
      <c r="N460" s="97">
        <f>prodnorm15</f>
        <v>0</v>
      </c>
      <c r="O460" s="41">
        <f>dagwerk15</f>
        <v>0</v>
      </c>
      <c r="P460" s="94" t="s">
        <v>107</v>
      </c>
      <c r="Q460" s="26">
        <f>uurtarief15</f>
        <v>0</v>
      </c>
      <c r="R460" s="96" t="e">
        <f>IF(ISBLANK(N460),0,M460/ROUND(N460,4))</f>
        <v>#DIV/0!</v>
      </c>
      <c r="S460" s="96" t="e">
        <f>IF(ISBLANK(N460),0,R460*ROUND(O460,2))</f>
        <v>#DIV/0!</v>
      </c>
      <c r="T460" s="26" t="e">
        <f>ROUND(Q460,2)*R460</f>
        <v>#DIV/0!</v>
      </c>
      <c r="U460" s="96" t="e">
        <f>R460*dagenperjaar1</f>
        <v>#DIV/0!</v>
      </c>
      <c r="V460" s="27" t="e">
        <f>U460*ROUND(Q460,2)</f>
        <v>#DIV/0!</v>
      </c>
    </row>
    <row r="461" spans="1:22" x14ac:dyDescent="0.35">
      <c r="A461" s="93" t="s">
        <v>803</v>
      </c>
      <c r="B461" s="94" t="s">
        <v>40</v>
      </c>
      <c r="C461" s="94" t="s">
        <v>417</v>
      </c>
      <c r="D461" s="94" t="s">
        <v>1002</v>
      </c>
      <c r="E461" s="94" t="s">
        <v>40</v>
      </c>
      <c r="F461" s="95" t="s">
        <v>883</v>
      </c>
      <c r="G461" s="94" t="s">
        <v>535</v>
      </c>
      <c r="H461" s="94" t="s">
        <v>234</v>
      </c>
      <c r="I461" s="94" t="s">
        <v>10</v>
      </c>
      <c r="J461" s="94" t="s">
        <v>218</v>
      </c>
      <c r="K461" s="95" t="s">
        <v>235</v>
      </c>
      <c r="L461" s="96">
        <v>82</v>
      </c>
      <c r="M461" s="96">
        <f>L461*VLOOKUP(I461,dagsoorttabel1,2,FALSE)</f>
        <v>82</v>
      </c>
      <c r="N461" s="97">
        <f>prodnorm15</f>
        <v>0</v>
      </c>
      <c r="O461" s="41">
        <f>dagwerk15</f>
        <v>0</v>
      </c>
      <c r="P461" s="94" t="s">
        <v>107</v>
      </c>
      <c r="Q461" s="26">
        <f>uurtarief15</f>
        <v>0</v>
      </c>
      <c r="R461" s="96" t="e">
        <f>IF(ISBLANK(N461),0,M461/ROUND(N461,4))</f>
        <v>#DIV/0!</v>
      </c>
      <c r="S461" s="96" t="e">
        <f>IF(ISBLANK(N461),0,R461*ROUND(O461,2))</f>
        <v>#DIV/0!</v>
      </c>
      <c r="T461" s="26" t="e">
        <f>ROUND(Q461,2)*R461</f>
        <v>#DIV/0!</v>
      </c>
      <c r="U461" s="96" t="e">
        <f>R461*dagenperjaar1</f>
        <v>#DIV/0!</v>
      </c>
      <c r="V461" s="27" t="e">
        <f>U461*ROUND(Q461,2)</f>
        <v>#DIV/0!</v>
      </c>
    </row>
    <row r="462" spans="1:22" x14ac:dyDescent="0.35">
      <c r="A462" s="93" t="s">
        <v>803</v>
      </c>
      <c r="B462" s="94" t="s">
        <v>40</v>
      </c>
      <c r="C462" s="94" t="s">
        <v>417</v>
      </c>
      <c r="D462" s="94" t="s">
        <v>1003</v>
      </c>
      <c r="E462" s="94" t="s">
        <v>40</v>
      </c>
      <c r="F462" s="95" t="s">
        <v>883</v>
      </c>
      <c r="G462" s="94" t="s">
        <v>535</v>
      </c>
      <c r="H462" s="94" t="s">
        <v>234</v>
      </c>
      <c r="I462" s="94" t="s">
        <v>10</v>
      </c>
      <c r="J462" s="94" t="s">
        <v>218</v>
      </c>
      <c r="K462" s="95" t="s">
        <v>235</v>
      </c>
      <c r="L462" s="96">
        <v>62</v>
      </c>
      <c r="M462" s="96">
        <f>L462*VLOOKUP(I462,dagsoorttabel1,2,FALSE)</f>
        <v>62</v>
      </c>
      <c r="N462" s="97">
        <f>prodnorm15</f>
        <v>0</v>
      </c>
      <c r="O462" s="41">
        <f>dagwerk15</f>
        <v>0</v>
      </c>
      <c r="P462" s="94" t="s">
        <v>107</v>
      </c>
      <c r="Q462" s="26">
        <f>uurtarief15</f>
        <v>0</v>
      </c>
      <c r="R462" s="96" t="e">
        <f>IF(ISBLANK(N462),0,M462/ROUND(N462,4))</f>
        <v>#DIV/0!</v>
      </c>
      <c r="S462" s="96" t="e">
        <f>IF(ISBLANK(N462),0,R462*ROUND(O462,2))</f>
        <v>#DIV/0!</v>
      </c>
      <c r="T462" s="26" t="e">
        <f>ROUND(Q462,2)*R462</f>
        <v>#DIV/0!</v>
      </c>
      <c r="U462" s="96" t="e">
        <f>R462*dagenperjaar1</f>
        <v>#DIV/0!</v>
      </c>
      <c r="V462" s="27" t="e">
        <f>U462*ROUND(Q462,2)</f>
        <v>#DIV/0!</v>
      </c>
    </row>
    <row r="463" spans="1:22" x14ac:dyDescent="0.35">
      <c r="A463" s="93" t="s">
        <v>803</v>
      </c>
      <c r="B463" s="94" t="s">
        <v>40</v>
      </c>
      <c r="C463" s="94" t="s">
        <v>417</v>
      </c>
      <c r="D463" s="94" t="s">
        <v>1004</v>
      </c>
      <c r="E463" s="94" t="s">
        <v>40</v>
      </c>
      <c r="F463" s="95" t="s">
        <v>424</v>
      </c>
      <c r="G463" s="94" t="s">
        <v>40</v>
      </c>
      <c r="H463" s="94" t="s">
        <v>316</v>
      </c>
      <c r="I463" s="94"/>
      <c r="J463" s="94"/>
      <c r="K463" s="94"/>
      <c r="L463" s="96">
        <v>0</v>
      </c>
      <c r="M463" s="96"/>
      <c r="N463" s="97"/>
      <c r="O463" s="41"/>
      <c r="P463" s="94"/>
      <c r="Q463" s="26"/>
      <c r="R463" s="96"/>
      <c r="S463" s="96"/>
      <c r="T463" s="26"/>
      <c r="U463" s="98"/>
      <c r="V463" s="27"/>
    </row>
    <row r="464" spans="1:22" x14ac:dyDescent="0.35">
      <c r="A464" s="93" t="s">
        <v>803</v>
      </c>
      <c r="B464" s="94" t="s">
        <v>40</v>
      </c>
      <c r="C464" s="94" t="s">
        <v>417</v>
      </c>
      <c r="D464" s="94" t="s">
        <v>1005</v>
      </c>
      <c r="E464" s="94" t="s">
        <v>40</v>
      </c>
      <c r="F464" s="95" t="s">
        <v>765</v>
      </c>
      <c r="G464" s="94" t="s">
        <v>40</v>
      </c>
      <c r="H464" s="94" t="s">
        <v>316</v>
      </c>
      <c r="I464" s="94"/>
      <c r="J464" s="94"/>
      <c r="K464" s="94"/>
      <c r="L464" s="96">
        <v>0</v>
      </c>
      <c r="M464" s="96"/>
      <c r="N464" s="97"/>
      <c r="O464" s="41"/>
      <c r="P464" s="94"/>
      <c r="Q464" s="26"/>
      <c r="R464" s="96"/>
      <c r="S464" s="96"/>
      <c r="T464" s="26"/>
      <c r="U464" s="98"/>
      <c r="V464" s="27"/>
    </row>
    <row r="465" spans="1:22" x14ac:dyDescent="0.35">
      <c r="A465" s="93" t="s">
        <v>803</v>
      </c>
      <c r="B465" s="94" t="s">
        <v>40</v>
      </c>
      <c r="C465" s="94" t="s">
        <v>417</v>
      </c>
      <c r="D465" s="94" t="s">
        <v>1006</v>
      </c>
      <c r="E465" s="94" t="s">
        <v>40</v>
      </c>
      <c r="F465" s="95" t="s">
        <v>835</v>
      </c>
      <c r="G465" s="94" t="s">
        <v>679</v>
      </c>
      <c r="H465" s="94" t="s">
        <v>256</v>
      </c>
      <c r="I465" s="94" t="s">
        <v>14</v>
      </c>
      <c r="J465" s="94" t="s">
        <v>218</v>
      </c>
      <c r="K465" s="95" t="s">
        <v>257</v>
      </c>
      <c r="L465" s="96">
        <v>10</v>
      </c>
      <c r="M465" s="96">
        <f>L465*VLOOKUP(I465,dagsoorttabel1,2,FALSE)</f>
        <v>2</v>
      </c>
      <c r="N465" s="97">
        <f>prodnorm35</f>
        <v>0</v>
      </c>
      <c r="O465" s="41">
        <f>dagwerk35</f>
        <v>0</v>
      </c>
      <c r="P465" s="94" t="s">
        <v>107</v>
      </c>
      <c r="Q465" s="26">
        <f>uurtarief35</f>
        <v>0</v>
      </c>
      <c r="R465" s="96" t="e">
        <f>IF(ISBLANK(N465),0,M465/ROUND(N465,4))</f>
        <v>#DIV/0!</v>
      </c>
      <c r="S465" s="96" t="e">
        <f>IF(ISBLANK(N465),0,R465*ROUND(O465,2))</f>
        <v>#DIV/0!</v>
      </c>
      <c r="T465" s="26" t="e">
        <f>ROUND(Q465,2)*R465</f>
        <v>#DIV/0!</v>
      </c>
      <c r="U465" s="96" t="e">
        <f>R465*dagenperjaar1</f>
        <v>#DIV/0!</v>
      </c>
      <c r="V465" s="27" t="e">
        <f>U465*ROUND(Q465,2)</f>
        <v>#DIV/0!</v>
      </c>
    </row>
    <row r="466" spans="1:22" x14ac:dyDescent="0.35">
      <c r="A466" s="93" t="s">
        <v>803</v>
      </c>
      <c r="B466" s="94" t="s">
        <v>40</v>
      </c>
      <c r="C466" s="94" t="s">
        <v>417</v>
      </c>
      <c r="D466" s="94" t="s">
        <v>1007</v>
      </c>
      <c r="E466" s="94" t="s">
        <v>40</v>
      </c>
      <c r="F466" s="95" t="s">
        <v>839</v>
      </c>
      <c r="G466" s="94" t="s">
        <v>40</v>
      </c>
      <c r="H466" s="94" t="s">
        <v>316</v>
      </c>
      <c r="I466" s="94"/>
      <c r="J466" s="94"/>
      <c r="K466" s="94"/>
      <c r="L466" s="96">
        <v>0</v>
      </c>
      <c r="M466" s="96"/>
      <c r="N466" s="97"/>
      <c r="O466" s="41"/>
      <c r="P466" s="94"/>
      <c r="Q466" s="26"/>
      <c r="R466" s="96"/>
      <c r="S466" s="96"/>
      <c r="T466" s="26"/>
      <c r="U466" s="98"/>
      <c r="V466" s="27"/>
    </row>
    <row r="467" spans="1:22" x14ac:dyDescent="0.35">
      <c r="A467" s="93" t="s">
        <v>803</v>
      </c>
      <c r="B467" s="94" t="s">
        <v>40</v>
      </c>
      <c r="C467" s="94" t="s">
        <v>417</v>
      </c>
      <c r="D467" s="94" t="s">
        <v>1008</v>
      </c>
      <c r="E467" s="94" t="s">
        <v>40</v>
      </c>
      <c r="F467" s="95" t="s">
        <v>1009</v>
      </c>
      <c r="G467" s="94" t="s">
        <v>948</v>
      </c>
      <c r="H467" s="94" t="s">
        <v>246</v>
      </c>
      <c r="I467" s="94" t="s">
        <v>10</v>
      </c>
      <c r="J467" s="94" t="s">
        <v>218</v>
      </c>
      <c r="K467" s="95" t="s">
        <v>247</v>
      </c>
      <c r="L467" s="96">
        <v>200</v>
      </c>
      <c r="M467" s="96">
        <f>L467*VLOOKUP(I467,dagsoorttabel1,2,FALSE)</f>
        <v>200</v>
      </c>
      <c r="N467" s="97">
        <f>prodnorm26</f>
        <v>0</v>
      </c>
      <c r="O467" s="41">
        <f>dagwerk26</f>
        <v>0</v>
      </c>
      <c r="P467" s="94" t="s">
        <v>107</v>
      </c>
      <c r="Q467" s="26">
        <f>uurtarief26</f>
        <v>0</v>
      </c>
      <c r="R467" s="96" t="e">
        <f>IF(ISBLANK(N467),0,M467/ROUND(N467,4))</f>
        <v>#DIV/0!</v>
      </c>
      <c r="S467" s="96" t="e">
        <f>IF(ISBLANK(N467),0,R467*ROUND(O467,2))</f>
        <v>#DIV/0!</v>
      </c>
      <c r="T467" s="26" t="e">
        <f>ROUND(Q467,2)*R467</f>
        <v>#DIV/0!</v>
      </c>
      <c r="U467" s="96" t="e">
        <f>R467*dagenperjaar1</f>
        <v>#DIV/0!</v>
      </c>
      <c r="V467" s="27" t="e">
        <f>U467*ROUND(Q467,2)</f>
        <v>#DIV/0!</v>
      </c>
    </row>
    <row r="468" spans="1:22" x14ac:dyDescent="0.35">
      <c r="A468" s="93" t="s">
        <v>803</v>
      </c>
      <c r="B468" s="94" t="s">
        <v>40</v>
      </c>
      <c r="C468" s="94" t="s">
        <v>417</v>
      </c>
      <c r="D468" s="94" t="s">
        <v>1010</v>
      </c>
      <c r="E468" s="94" t="s">
        <v>40</v>
      </c>
      <c r="F468" s="95" t="s">
        <v>1011</v>
      </c>
      <c r="G468" s="94" t="s">
        <v>40</v>
      </c>
      <c r="H468" s="94" t="s">
        <v>316</v>
      </c>
      <c r="I468" s="94"/>
      <c r="J468" s="94"/>
      <c r="K468" s="94"/>
      <c r="L468" s="96">
        <v>0</v>
      </c>
      <c r="M468" s="96"/>
      <c r="N468" s="97"/>
      <c r="O468" s="41"/>
      <c r="P468" s="94"/>
      <c r="Q468" s="26"/>
      <c r="R468" s="96"/>
      <c r="S468" s="96"/>
      <c r="T468" s="26"/>
      <c r="U468" s="98"/>
      <c r="V468" s="27"/>
    </row>
    <row r="469" spans="1:22" x14ac:dyDescent="0.35">
      <c r="A469" s="93" t="s">
        <v>803</v>
      </c>
      <c r="B469" s="94" t="s">
        <v>40</v>
      </c>
      <c r="C469" s="94" t="s">
        <v>417</v>
      </c>
      <c r="D469" s="94" t="s">
        <v>1012</v>
      </c>
      <c r="E469" s="94" t="s">
        <v>40</v>
      </c>
      <c r="F469" s="95" t="s">
        <v>479</v>
      </c>
      <c r="G469" s="94" t="s">
        <v>40</v>
      </c>
      <c r="H469" s="94" t="s">
        <v>316</v>
      </c>
      <c r="I469" s="94"/>
      <c r="J469" s="94"/>
      <c r="K469" s="94"/>
      <c r="L469" s="96">
        <v>0</v>
      </c>
      <c r="M469" s="96"/>
      <c r="N469" s="97"/>
      <c r="O469" s="41"/>
      <c r="P469" s="94"/>
      <c r="Q469" s="26"/>
      <c r="R469" s="96"/>
      <c r="S469" s="96"/>
      <c r="T469" s="26"/>
      <c r="U469" s="98"/>
      <c r="V469" s="27"/>
    </row>
    <row r="470" spans="1:22" x14ac:dyDescent="0.35">
      <c r="A470" s="93" t="s">
        <v>803</v>
      </c>
      <c r="B470" s="94" t="s">
        <v>40</v>
      </c>
      <c r="C470" s="94" t="s">
        <v>417</v>
      </c>
      <c r="D470" s="94" t="s">
        <v>1013</v>
      </c>
      <c r="E470" s="94" t="s">
        <v>40</v>
      </c>
      <c r="F470" s="95" t="s">
        <v>835</v>
      </c>
      <c r="G470" s="94" t="s">
        <v>679</v>
      </c>
      <c r="H470" s="94" t="s">
        <v>256</v>
      </c>
      <c r="I470" s="94" t="s">
        <v>14</v>
      </c>
      <c r="J470" s="94" t="s">
        <v>218</v>
      </c>
      <c r="K470" s="95" t="s">
        <v>257</v>
      </c>
      <c r="L470" s="96">
        <v>8</v>
      </c>
      <c r="M470" s="96">
        <f>L470*VLOOKUP(I470,dagsoorttabel1,2,FALSE)</f>
        <v>1.6</v>
      </c>
      <c r="N470" s="97">
        <f>prodnorm35</f>
        <v>0</v>
      </c>
      <c r="O470" s="41">
        <f>dagwerk35</f>
        <v>0</v>
      </c>
      <c r="P470" s="94" t="s">
        <v>107</v>
      </c>
      <c r="Q470" s="26">
        <f>uurtarief35</f>
        <v>0</v>
      </c>
      <c r="R470" s="96" t="e">
        <f>IF(ISBLANK(N470),0,M470/ROUND(N470,4))</f>
        <v>#DIV/0!</v>
      </c>
      <c r="S470" s="96" t="e">
        <f>IF(ISBLANK(N470),0,R470*ROUND(O470,2))</f>
        <v>#DIV/0!</v>
      </c>
      <c r="T470" s="26" t="e">
        <f>ROUND(Q470,2)*R470</f>
        <v>#DIV/0!</v>
      </c>
      <c r="U470" s="96" t="e">
        <f>R470*dagenperjaar1</f>
        <v>#DIV/0!</v>
      </c>
      <c r="V470" s="27" t="e">
        <f>U470*ROUND(Q470,2)</f>
        <v>#DIV/0!</v>
      </c>
    </row>
    <row r="471" spans="1:22" x14ac:dyDescent="0.35">
      <c r="A471" s="93" t="s">
        <v>803</v>
      </c>
      <c r="B471" s="94" t="s">
        <v>40</v>
      </c>
      <c r="C471" s="94" t="s">
        <v>417</v>
      </c>
      <c r="D471" s="94" t="s">
        <v>1014</v>
      </c>
      <c r="E471" s="94" t="s">
        <v>40</v>
      </c>
      <c r="F471" s="95" t="s">
        <v>411</v>
      </c>
      <c r="G471" s="94" t="s">
        <v>535</v>
      </c>
      <c r="H471" s="94" t="s">
        <v>246</v>
      </c>
      <c r="I471" s="94" t="s">
        <v>10</v>
      </c>
      <c r="J471" s="94" t="s">
        <v>218</v>
      </c>
      <c r="K471" s="95" t="s">
        <v>247</v>
      </c>
      <c r="L471" s="96">
        <v>11</v>
      </c>
      <c r="M471" s="96">
        <f>L471*VLOOKUP(I471,dagsoorttabel1,2,FALSE)</f>
        <v>11</v>
      </c>
      <c r="N471" s="97">
        <f>prodnorm26</f>
        <v>0</v>
      </c>
      <c r="O471" s="41">
        <f>dagwerk26</f>
        <v>0</v>
      </c>
      <c r="P471" s="94" t="s">
        <v>107</v>
      </c>
      <c r="Q471" s="26">
        <f>uurtarief26</f>
        <v>0</v>
      </c>
      <c r="R471" s="96" t="e">
        <f>IF(ISBLANK(N471),0,M471/ROUND(N471,4))</f>
        <v>#DIV/0!</v>
      </c>
      <c r="S471" s="96" t="e">
        <f>IF(ISBLANK(N471),0,R471*ROUND(O471,2))</f>
        <v>#DIV/0!</v>
      </c>
      <c r="T471" s="26" t="e">
        <f>ROUND(Q471,2)*R471</f>
        <v>#DIV/0!</v>
      </c>
      <c r="U471" s="96" t="e">
        <f>R471*dagenperjaar1</f>
        <v>#DIV/0!</v>
      </c>
      <c r="V471" s="27" t="e">
        <f>U471*ROUND(Q471,2)</f>
        <v>#DIV/0!</v>
      </c>
    </row>
    <row r="472" spans="1:22" x14ac:dyDescent="0.35">
      <c r="A472" s="93" t="s">
        <v>803</v>
      </c>
      <c r="B472" s="94" t="s">
        <v>40</v>
      </c>
      <c r="C472" s="94" t="s">
        <v>417</v>
      </c>
      <c r="D472" s="94" t="s">
        <v>1015</v>
      </c>
      <c r="E472" s="94" t="s">
        <v>40</v>
      </c>
      <c r="F472" s="95" t="s">
        <v>883</v>
      </c>
      <c r="G472" s="94" t="s">
        <v>535</v>
      </c>
      <c r="H472" s="94" t="s">
        <v>234</v>
      </c>
      <c r="I472" s="94" t="s">
        <v>10</v>
      </c>
      <c r="J472" s="94" t="s">
        <v>218</v>
      </c>
      <c r="K472" s="95" t="s">
        <v>235</v>
      </c>
      <c r="L472" s="96">
        <v>87</v>
      </c>
      <c r="M472" s="96">
        <f>L472*VLOOKUP(I472,dagsoorttabel1,2,FALSE)</f>
        <v>87</v>
      </c>
      <c r="N472" s="97">
        <f>prodnorm15</f>
        <v>0</v>
      </c>
      <c r="O472" s="41">
        <f>dagwerk15</f>
        <v>0</v>
      </c>
      <c r="P472" s="94" t="s">
        <v>107</v>
      </c>
      <c r="Q472" s="26">
        <f>uurtarief15</f>
        <v>0</v>
      </c>
      <c r="R472" s="96" t="e">
        <f>IF(ISBLANK(N472),0,M472/ROUND(N472,4))</f>
        <v>#DIV/0!</v>
      </c>
      <c r="S472" s="96" t="e">
        <f>IF(ISBLANK(N472),0,R472*ROUND(O472,2))</f>
        <v>#DIV/0!</v>
      </c>
      <c r="T472" s="26" t="e">
        <f>ROUND(Q472,2)*R472</f>
        <v>#DIV/0!</v>
      </c>
      <c r="U472" s="96" t="e">
        <f>R472*dagenperjaar1</f>
        <v>#DIV/0!</v>
      </c>
      <c r="V472" s="27" t="e">
        <f>U472*ROUND(Q472,2)</f>
        <v>#DIV/0!</v>
      </c>
    </row>
    <row r="473" spans="1:22" x14ac:dyDescent="0.35">
      <c r="A473" s="93" t="s">
        <v>803</v>
      </c>
      <c r="B473" s="94" t="s">
        <v>40</v>
      </c>
      <c r="C473" s="94" t="s">
        <v>417</v>
      </c>
      <c r="D473" s="94" t="s">
        <v>1016</v>
      </c>
      <c r="E473" s="94" t="s">
        <v>40</v>
      </c>
      <c r="F473" s="95" t="s">
        <v>883</v>
      </c>
      <c r="G473" s="94" t="s">
        <v>535</v>
      </c>
      <c r="H473" s="94" t="s">
        <v>234</v>
      </c>
      <c r="I473" s="94" t="s">
        <v>10</v>
      </c>
      <c r="J473" s="94" t="s">
        <v>218</v>
      </c>
      <c r="K473" s="95" t="s">
        <v>235</v>
      </c>
      <c r="L473" s="96">
        <v>29</v>
      </c>
      <c r="M473" s="96">
        <f>L473*VLOOKUP(I473,dagsoorttabel1,2,FALSE)</f>
        <v>29</v>
      </c>
      <c r="N473" s="97">
        <f>prodnorm15</f>
        <v>0</v>
      </c>
      <c r="O473" s="41">
        <f>dagwerk15</f>
        <v>0</v>
      </c>
      <c r="P473" s="94" t="s">
        <v>107</v>
      </c>
      <c r="Q473" s="26">
        <f>uurtarief15</f>
        <v>0</v>
      </c>
      <c r="R473" s="96" t="e">
        <f>IF(ISBLANK(N473),0,M473/ROUND(N473,4))</f>
        <v>#DIV/0!</v>
      </c>
      <c r="S473" s="96" t="e">
        <f>IF(ISBLANK(N473),0,R473*ROUND(O473,2))</f>
        <v>#DIV/0!</v>
      </c>
      <c r="T473" s="26" t="e">
        <f>ROUND(Q473,2)*R473</f>
        <v>#DIV/0!</v>
      </c>
      <c r="U473" s="96" t="e">
        <f>R473*dagenperjaar1</f>
        <v>#DIV/0!</v>
      </c>
      <c r="V473" s="27" t="e">
        <f>U473*ROUND(Q473,2)</f>
        <v>#DIV/0!</v>
      </c>
    </row>
    <row r="474" spans="1:22" x14ac:dyDescent="0.35">
      <c r="A474" s="93" t="s">
        <v>803</v>
      </c>
      <c r="B474" s="94" t="s">
        <v>40</v>
      </c>
      <c r="C474" s="94" t="s">
        <v>417</v>
      </c>
      <c r="D474" s="94" t="s">
        <v>1017</v>
      </c>
      <c r="E474" s="94" t="s">
        <v>40</v>
      </c>
      <c r="F474" s="95" t="s">
        <v>883</v>
      </c>
      <c r="G474" s="94" t="s">
        <v>535</v>
      </c>
      <c r="H474" s="94" t="s">
        <v>234</v>
      </c>
      <c r="I474" s="94" t="s">
        <v>10</v>
      </c>
      <c r="J474" s="94" t="s">
        <v>218</v>
      </c>
      <c r="K474" s="95" t="s">
        <v>235</v>
      </c>
      <c r="L474" s="96">
        <v>31</v>
      </c>
      <c r="M474" s="96">
        <f>L474*VLOOKUP(I474,dagsoorttabel1,2,FALSE)</f>
        <v>31</v>
      </c>
      <c r="N474" s="97">
        <f>prodnorm15</f>
        <v>0</v>
      </c>
      <c r="O474" s="41">
        <f>dagwerk15</f>
        <v>0</v>
      </c>
      <c r="P474" s="94" t="s">
        <v>107</v>
      </c>
      <c r="Q474" s="26">
        <f>uurtarief15</f>
        <v>0</v>
      </c>
      <c r="R474" s="96" t="e">
        <f>IF(ISBLANK(N474),0,M474/ROUND(N474,4))</f>
        <v>#DIV/0!</v>
      </c>
      <c r="S474" s="96" t="e">
        <f>IF(ISBLANK(N474),0,R474*ROUND(O474,2))</f>
        <v>#DIV/0!</v>
      </c>
      <c r="T474" s="26" t="e">
        <f>ROUND(Q474,2)*R474</f>
        <v>#DIV/0!</v>
      </c>
      <c r="U474" s="96" t="e">
        <f>R474*dagenperjaar1</f>
        <v>#DIV/0!</v>
      </c>
      <c r="V474" s="27" t="e">
        <f>U474*ROUND(Q474,2)</f>
        <v>#DIV/0!</v>
      </c>
    </row>
    <row r="475" spans="1:22" x14ac:dyDescent="0.35">
      <c r="A475" s="93" t="s">
        <v>803</v>
      </c>
      <c r="B475" s="94" t="s">
        <v>40</v>
      </c>
      <c r="C475" s="94" t="s">
        <v>417</v>
      </c>
      <c r="D475" s="94" t="s">
        <v>1018</v>
      </c>
      <c r="E475" s="94" t="s">
        <v>40</v>
      </c>
      <c r="F475" s="95" t="s">
        <v>883</v>
      </c>
      <c r="G475" s="94" t="s">
        <v>535</v>
      </c>
      <c r="H475" s="94" t="s">
        <v>234</v>
      </c>
      <c r="I475" s="94" t="s">
        <v>10</v>
      </c>
      <c r="J475" s="94" t="s">
        <v>218</v>
      </c>
      <c r="K475" s="95" t="s">
        <v>235</v>
      </c>
      <c r="L475" s="96">
        <v>30</v>
      </c>
      <c r="M475" s="96">
        <f>L475*VLOOKUP(I475,dagsoorttabel1,2,FALSE)</f>
        <v>30</v>
      </c>
      <c r="N475" s="97">
        <f>prodnorm15</f>
        <v>0</v>
      </c>
      <c r="O475" s="41">
        <f>dagwerk15</f>
        <v>0</v>
      </c>
      <c r="P475" s="94" t="s">
        <v>107</v>
      </c>
      <c r="Q475" s="26">
        <f>uurtarief15</f>
        <v>0</v>
      </c>
      <c r="R475" s="96" t="e">
        <f>IF(ISBLANK(N475),0,M475/ROUND(N475,4))</f>
        <v>#DIV/0!</v>
      </c>
      <c r="S475" s="96" t="e">
        <f>IF(ISBLANK(N475),0,R475*ROUND(O475,2))</f>
        <v>#DIV/0!</v>
      </c>
      <c r="T475" s="26" t="e">
        <f>ROUND(Q475,2)*R475</f>
        <v>#DIV/0!</v>
      </c>
      <c r="U475" s="96" t="e">
        <f>R475*dagenperjaar1</f>
        <v>#DIV/0!</v>
      </c>
      <c r="V475" s="27" t="e">
        <f>U475*ROUND(Q475,2)</f>
        <v>#DIV/0!</v>
      </c>
    </row>
    <row r="476" spans="1:22" x14ac:dyDescent="0.35">
      <c r="A476" s="93" t="s">
        <v>803</v>
      </c>
      <c r="B476" s="94" t="s">
        <v>40</v>
      </c>
      <c r="C476" s="94" t="s">
        <v>417</v>
      </c>
      <c r="D476" s="94" t="s">
        <v>1019</v>
      </c>
      <c r="E476" s="94" t="s">
        <v>40</v>
      </c>
      <c r="F476" s="95" t="s">
        <v>883</v>
      </c>
      <c r="G476" s="94" t="s">
        <v>535</v>
      </c>
      <c r="H476" s="94" t="s">
        <v>234</v>
      </c>
      <c r="I476" s="94" t="s">
        <v>10</v>
      </c>
      <c r="J476" s="94" t="s">
        <v>218</v>
      </c>
      <c r="K476" s="95" t="s">
        <v>235</v>
      </c>
      <c r="L476" s="96">
        <v>30</v>
      </c>
      <c r="M476" s="96">
        <f>L476*VLOOKUP(I476,dagsoorttabel1,2,FALSE)</f>
        <v>30</v>
      </c>
      <c r="N476" s="97">
        <f>prodnorm15</f>
        <v>0</v>
      </c>
      <c r="O476" s="41">
        <f>dagwerk15</f>
        <v>0</v>
      </c>
      <c r="P476" s="94" t="s">
        <v>107</v>
      </c>
      <c r="Q476" s="26">
        <f>uurtarief15</f>
        <v>0</v>
      </c>
      <c r="R476" s="96" t="e">
        <f>IF(ISBLANK(N476),0,M476/ROUND(N476,4))</f>
        <v>#DIV/0!</v>
      </c>
      <c r="S476" s="96" t="e">
        <f>IF(ISBLANK(N476),0,R476*ROUND(O476,2))</f>
        <v>#DIV/0!</v>
      </c>
      <c r="T476" s="26" t="e">
        <f>ROUND(Q476,2)*R476</f>
        <v>#DIV/0!</v>
      </c>
      <c r="U476" s="96" t="e">
        <f>R476*dagenperjaar1</f>
        <v>#DIV/0!</v>
      </c>
      <c r="V476" s="27" t="e">
        <f>U476*ROUND(Q476,2)</f>
        <v>#DIV/0!</v>
      </c>
    </row>
    <row r="477" spans="1:22" x14ac:dyDescent="0.35">
      <c r="A477" s="93" t="s">
        <v>803</v>
      </c>
      <c r="B477" s="94" t="s">
        <v>40</v>
      </c>
      <c r="C477" s="94" t="s">
        <v>417</v>
      </c>
      <c r="D477" s="94" t="s">
        <v>1020</v>
      </c>
      <c r="E477" s="94" t="s">
        <v>40</v>
      </c>
      <c r="F477" s="95" t="s">
        <v>883</v>
      </c>
      <c r="G477" s="94" t="s">
        <v>535</v>
      </c>
      <c r="H477" s="94" t="s">
        <v>234</v>
      </c>
      <c r="I477" s="94" t="s">
        <v>10</v>
      </c>
      <c r="J477" s="94" t="s">
        <v>218</v>
      </c>
      <c r="K477" s="95" t="s">
        <v>235</v>
      </c>
      <c r="L477" s="96">
        <v>31</v>
      </c>
      <c r="M477" s="96">
        <f>L477*VLOOKUP(I477,dagsoorttabel1,2,FALSE)</f>
        <v>31</v>
      </c>
      <c r="N477" s="97">
        <f>prodnorm15</f>
        <v>0</v>
      </c>
      <c r="O477" s="41">
        <f>dagwerk15</f>
        <v>0</v>
      </c>
      <c r="P477" s="94" t="s">
        <v>107</v>
      </c>
      <c r="Q477" s="26">
        <f>uurtarief15</f>
        <v>0</v>
      </c>
      <c r="R477" s="96" t="e">
        <f>IF(ISBLANK(N477),0,M477/ROUND(N477,4))</f>
        <v>#DIV/0!</v>
      </c>
      <c r="S477" s="96" t="e">
        <f>IF(ISBLANK(N477),0,R477*ROUND(O477,2))</f>
        <v>#DIV/0!</v>
      </c>
      <c r="T477" s="26" t="e">
        <f>ROUND(Q477,2)*R477</f>
        <v>#DIV/0!</v>
      </c>
      <c r="U477" s="96" t="e">
        <f>R477*dagenperjaar1</f>
        <v>#DIV/0!</v>
      </c>
      <c r="V477" s="27" t="e">
        <f>U477*ROUND(Q477,2)</f>
        <v>#DIV/0!</v>
      </c>
    </row>
    <row r="478" spans="1:22" x14ac:dyDescent="0.35">
      <c r="A478" s="93" t="s">
        <v>803</v>
      </c>
      <c r="B478" s="94" t="s">
        <v>40</v>
      </c>
      <c r="C478" s="94" t="s">
        <v>417</v>
      </c>
      <c r="D478" s="94" t="s">
        <v>1021</v>
      </c>
      <c r="E478" s="94" t="s">
        <v>40</v>
      </c>
      <c r="F478" s="95" t="s">
        <v>883</v>
      </c>
      <c r="G478" s="94" t="s">
        <v>535</v>
      </c>
      <c r="H478" s="94" t="s">
        <v>234</v>
      </c>
      <c r="I478" s="94" t="s">
        <v>10</v>
      </c>
      <c r="J478" s="94" t="s">
        <v>218</v>
      </c>
      <c r="K478" s="95" t="s">
        <v>235</v>
      </c>
      <c r="L478" s="96">
        <v>95</v>
      </c>
      <c r="M478" s="96">
        <f>L478*VLOOKUP(I478,dagsoorttabel1,2,FALSE)</f>
        <v>95</v>
      </c>
      <c r="N478" s="97">
        <f>prodnorm15</f>
        <v>0</v>
      </c>
      <c r="O478" s="41">
        <f>dagwerk15</f>
        <v>0</v>
      </c>
      <c r="P478" s="94" t="s">
        <v>107</v>
      </c>
      <c r="Q478" s="26">
        <f>uurtarief15</f>
        <v>0</v>
      </c>
      <c r="R478" s="96" t="e">
        <f>IF(ISBLANK(N478),0,M478/ROUND(N478,4))</f>
        <v>#DIV/0!</v>
      </c>
      <c r="S478" s="96" t="e">
        <f>IF(ISBLANK(N478),0,R478*ROUND(O478,2))</f>
        <v>#DIV/0!</v>
      </c>
      <c r="T478" s="26" t="e">
        <f>ROUND(Q478,2)*R478</f>
        <v>#DIV/0!</v>
      </c>
      <c r="U478" s="96" t="e">
        <f>R478*dagenperjaar1</f>
        <v>#DIV/0!</v>
      </c>
      <c r="V478" s="27" t="e">
        <f>U478*ROUND(Q478,2)</f>
        <v>#DIV/0!</v>
      </c>
    </row>
    <row r="479" spans="1:22" x14ac:dyDescent="0.35">
      <c r="A479" s="93" t="s">
        <v>803</v>
      </c>
      <c r="B479" s="94" t="s">
        <v>40</v>
      </c>
      <c r="C479" s="94" t="s">
        <v>417</v>
      </c>
      <c r="D479" s="94" t="s">
        <v>1022</v>
      </c>
      <c r="E479" s="94" t="s">
        <v>40</v>
      </c>
      <c r="F479" s="95" t="s">
        <v>883</v>
      </c>
      <c r="G479" s="94" t="s">
        <v>535</v>
      </c>
      <c r="H479" s="94" t="s">
        <v>234</v>
      </c>
      <c r="I479" s="94" t="s">
        <v>10</v>
      </c>
      <c r="J479" s="94" t="s">
        <v>218</v>
      </c>
      <c r="K479" s="95" t="s">
        <v>235</v>
      </c>
      <c r="L479" s="96">
        <v>123</v>
      </c>
      <c r="M479" s="96">
        <f>L479*VLOOKUP(I479,dagsoorttabel1,2,FALSE)</f>
        <v>123</v>
      </c>
      <c r="N479" s="97">
        <f>prodnorm15</f>
        <v>0</v>
      </c>
      <c r="O479" s="41">
        <f>dagwerk15</f>
        <v>0</v>
      </c>
      <c r="P479" s="94" t="s">
        <v>107</v>
      </c>
      <c r="Q479" s="26">
        <f>uurtarief15</f>
        <v>0</v>
      </c>
      <c r="R479" s="96" t="e">
        <f>IF(ISBLANK(N479),0,M479/ROUND(N479,4))</f>
        <v>#DIV/0!</v>
      </c>
      <c r="S479" s="96" t="e">
        <f>IF(ISBLANK(N479),0,R479*ROUND(O479,2))</f>
        <v>#DIV/0!</v>
      </c>
      <c r="T479" s="26" t="e">
        <f>ROUND(Q479,2)*R479</f>
        <v>#DIV/0!</v>
      </c>
      <c r="U479" s="96" t="e">
        <f>R479*dagenperjaar1</f>
        <v>#DIV/0!</v>
      </c>
      <c r="V479" s="27" t="e">
        <f>U479*ROUND(Q479,2)</f>
        <v>#DIV/0!</v>
      </c>
    </row>
    <row r="480" spans="1:22" x14ac:dyDescent="0.35">
      <c r="A480" s="93" t="s">
        <v>803</v>
      </c>
      <c r="B480" s="94" t="s">
        <v>40</v>
      </c>
      <c r="C480" s="94" t="s">
        <v>417</v>
      </c>
      <c r="D480" s="94" t="s">
        <v>1023</v>
      </c>
      <c r="E480" s="94" t="s">
        <v>40</v>
      </c>
      <c r="F480" s="95" t="s">
        <v>883</v>
      </c>
      <c r="G480" s="94" t="s">
        <v>535</v>
      </c>
      <c r="H480" s="94" t="s">
        <v>234</v>
      </c>
      <c r="I480" s="94" t="s">
        <v>10</v>
      </c>
      <c r="J480" s="94" t="s">
        <v>218</v>
      </c>
      <c r="K480" s="95" t="s">
        <v>235</v>
      </c>
      <c r="L480" s="96">
        <v>123</v>
      </c>
      <c r="M480" s="96">
        <f>L480*VLOOKUP(I480,dagsoorttabel1,2,FALSE)</f>
        <v>123</v>
      </c>
      <c r="N480" s="97">
        <f>prodnorm15</f>
        <v>0</v>
      </c>
      <c r="O480" s="41">
        <f>dagwerk15</f>
        <v>0</v>
      </c>
      <c r="P480" s="94" t="s">
        <v>107</v>
      </c>
      <c r="Q480" s="26">
        <f>uurtarief15</f>
        <v>0</v>
      </c>
      <c r="R480" s="96" t="e">
        <f>IF(ISBLANK(N480),0,M480/ROUND(N480,4))</f>
        <v>#DIV/0!</v>
      </c>
      <c r="S480" s="96" t="e">
        <f>IF(ISBLANK(N480),0,R480*ROUND(O480,2))</f>
        <v>#DIV/0!</v>
      </c>
      <c r="T480" s="26" t="e">
        <f>ROUND(Q480,2)*R480</f>
        <v>#DIV/0!</v>
      </c>
      <c r="U480" s="96" t="e">
        <f>R480*dagenperjaar1</f>
        <v>#DIV/0!</v>
      </c>
      <c r="V480" s="27" t="e">
        <f>U480*ROUND(Q480,2)</f>
        <v>#DIV/0!</v>
      </c>
    </row>
    <row r="481" spans="1:22" x14ac:dyDescent="0.35">
      <c r="A481" s="93" t="s">
        <v>803</v>
      </c>
      <c r="B481" s="94" t="s">
        <v>40</v>
      </c>
      <c r="C481" s="94" t="s">
        <v>417</v>
      </c>
      <c r="D481" s="94" t="s">
        <v>1024</v>
      </c>
      <c r="E481" s="94" t="s">
        <v>40</v>
      </c>
      <c r="F481" s="95" t="s">
        <v>883</v>
      </c>
      <c r="G481" s="94" t="s">
        <v>535</v>
      </c>
      <c r="H481" s="94" t="s">
        <v>234</v>
      </c>
      <c r="I481" s="94" t="s">
        <v>10</v>
      </c>
      <c r="J481" s="94" t="s">
        <v>218</v>
      </c>
      <c r="K481" s="95" t="s">
        <v>235</v>
      </c>
      <c r="L481" s="96">
        <v>123</v>
      </c>
      <c r="M481" s="96">
        <f>L481*VLOOKUP(I481,dagsoorttabel1,2,FALSE)</f>
        <v>123</v>
      </c>
      <c r="N481" s="97">
        <f>prodnorm15</f>
        <v>0</v>
      </c>
      <c r="O481" s="41">
        <f>dagwerk15</f>
        <v>0</v>
      </c>
      <c r="P481" s="94" t="s">
        <v>107</v>
      </c>
      <c r="Q481" s="26">
        <f>uurtarief15</f>
        <v>0</v>
      </c>
      <c r="R481" s="96" t="e">
        <f>IF(ISBLANK(N481),0,M481/ROUND(N481,4))</f>
        <v>#DIV/0!</v>
      </c>
      <c r="S481" s="96" t="e">
        <f>IF(ISBLANK(N481),0,R481*ROUND(O481,2))</f>
        <v>#DIV/0!</v>
      </c>
      <c r="T481" s="26" t="e">
        <f>ROUND(Q481,2)*R481</f>
        <v>#DIV/0!</v>
      </c>
      <c r="U481" s="96" t="e">
        <f>R481*dagenperjaar1</f>
        <v>#DIV/0!</v>
      </c>
      <c r="V481" s="27" t="e">
        <f>U481*ROUND(Q481,2)</f>
        <v>#DIV/0!</v>
      </c>
    </row>
    <row r="482" spans="1:22" x14ac:dyDescent="0.35">
      <c r="A482" s="93" t="s">
        <v>803</v>
      </c>
      <c r="B482" s="94" t="s">
        <v>40</v>
      </c>
      <c r="C482" s="94" t="s">
        <v>417</v>
      </c>
      <c r="D482" s="94" t="s">
        <v>1025</v>
      </c>
      <c r="E482" s="94" t="s">
        <v>40</v>
      </c>
      <c r="F482" s="95" t="s">
        <v>883</v>
      </c>
      <c r="G482" s="94" t="s">
        <v>535</v>
      </c>
      <c r="H482" s="94" t="s">
        <v>234</v>
      </c>
      <c r="I482" s="94" t="s">
        <v>10</v>
      </c>
      <c r="J482" s="94" t="s">
        <v>218</v>
      </c>
      <c r="K482" s="95" t="s">
        <v>235</v>
      </c>
      <c r="L482" s="96">
        <v>122</v>
      </c>
      <c r="M482" s="96">
        <f>L482*VLOOKUP(I482,dagsoorttabel1,2,FALSE)</f>
        <v>122</v>
      </c>
      <c r="N482" s="97">
        <f>prodnorm15</f>
        <v>0</v>
      </c>
      <c r="O482" s="41">
        <f>dagwerk15</f>
        <v>0</v>
      </c>
      <c r="P482" s="94" t="s">
        <v>107</v>
      </c>
      <c r="Q482" s="26">
        <f>uurtarief15</f>
        <v>0</v>
      </c>
      <c r="R482" s="96" t="e">
        <f>IF(ISBLANK(N482),0,M482/ROUND(N482,4))</f>
        <v>#DIV/0!</v>
      </c>
      <c r="S482" s="96" t="e">
        <f>IF(ISBLANK(N482),0,R482*ROUND(O482,2))</f>
        <v>#DIV/0!</v>
      </c>
      <c r="T482" s="26" t="e">
        <f>ROUND(Q482,2)*R482</f>
        <v>#DIV/0!</v>
      </c>
      <c r="U482" s="96" t="e">
        <f>R482*dagenperjaar1</f>
        <v>#DIV/0!</v>
      </c>
      <c r="V482" s="27" t="e">
        <f>U482*ROUND(Q482,2)</f>
        <v>#DIV/0!</v>
      </c>
    </row>
    <row r="483" spans="1:22" x14ac:dyDescent="0.35">
      <c r="A483" s="93" t="s">
        <v>803</v>
      </c>
      <c r="B483" s="94" t="s">
        <v>40</v>
      </c>
      <c r="C483" s="94" t="s">
        <v>417</v>
      </c>
      <c r="D483" s="94" t="s">
        <v>1026</v>
      </c>
      <c r="E483" s="94" t="s">
        <v>40</v>
      </c>
      <c r="F483" s="95" t="s">
        <v>883</v>
      </c>
      <c r="G483" s="94" t="s">
        <v>535</v>
      </c>
      <c r="H483" s="94" t="s">
        <v>234</v>
      </c>
      <c r="I483" s="94" t="s">
        <v>10</v>
      </c>
      <c r="J483" s="94" t="s">
        <v>218</v>
      </c>
      <c r="K483" s="95" t="s">
        <v>235</v>
      </c>
      <c r="L483" s="96">
        <v>95</v>
      </c>
      <c r="M483" s="96">
        <f>L483*VLOOKUP(I483,dagsoorttabel1,2,FALSE)</f>
        <v>95</v>
      </c>
      <c r="N483" s="97">
        <f>prodnorm15</f>
        <v>0</v>
      </c>
      <c r="O483" s="41">
        <f>dagwerk15</f>
        <v>0</v>
      </c>
      <c r="P483" s="94" t="s">
        <v>107</v>
      </c>
      <c r="Q483" s="26">
        <f>uurtarief15</f>
        <v>0</v>
      </c>
      <c r="R483" s="96" t="e">
        <f>IF(ISBLANK(N483),0,M483/ROUND(N483,4))</f>
        <v>#DIV/0!</v>
      </c>
      <c r="S483" s="96" t="e">
        <f>IF(ISBLANK(N483),0,R483*ROUND(O483,2))</f>
        <v>#DIV/0!</v>
      </c>
      <c r="T483" s="26" t="e">
        <f>ROUND(Q483,2)*R483</f>
        <v>#DIV/0!</v>
      </c>
      <c r="U483" s="96" t="e">
        <f>R483*dagenperjaar1</f>
        <v>#DIV/0!</v>
      </c>
      <c r="V483" s="27" t="e">
        <f>U483*ROUND(Q483,2)</f>
        <v>#DIV/0!</v>
      </c>
    </row>
    <row r="484" spans="1:22" x14ac:dyDescent="0.35">
      <c r="A484" s="93" t="s">
        <v>803</v>
      </c>
      <c r="B484" s="94" t="s">
        <v>40</v>
      </c>
      <c r="C484" s="94" t="s">
        <v>417</v>
      </c>
      <c r="D484" s="94" t="s">
        <v>1027</v>
      </c>
      <c r="E484" s="94" t="s">
        <v>40</v>
      </c>
      <c r="F484" s="95" t="s">
        <v>883</v>
      </c>
      <c r="G484" s="94" t="s">
        <v>535</v>
      </c>
      <c r="H484" s="94" t="s">
        <v>234</v>
      </c>
      <c r="I484" s="94" t="s">
        <v>10</v>
      </c>
      <c r="J484" s="94" t="s">
        <v>218</v>
      </c>
      <c r="K484" s="95" t="s">
        <v>235</v>
      </c>
      <c r="L484" s="96">
        <v>83</v>
      </c>
      <c r="M484" s="96">
        <f>L484*VLOOKUP(I484,dagsoorttabel1,2,FALSE)</f>
        <v>83</v>
      </c>
      <c r="N484" s="97">
        <f>prodnorm15</f>
        <v>0</v>
      </c>
      <c r="O484" s="41">
        <f>dagwerk15</f>
        <v>0</v>
      </c>
      <c r="P484" s="94" t="s">
        <v>107</v>
      </c>
      <c r="Q484" s="26">
        <f>uurtarief15</f>
        <v>0</v>
      </c>
      <c r="R484" s="96" t="e">
        <f>IF(ISBLANK(N484),0,M484/ROUND(N484,4))</f>
        <v>#DIV/0!</v>
      </c>
      <c r="S484" s="96" t="e">
        <f>IF(ISBLANK(N484),0,R484*ROUND(O484,2))</f>
        <v>#DIV/0!</v>
      </c>
      <c r="T484" s="26" t="e">
        <f>ROUND(Q484,2)*R484</f>
        <v>#DIV/0!</v>
      </c>
      <c r="U484" s="96" t="e">
        <f>R484*dagenperjaar1</f>
        <v>#DIV/0!</v>
      </c>
      <c r="V484" s="27" t="e">
        <f>U484*ROUND(Q484,2)</f>
        <v>#DIV/0!</v>
      </c>
    </row>
    <row r="485" spans="1:22" x14ac:dyDescent="0.35">
      <c r="A485" s="93" t="s">
        <v>803</v>
      </c>
      <c r="B485" s="94" t="s">
        <v>40</v>
      </c>
      <c r="C485" s="94" t="s">
        <v>417</v>
      </c>
      <c r="D485" s="94" t="s">
        <v>1028</v>
      </c>
      <c r="E485" s="94" t="s">
        <v>40</v>
      </c>
      <c r="F485" s="95" t="s">
        <v>883</v>
      </c>
      <c r="G485" s="94" t="s">
        <v>535</v>
      </c>
      <c r="H485" s="94" t="s">
        <v>234</v>
      </c>
      <c r="I485" s="94" t="s">
        <v>10</v>
      </c>
      <c r="J485" s="94" t="s">
        <v>218</v>
      </c>
      <c r="K485" s="95" t="s">
        <v>235</v>
      </c>
      <c r="L485" s="96">
        <v>82</v>
      </c>
      <c r="M485" s="96">
        <f>L485*VLOOKUP(I485,dagsoorttabel1,2,FALSE)</f>
        <v>82</v>
      </c>
      <c r="N485" s="97">
        <f>prodnorm15</f>
        <v>0</v>
      </c>
      <c r="O485" s="41">
        <f>dagwerk15</f>
        <v>0</v>
      </c>
      <c r="P485" s="94" t="s">
        <v>107</v>
      </c>
      <c r="Q485" s="26">
        <f>uurtarief15</f>
        <v>0</v>
      </c>
      <c r="R485" s="96" t="e">
        <f>IF(ISBLANK(N485),0,M485/ROUND(N485,4))</f>
        <v>#DIV/0!</v>
      </c>
      <c r="S485" s="96" t="e">
        <f>IF(ISBLANK(N485),0,R485*ROUND(O485,2))</f>
        <v>#DIV/0!</v>
      </c>
      <c r="T485" s="26" t="e">
        <f>ROUND(Q485,2)*R485</f>
        <v>#DIV/0!</v>
      </c>
      <c r="U485" s="96" t="e">
        <f>R485*dagenperjaar1</f>
        <v>#DIV/0!</v>
      </c>
      <c r="V485" s="27" t="e">
        <f>U485*ROUND(Q485,2)</f>
        <v>#DIV/0!</v>
      </c>
    </row>
    <row r="486" spans="1:22" x14ac:dyDescent="0.35">
      <c r="A486" s="93" t="s">
        <v>803</v>
      </c>
      <c r="B486" s="94" t="s">
        <v>40</v>
      </c>
      <c r="C486" s="94" t="s">
        <v>417</v>
      </c>
      <c r="D486" s="94" t="s">
        <v>1029</v>
      </c>
      <c r="E486" s="94" t="s">
        <v>40</v>
      </c>
      <c r="F486" s="95" t="s">
        <v>883</v>
      </c>
      <c r="G486" s="94" t="s">
        <v>535</v>
      </c>
      <c r="H486" s="94" t="s">
        <v>234</v>
      </c>
      <c r="I486" s="94" t="s">
        <v>10</v>
      </c>
      <c r="J486" s="94" t="s">
        <v>218</v>
      </c>
      <c r="K486" s="95" t="s">
        <v>235</v>
      </c>
      <c r="L486" s="96">
        <v>62</v>
      </c>
      <c r="M486" s="96">
        <f>L486*VLOOKUP(I486,dagsoorttabel1,2,FALSE)</f>
        <v>62</v>
      </c>
      <c r="N486" s="97">
        <f>prodnorm15</f>
        <v>0</v>
      </c>
      <c r="O486" s="41">
        <f>dagwerk15</f>
        <v>0</v>
      </c>
      <c r="P486" s="94" t="s">
        <v>107</v>
      </c>
      <c r="Q486" s="26">
        <f>uurtarief15</f>
        <v>0</v>
      </c>
      <c r="R486" s="96" t="e">
        <f>IF(ISBLANK(N486),0,M486/ROUND(N486,4))</f>
        <v>#DIV/0!</v>
      </c>
      <c r="S486" s="96" t="e">
        <f>IF(ISBLANK(N486),0,R486*ROUND(O486,2))</f>
        <v>#DIV/0!</v>
      </c>
      <c r="T486" s="26" t="e">
        <f>ROUND(Q486,2)*R486</f>
        <v>#DIV/0!</v>
      </c>
      <c r="U486" s="96" t="e">
        <f>R486*dagenperjaar1</f>
        <v>#DIV/0!</v>
      </c>
      <c r="V486" s="27" t="e">
        <f>U486*ROUND(Q486,2)</f>
        <v>#DIV/0!</v>
      </c>
    </row>
    <row r="487" spans="1:22" x14ac:dyDescent="0.35">
      <c r="A487" s="93" t="s">
        <v>803</v>
      </c>
      <c r="B487" s="94" t="s">
        <v>40</v>
      </c>
      <c r="C487" s="94" t="s">
        <v>417</v>
      </c>
      <c r="D487" s="94" t="s">
        <v>1030</v>
      </c>
      <c r="E487" s="94" t="s">
        <v>40</v>
      </c>
      <c r="F487" s="95" t="s">
        <v>883</v>
      </c>
      <c r="G487" s="94" t="s">
        <v>535</v>
      </c>
      <c r="H487" s="94" t="s">
        <v>234</v>
      </c>
      <c r="I487" s="94" t="s">
        <v>10</v>
      </c>
      <c r="J487" s="94" t="s">
        <v>218</v>
      </c>
      <c r="K487" s="95" t="s">
        <v>235</v>
      </c>
      <c r="L487" s="96">
        <v>283</v>
      </c>
      <c r="M487" s="96">
        <f>L487*VLOOKUP(I487,dagsoorttabel1,2,FALSE)</f>
        <v>283</v>
      </c>
      <c r="N487" s="97">
        <f>prodnorm15</f>
        <v>0</v>
      </c>
      <c r="O487" s="41">
        <f>dagwerk15</f>
        <v>0</v>
      </c>
      <c r="P487" s="94" t="s">
        <v>107</v>
      </c>
      <c r="Q487" s="26">
        <f>uurtarief15</f>
        <v>0</v>
      </c>
      <c r="R487" s="96" t="e">
        <f>IF(ISBLANK(N487),0,M487/ROUND(N487,4))</f>
        <v>#DIV/0!</v>
      </c>
      <c r="S487" s="96" t="e">
        <f>IF(ISBLANK(N487),0,R487*ROUND(O487,2))</f>
        <v>#DIV/0!</v>
      </c>
      <c r="T487" s="26" t="e">
        <f>ROUND(Q487,2)*R487</f>
        <v>#DIV/0!</v>
      </c>
      <c r="U487" s="96" t="e">
        <f>R487*dagenperjaar1</f>
        <v>#DIV/0!</v>
      </c>
      <c r="V487" s="27" t="e">
        <f>U487*ROUND(Q487,2)</f>
        <v>#DIV/0!</v>
      </c>
    </row>
    <row r="488" spans="1:22" x14ac:dyDescent="0.35">
      <c r="A488" s="93" t="s">
        <v>803</v>
      </c>
      <c r="B488" s="94" t="s">
        <v>40</v>
      </c>
      <c r="C488" s="94" t="s">
        <v>417</v>
      </c>
      <c r="D488" s="94" t="s">
        <v>1031</v>
      </c>
      <c r="E488" s="94" t="s">
        <v>40</v>
      </c>
      <c r="F488" s="95" t="s">
        <v>589</v>
      </c>
      <c r="G488" s="94" t="s">
        <v>40</v>
      </c>
      <c r="H488" s="94" t="s">
        <v>316</v>
      </c>
      <c r="I488" s="94"/>
      <c r="J488" s="94"/>
      <c r="K488" s="94"/>
      <c r="L488" s="96">
        <v>0</v>
      </c>
      <c r="M488" s="96"/>
      <c r="N488" s="97"/>
      <c r="O488" s="41"/>
      <c r="P488" s="94"/>
      <c r="Q488" s="26"/>
      <c r="R488" s="96"/>
      <c r="S488" s="96"/>
      <c r="T488" s="26"/>
      <c r="U488" s="98"/>
      <c r="V488" s="27"/>
    </row>
    <row r="489" spans="1:22" x14ac:dyDescent="0.35">
      <c r="A489" s="93" t="s">
        <v>803</v>
      </c>
      <c r="B489" s="94" t="s">
        <v>40</v>
      </c>
      <c r="C489" s="94" t="s">
        <v>417</v>
      </c>
      <c r="D489" s="94" t="s">
        <v>1032</v>
      </c>
      <c r="E489" s="94" t="s">
        <v>40</v>
      </c>
      <c r="F489" s="95" t="s">
        <v>751</v>
      </c>
      <c r="G489" s="94" t="s">
        <v>40</v>
      </c>
      <c r="H489" s="94" t="s">
        <v>316</v>
      </c>
      <c r="I489" s="94"/>
      <c r="J489" s="94"/>
      <c r="K489" s="94"/>
      <c r="L489" s="96">
        <v>0</v>
      </c>
      <c r="M489" s="96"/>
      <c r="N489" s="97"/>
      <c r="O489" s="41"/>
      <c r="P489" s="94"/>
      <c r="Q489" s="26"/>
      <c r="R489" s="96"/>
      <c r="S489" s="96"/>
      <c r="T489" s="26"/>
      <c r="U489" s="98"/>
      <c r="V489" s="27"/>
    </row>
    <row r="490" spans="1:22" ht="29" x14ac:dyDescent="0.35">
      <c r="A490" s="93" t="s">
        <v>803</v>
      </c>
      <c r="B490" s="94" t="s">
        <v>40</v>
      </c>
      <c r="C490" s="94" t="s">
        <v>417</v>
      </c>
      <c r="D490" s="94" t="s">
        <v>1033</v>
      </c>
      <c r="E490" s="94" t="s">
        <v>40</v>
      </c>
      <c r="F490" s="95" t="s">
        <v>1034</v>
      </c>
      <c r="G490" s="94" t="s">
        <v>321</v>
      </c>
      <c r="H490" s="94" t="s">
        <v>242</v>
      </c>
      <c r="I490" s="94" t="s">
        <v>10</v>
      </c>
      <c r="J490" s="94" t="s">
        <v>218</v>
      </c>
      <c r="K490" s="95" t="s">
        <v>243</v>
      </c>
      <c r="L490" s="96">
        <v>11</v>
      </c>
      <c r="M490" s="96">
        <f>L490*VLOOKUP(I490,dagsoorttabel1,2,FALSE)</f>
        <v>11</v>
      </c>
      <c r="N490" s="97">
        <f>prodnorm21</f>
        <v>0</v>
      </c>
      <c r="O490" s="41">
        <f>dagwerk21</f>
        <v>0</v>
      </c>
      <c r="P490" s="94" t="s">
        <v>107</v>
      </c>
      <c r="Q490" s="26">
        <f>uurtarief21</f>
        <v>0</v>
      </c>
      <c r="R490" s="96" t="e">
        <f>IF(ISBLANK(N490),0,M490/ROUND(N490,4))</f>
        <v>#DIV/0!</v>
      </c>
      <c r="S490" s="96" t="e">
        <f>IF(ISBLANK(N490),0,R490*ROUND(O490,2))</f>
        <v>#DIV/0!</v>
      </c>
      <c r="T490" s="26" t="e">
        <f>ROUND(Q490,2)*R490</f>
        <v>#DIV/0!</v>
      </c>
      <c r="U490" s="96" t="e">
        <f>R490*dagenperjaar1</f>
        <v>#DIV/0!</v>
      </c>
      <c r="V490" s="27" t="e">
        <f>U490*ROUND(Q490,2)</f>
        <v>#DIV/0!</v>
      </c>
    </row>
    <row r="491" spans="1:22" ht="29" x14ac:dyDescent="0.35">
      <c r="A491" s="93" t="s">
        <v>803</v>
      </c>
      <c r="B491" s="94" t="s">
        <v>40</v>
      </c>
      <c r="C491" s="94" t="s">
        <v>417</v>
      </c>
      <c r="D491" s="94" t="s">
        <v>1033</v>
      </c>
      <c r="E491" s="94" t="s">
        <v>40</v>
      </c>
      <c r="F491" s="95" t="s">
        <v>1034</v>
      </c>
      <c r="G491" s="94" t="s">
        <v>321</v>
      </c>
      <c r="H491" s="94" t="s">
        <v>244</v>
      </c>
      <c r="I491" s="94" t="s">
        <v>9</v>
      </c>
      <c r="J491" s="94" t="s">
        <v>218</v>
      </c>
      <c r="K491" s="95" t="s">
        <v>245</v>
      </c>
      <c r="L491" s="96">
        <v>11</v>
      </c>
      <c r="M491" s="96">
        <f>L491*VLOOKUP(I491,dagsoorttabel1,2,FALSE)</f>
        <v>33</v>
      </c>
      <c r="N491" s="97">
        <f>prodnorm22</f>
        <v>0</v>
      </c>
      <c r="O491" s="41">
        <f>dagwerk22</f>
        <v>0</v>
      </c>
      <c r="P491" s="94" t="s">
        <v>107</v>
      </c>
      <c r="Q491" s="26">
        <f>uurtarief22</f>
        <v>0</v>
      </c>
      <c r="R491" s="96" t="e">
        <f>IF(ISBLANK(N491),0,M491/ROUND(N491,4))</f>
        <v>#DIV/0!</v>
      </c>
      <c r="S491" s="96" t="e">
        <f>IF(ISBLANK(N491),0,R491*ROUND(O491,2))</f>
        <v>#DIV/0!</v>
      </c>
      <c r="T491" s="26" t="e">
        <f>ROUND(Q491,2)*R491</f>
        <v>#DIV/0!</v>
      </c>
      <c r="U491" s="96" t="e">
        <f>R491*dagenperjaar1</f>
        <v>#DIV/0!</v>
      </c>
      <c r="V491" s="27" t="e">
        <f>U491*ROUND(Q491,2)</f>
        <v>#DIV/0!</v>
      </c>
    </row>
    <row r="492" spans="1:22" ht="29" x14ac:dyDescent="0.35">
      <c r="A492" s="93" t="s">
        <v>803</v>
      </c>
      <c r="B492" s="94" t="s">
        <v>40</v>
      </c>
      <c r="C492" s="94" t="s">
        <v>417</v>
      </c>
      <c r="D492" s="94" t="s">
        <v>1035</v>
      </c>
      <c r="E492" s="94" t="s">
        <v>40</v>
      </c>
      <c r="F492" s="95" t="s">
        <v>1034</v>
      </c>
      <c r="G492" s="94" t="s">
        <v>321</v>
      </c>
      <c r="H492" s="94" t="s">
        <v>242</v>
      </c>
      <c r="I492" s="94" t="s">
        <v>10</v>
      </c>
      <c r="J492" s="94" t="s">
        <v>218</v>
      </c>
      <c r="K492" s="95" t="s">
        <v>243</v>
      </c>
      <c r="L492" s="96">
        <v>7</v>
      </c>
      <c r="M492" s="96">
        <f>L492*VLOOKUP(I492,dagsoorttabel1,2,FALSE)</f>
        <v>7</v>
      </c>
      <c r="N492" s="97">
        <f>prodnorm21</f>
        <v>0</v>
      </c>
      <c r="O492" s="41">
        <f>dagwerk21</f>
        <v>0</v>
      </c>
      <c r="P492" s="94" t="s">
        <v>107</v>
      </c>
      <c r="Q492" s="26">
        <f>uurtarief21</f>
        <v>0</v>
      </c>
      <c r="R492" s="96" t="e">
        <f>IF(ISBLANK(N492),0,M492/ROUND(N492,4))</f>
        <v>#DIV/0!</v>
      </c>
      <c r="S492" s="96" t="e">
        <f>IF(ISBLANK(N492),0,R492*ROUND(O492,2))</f>
        <v>#DIV/0!</v>
      </c>
      <c r="T492" s="26" t="e">
        <f>ROUND(Q492,2)*R492</f>
        <v>#DIV/0!</v>
      </c>
      <c r="U492" s="96" t="e">
        <f>R492*dagenperjaar1</f>
        <v>#DIV/0!</v>
      </c>
      <c r="V492" s="27" t="e">
        <f>U492*ROUND(Q492,2)</f>
        <v>#DIV/0!</v>
      </c>
    </row>
    <row r="493" spans="1:22" ht="29" x14ac:dyDescent="0.35">
      <c r="A493" s="93" t="s">
        <v>803</v>
      </c>
      <c r="B493" s="94" t="s">
        <v>40</v>
      </c>
      <c r="C493" s="94" t="s">
        <v>417</v>
      </c>
      <c r="D493" s="94" t="s">
        <v>1035</v>
      </c>
      <c r="E493" s="94" t="s">
        <v>40</v>
      </c>
      <c r="F493" s="95" t="s">
        <v>1034</v>
      </c>
      <c r="G493" s="94" t="s">
        <v>321</v>
      </c>
      <c r="H493" s="94" t="s">
        <v>244</v>
      </c>
      <c r="I493" s="94" t="s">
        <v>9</v>
      </c>
      <c r="J493" s="94" t="s">
        <v>218</v>
      </c>
      <c r="K493" s="95" t="s">
        <v>245</v>
      </c>
      <c r="L493" s="96">
        <v>7</v>
      </c>
      <c r="M493" s="96">
        <f>L493*VLOOKUP(I493,dagsoorttabel1,2,FALSE)</f>
        <v>21</v>
      </c>
      <c r="N493" s="97">
        <f>prodnorm22</f>
        <v>0</v>
      </c>
      <c r="O493" s="41">
        <f>dagwerk22</f>
        <v>0</v>
      </c>
      <c r="P493" s="94" t="s">
        <v>107</v>
      </c>
      <c r="Q493" s="26">
        <f>uurtarief22</f>
        <v>0</v>
      </c>
      <c r="R493" s="96" t="e">
        <f>IF(ISBLANK(N493),0,M493/ROUND(N493,4))</f>
        <v>#DIV/0!</v>
      </c>
      <c r="S493" s="96" t="e">
        <f>IF(ISBLANK(N493),0,R493*ROUND(O493,2))</f>
        <v>#DIV/0!</v>
      </c>
      <c r="T493" s="26" t="e">
        <f>ROUND(Q493,2)*R493</f>
        <v>#DIV/0!</v>
      </c>
      <c r="U493" s="96" t="e">
        <f>R493*dagenperjaar1</f>
        <v>#DIV/0!</v>
      </c>
      <c r="V493" s="27" t="e">
        <f>U493*ROUND(Q493,2)</f>
        <v>#DIV/0!</v>
      </c>
    </row>
    <row r="494" spans="1:22" x14ac:dyDescent="0.35">
      <c r="A494" s="93" t="s">
        <v>803</v>
      </c>
      <c r="B494" s="94" t="s">
        <v>40</v>
      </c>
      <c r="C494" s="94" t="s">
        <v>417</v>
      </c>
      <c r="D494" s="94" t="s">
        <v>1036</v>
      </c>
      <c r="E494" s="94" t="s">
        <v>40</v>
      </c>
      <c r="F494" s="95" t="s">
        <v>589</v>
      </c>
      <c r="G494" s="94" t="s">
        <v>40</v>
      </c>
      <c r="H494" s="94" t="s">
        <v>316</v>
      </c>
      <c r="I494" s="94"/>
      <c r="J494" s="94"/>
      <c r="K494" s="94"/>
      <c r="L494" s="96">
        <v>0</v>
      </c>
      <c r="M494" s="96"/>
      <c r="N494" s="97"/>
      <c r="O494" s="41"/>
      <c r="P494" s="94"/>
      <c r="Q494" s="26"/>
      <c r="R494" s="96"/>
      <c r="S494" s="96"/>
      <c r="T494" s="26"/>
      <c r="U494" s="98"/>
      <c r="V494" s="27"/>
    </row>
    <row r="495" spans="1:22" x14ac:dyDescent="0.35">
      <c r="A495" s="93" t="s">
        <v>803</v>
      </c>
      <c r="B495" s="94" t="s">
        <v>40</v>
      </c>
      <c r="C495" s="94" t="s">
        <v>460</v>
      </c>
      <c r="D495" s="94" t="s">
        <v>1037</v>
      </c>
      <c r="E495" s="94" t="s">
        <v>40</v>
      </c>
      <c r="F495" s="95" t="s">
        <v>835</v>
      </c>
      <c r="G495" s="94" t="s">
        <v>679</v>
      </c>
      <c r="H495" s="94" t="s">
        <v>256</v>
      </c>
      <c r="I495" s="94" t="s">
        <v>14</v>
      </c>
      <c r="J495" s="94" t="s">
        <v>218</v>
      </c>
      <c r="K495" s="95" t="s">
        <v>257</v>
      </c>
      <c r="L495" s="96">
        <v>8</v>
      </c>
      <c r="M495" s="96">
        <f>L495*VLOOKUP(I495,dagsoorttabel1,2,FALSE)</f>
        <v>1.6</v>
      </c>
      <c r="N495" s="97">
        <f>prodnorm35</f>
        <v>0</v>
      </c>
      <c r="O495" s="41">
        <f>dagwerk35</f>
        <v>0</v>
      </c>
      <c r="P495" s="94" t="s">
        <v>107</v>
      </c>
      <c r="Q495" s="26">
        <f>uurtarief35</f>
        <v>0</v>
      </c>
      <c r="R495" s="96" t="e">
        <f>IF(ISBLANK(N495),0,M495/ROUND(N495,4))</f>
        <v>#DIV/0!</v>
      </c>
      <c r="S495" s="96" t="e">
        <f>IF(ISBLANK(N495),0,R495*ROUND(O495,2))</f>
        <v>#DIV/0!</v>
      </c>
      <c r="T495" s="26" t="e">
        <f>ROUND(Q495,2)*R495</f>
        <v>#DIV/0!</v>
      </c>
      <c r="U495" s="96" t="e">
        <f>R495*dagenperjaar1</f>
        <v>#DIV/0!</v>
      </c>
      <c r="V495" s="27" t="e">
        <f>U495*ROUND(Q495,2)</f>
        <v>#DIV/0!</v>
      </c>
    </row>
    <row r="496" spans="1:22" x14ac:dyDescent="0.35">
      <c r="A496" s="93" t="s">
        <v>803</v>
      </c>
      <c r="B496" s="94" t="s">
        <v>40</v>
      </c>
      <c r="C496" s="94" t="s">
        <v>460</v>
      </c>
      <c r="D496" s="94" t="s">
        <v>1038</v>
      </c>
      <c r="E496" s="94" t="s">
        <v>40</v>
      </c>
      <c r="F496" s="95" t="s">
        <v>765</v>
      </c>
      <c r="G496" s="94" t="s">
        <v>40</v>
      </c>
      <c r="H496" s="94" t="s">
        <v>316</v>
      </c>
      <c r="I496" s="94"/>
      <c r="J496" s="94"/>
      <c r="K496" s="94"/>
      <c r="L496" s="96">
        <v>0</v>
      </c>
      <c r="M496" s="96"/>
      <c r="N496" s="97"/>
      <c r="O496" s="41"/>
      <c r="P496" s="94"/>
      <c r="Q496" s="26"/>
      <c r="R496" s="96"/>
      <c r="S496" s="96"/>
      <c r="T496" s="26"/>
      <c r="U496" s="98"/>
      <c r="V496" s="27"/>
    </row>
    <row r="497" spans="1:22" x14ac:dyDescent="0.35">
      <c r="A497" s="93" t="s">
        <v>803</v>
      </c>
      <c r="B497" s="94" t="s">
        <v>40</v>
      </c>
      <c r="C497" s="94" t="s">
        <v>460</v>
      </c>
      <c r="D497" s="94" t="s">
        <v>1039</v>
      </c>
      <c r="E497" s="94" t="s">
        <v>40</v>
      </c>
      <c r="F497" s="95" t="s">
        <v>765</v>
      </c>
      <c r="G497" s="94" t="s">
        <v>40</v>
      </c>
      <c r="H497" s="94" t="s">
        <v>316</v>
      </c>
      <c r="I497" s="94"/>
      <c r="J497" s="94"/>
      <c r="K497" s="94"/>
      <c r="L497" s="96">
        <v>0</v>
      </c>
      <c r="M497" s="96"/>
      <c r="N497" s="97"/>
      <c r="O497" s="41"/>
      <c r="P497" s="94"/>
      <c r="Q497" s="26"/>
      <c r="R497" s="96"/>
      <c r="S497" s="96"/>
      <c r="T497" s="26"/>
      <c r="U497" s="98"/>
      <c r="V497" s="27"/>
    </row>
    <row r="498" spans="1:22" x14ac:dyDescent="0.35">
      <c r="A498" s="93" t="s">
        <v>803</v>
      </c>
      <c r="B498" s="94" t="s">
        <v>40</v>
      </c>
      <c r="C498" s="94" t="s">
        <v>460</v>
      </c>
      <c r="D498" s="94" t="s">
        <v>1040</v>
      </c>
      <c r="E498" s="94" t="s">
        <v>40</v>
      </c>
      <c r="F498" s="95" t="s">
        <v>835</v>
      </c>
      <c r="G498" s="94" t="s">
        <v>679</v>
      </c>
      <c r="H498" s="94" t="s">
        <v>256</v>
      </c>
      <c r="I498" s="94" t="s">
        <v>14</v>
      </c>
      <c r="J498" s="94" t="s">
        <v>218</v>
      </c>
      <c r="K498" s="95" t="s">
        <v>257</v>
      </c>
      <c r="L498" s="96">
        <v>10</v>
      </c>
      <c r="M498" s="96">
        <f>L498*VLOOKUP(I498,dagsoorttabel1,2,FALSE)</f>
        <v>2</v>
      </c>
      <c r="N498" s="97">
        <f>prodnorm35</f>
        <v>0</v>
      </c>
      <c r="O498" s="41">
        <f>dagwerk35</f>
        <v>0</v>
      </c>
      <c r="P498" s="94" t="s">
        <v>107</v>
      </c>
      <c r="Q498" s="26">
        <f>uurtarief35</f>
        <v>0</v>
      </c>
      <c r="R498" s="96" t="e">
        <f>IF(ISBLANK(N498),0,M498/ROUND(N498,4))</f>
        <v>#DIV/0!</v>
      </c>
      <c r="S498" s="96" t="e">
        <f>IF(ISBLANK(N498),0,R498*ROUND(O498,2))</f>
        <v>#DIV/0!</v>
      </c>
      <c r="T498" s="26" t="e">
        <f>ROUND(Q498,2)*R498</f>
        <v>#DIV/0!</v>
      </c>
      <c r="U498" s="96" t="e">
        <f>R498*dagenperjaar1</f>
        <v>#DIV/0!</v>
      </c>
      <c r="V498" s="27" t="e">
        <f>U498*ROUND(Q498,2)</f>
        <v>#DIV/0!</v>
      </c>
    </row>
    <row r="499" spans="1:22" x14ac:dyDescent="0.35">
      <c r="A499" s="93" t="s">
        <v>803</v>
      </c>
      <c r="B499" s="94" t="s">
        <v>40</v>
      </c>
      <c r="C499" s="94" t="s">
        <v>460</v>
      </c>
      <c r="D499" s="94" t="s">
        <v>1041</v>
      </c>
      <c r="E499" s="94" t="s">
        <v>40</v>
      </c>
      <c r="F499" s="95" t="s">
        <v>589</v>
      </c>
      <c r="G499" s="94" t="s">
        <v>40</v>
      </c>
      <c r="H499" s="94" t="s">
        <v>316</v>
      </c>
      <c r="I499" s="94"/>
      <c r="J499" s="94"/>
      <c r="K499" s="94"/>
      <c r="L499" s="96">
        <v>0</v>
      </c>
      <c r="M499" s="96"/>
      <c r="N499" s="97"/>
      <c r="O499" s="41"/>
      <c r="P499" s="94"/>
      <c r="Q499" s="26"/>
      <c r="R499" s="96"/>
      <c r="S499" s="96"/>
      <c r="T499" s="26"/>
      <c r="U499" s="98"/>
      <c r="V499" s="27"/>
    </row>
    <row r="500" spans="1:22" x14ac:dyDescent="0.35">
      <c r="A500" s="93" t="s">
        <v>803</v>
      </c>
      <c r="B500" s="94" t="s">
        <v>40</v>
      </c>
      <c r="C500" s="94" t="s">
        <v>460</v>
      </c>
      <c r="D500" s="94" t="s">
        <v>1042</v>
      </c>
      <c r="E500" s="94" t="s">
        <v>40</v>
      </c>
      <c r="F500" s="95" t="s">
        <v>765</v>
      </c>
      <c r="G500" s="94" t="s">
        <v>40</v>
      </c>
      <c r="H500" s="94" t="s">
        <v>316</v>
      </c>
      <c r="I500" s="94"/>
      <c r="J500" s="94"/>
      <c r="K500" s="94"/>
      <c r="L500" s="96">
        <v>0</v>
      </c>
      <c r="M500" s="96"/>
      <c r="N500" s="97"/>
      <c r="O500" s="41"/>
      <c r="P500" s="94"/>
      <c r="Q500" s="26"/>
      <c r="R500" s="96"/>
      <c r="S500" s="96"/>
      <c r="T500" s="26"/>
      <c r="U500" s="98"/>
      <c r="V500" s="27"/>
    </row>
    <row r="501" spans="1:22" x14ac:dyDescent="0.35">
      <c r="A501" s="93" t="s">
        <v>803</v>
      </c>
      <c r="B501" s="94" t="s">
        <v>40</v>
      </c>
      <c r="C501" s="94" t="s">
        <v>460</v>
      </c>
      <c r="D501" s="94" t="s">
        <v>1043</v>
      </c>
      <c r="E501" s="94" t="s">
        <v>40</v>
      </c>
      <c r="F501" s="95" t="s">
        <v>479</v>
      </c>
      <c r="G501" s="94" t="s">
        <v>40</v>
      </c>
      <c r="H501" s="94" t="s">
        <v>316</v>
      </c>
      <c r="I501" s="94"/>
      <c r="J501" s="94"/>
      <c r="K501" s="94"/>
      <c r="L501" s="96">
        <v>0</v>
      </c>
      <c r="M501" s="96"/>
      <c r="N501" s="97"/>
      <c r="O501" s="41"/>
      <c r="P501" s="94"/>
      <c r="Q501" s="26"/>
      <c r="R501" s="96"/>
      <c r="S501" s="96"/>
      <c r="T501" s="26"/>
      <c r="U501" s="98"/>
      <c r="V501" s="27"/>
    </row>
    <row r="502" spans="1:22" x14ac:dyDescent="0.35">
      <c r="A502" s="93" t="s">
        <v>803</v>
      </c>
      <c r="B502" s="94" t="s">
        <v>40</v>
      </c>
      <c r="C502" s="94" t="s">
        <v>460</v>
      </c>
      <c r="D502" s="94" t="s">
        <v>1044</v>
      </c>
      <c r="E502" s="94" t="s">
        <v>40</v>
      </c>
      <c r="F502" s="95" t="s">
        <v>839</v>
      </c>
      <c r="G502" s="94" t="s">
        <v>40</v>
      </c>
      <c r="H502" s="94" t="s">
        <v>316</v>
      </c>
      <c r="I502" s="94"/>
      <c r="J502" s="94"/>
      <c r="K502" s="94"/>
      <c r="L502" s="96">
        <v>0</v>
      </c>
      <c r="M502" s="96"/>
      <c r="N502" s="97"/>
      <c r="O502" s="41"/>
      <c r="P502" s="94"/>
      <c r="Q502" s="26"/>
      <c r="R502" s="96"/>
      <c r="S502" s="96"/>
      <c r="T502" s="26"/>
      <c r="U502" s="98"/>
      <c r="V502" s="27"/>
    </row>
    <row r="503" spans="1:22" x14ac:dyDescent="0.35">
      <c r="A503" s="93" t="s">
        <v>803</v>
      </c>
      <c r="B503" s="94" t="s">
        <v>40</v>
      </c>
      <c r="C503" s="94" t="s">
        <v>460</v>
      </c>
      <c r="D503" s="94" t="s">
        <v>1045</v>
      </c>
      <c r="E503" s="94" t="s">
        <v>40</v>
      </c>
      <c r="F503" s="95" t="s">
        <v>540</v>
      </c>
      <c r="G503" s="94" t="s">
        <v>40</v>
      </c>
      <c r="H503" s="94" t="s">
        <v>316</v>
      </c>
      <c r="I503" s="94"/>
      <c r="J503" s="94"/>
      <c r="K503" s="94"/>
      <c r="L503" s="96">
        <v>0</v>
      </c>
      <c r="M503" s="96"/>
      <c r="N503" s="97"/>
      <c r="O503" s="41"/>
      <c r="P503" s="94"/>
      <c r="Q503" s="26"/>
      <c r="R503" s="96"/>
      <c r="S503" s="96"/>
      <c r="T503" s="26"/>
      <c r="U503" s="98"/>
      <c r="V503" s="27"/>
    </row>
    <row r="504" spans="1:22" x14ac:dyDescent="0.35">
      <c r="A504" s="93" t="s">
        <v>803</v>
      </c>
      <c r="B504" s="94" t="s">
        <v>40</v>
      </c>
      <c r="C504" s="94" t="s">
        <v>460</v>
      </c>
      <c r="D504" s="94" t="s">
        <v>1046</v>
      </c>
      <c r="E504" s="94" t="s">
        <v>40</v>
      </c>
      <c r="F504" s="95" t="s">
        <v>589</v>
      </c>
      <c r="G504" s="94" t="s">
        <v>40</v>
      </c>
      <c r="H504" s="94" t="s">
        <v>316</v>
      </c>
      <c r="I504" s="94"/>
      <c r="J504" s="94"/>
      <c r="K504" s="94"/>
      <c r="L504" s="96">
        <v>0</v>
      </c>
      <c r="M504" s="96"/>
      <c r="N504" s="97"/>
      <c r="O504" s="41"/>
      <c r="P504" s="94"/>
      <c r="Q504" s="26"/>
      <c r="R504" s="96"/>
      <c r="S504" s="96"/>
      <c r="T504" s="26"/>
      <c r="U504" s="98"/>
      <c r="V504" s="27"/>
    </row>
    <row r="505" spans="1:22" x14ac:dyDescent="0.35">
      <c r="A505" s="93" t="s">
        <v>803</v>
      </c>
      <c r="B505" s="94" t="s">
        <v>40</v>
      </c>
      <c r="C505" s="94" t="s">
        <v>729</v>
      </c>
      <c r="D505" s="94" t="s">
        <v>1047</v>
      </c>
      <c r="E505" s="94" t="s">
        <v>40</v>
      </c>
      <c r="F505" s="95" t="s">
        <v>411</v>
      </c>
      <c r="G505" s="94" t="s">
        <v>335</v>
      </c>
      <c r="H505" s="94" t="s">
        <v>246</v>
      </c>
      <c r="I505" s="94" t="s">
        <v>14</v>
      </c>
      <c r="J505" s="94" t="s">
        <v>218</v>
      </c>
      <c r="K505" s="95" t="s">
        <v>247</v>
      </c>
      <c r="L505" s="96">
        <v>194</v>
      </c>
      <c r="M505" s="96">
        <f>L505*VLOOKUP(I505,dagsoorttabel1,2,FALSE)</f>
        <v>38.800000000000004</v>
      </c>
      <c r="N505" s="97">
        <f>prodnorm24</f>
        <v>0</v>
      </c>
      <c r="O505" s="41">
        <f>dagwerk24</f>
        <v>0</v>
      </c>
      <c r="P505" s="94" t="s">
        <v>107</v>
      </c>
      <c r="Q505" s="26">
        <f>uurtarief24</f>
        <v>0</v>
      </c>
      <c r="R505" s="96" t="e">
        <f>IF(ISBLANK(N505),0,M505/ROUND(N505,4))</f>
        <v>#DIV/0!</v>
      </c>
      <c r="S505" s="96" t="e">
        <f>IF(ISBLANK(N505),0,R505*ROUND(O505,2))</f>
        <v>#DIV/0!</v>
      </c>
      <c r="T505" s="26" t="e">
        <f>ROUND(Q505,2)*R505</f>
        <v>#DIV/0!</v>
      </c>
      <c r="U505" s="96" t="e">
        <f>R505*dagenperjaar1</f>
        <v>#DIV/0!</v>
      </c>
      <c r="V505" s="27" t="e">
        <f>U505*ROUND(Q505,2)</f>
        <v>#DIV/0!</v>
      </c>
    </row>
    <row r="506" spans="1:22" x14ac:dyDescent="0.35">
      <c r="A506" s="93" t="s">
        <v>803</v>
      </c>
      <c r="B506" s="94" t="s">
        <v>40</v>
      </c>
      <c r="C506" s="94" t="s">
        <v>729</v>
      </c>
      <c r="D506" s="94" t="s">
        <v>1048</v>
      </c>
      <c r="E506" s="94" t="s">
        <v>40</v>
      </c>
      <c r="F506" s="95" t="s">
        <v>1049</v>
      </c>
      <c r="G506" s="94" t="s">
        <v>335</v>
      </c>
      <c r="H506" s="94" t="s">
        <v>316</v>
      </c>
      <c r="I506" s="94"/>
      <c r="J506" s="94"/>
      <c r="K506" s="94"/>
      <c r="L506" s="96">
        <v>22</v>
      </c>
      <c r="M506" s="96"/>
      <c r="N506" s="97"/>
      <c r="O506" s="41"/>
      <c r="P506" s="94"/>
      <c r="Q506" s="26"/>
      <c r="R506" s="96"/>
      <c r="S506" s="96"/>
      <c r="T506" s="26"/>
      <c r="U506" s="98"/>
      <c r="V506" s="27"/>
    </row>
    <row r="507" spans="1:22" x14ac:dyDescent="0.35">
      <c r="A507" s="93" t="s">
        <v>803</v>
      </c>
      <c r="B507" s="94" t="s">
        <v>40</v>
      </c>
      <c r="C507" s="94" t="s">
        <v>729</v>
      </c>
      <c r="D507" s="94" t="s">
        <v>1050</v>
      </c>
      <c r="E507" s="94" t="s">
        <v>40</v>
      </c>
      <c r="F507" s="95" t="s">
        <v>1051</v>
      </c>
      <c r="G507" s="94" t="s">
        <v>335</v>
      </c>
      <c r="H507" s="94" t="s">
        <v>316</v>
      </c>
      <c r="I507" s="94"/>
      <c r="J507" s="94"/>
      <c r="K507" s="94"/>
      <c r="L507" s="96">
        <v>42</v>
      </c>
      <c r="M507" s="96"/>
      <c r="N507" s="97"/>
      <c r="O507" s="41"/>
      <c r="P507" s="94"/>
      <c r="Q507" s="26"/>
      <c r="R507" s="96"/>
      <c r="S507" s="96"/>
      <c r="T507" s="26"/>
      <c r="U507" s="98"/>
      <c r="V507" s="27"/>
    </row>
    <row r="508" spans="1:22" x14ac:dyDescent="0.35">
      <c r="A508" s="93" t="s">
        <v>803</v>
      </c>
      <c r="B508" s="94" t="s">
        <v>40</v>
      </c>
      <c r="C508" s="94" t="s">
        <v>729</v>
      </c>
      <c r="D508" s="94" t="s">
        <v>1052</v>
      </c>
      <c r="E508" s="94" t="s">
        <v>40</v>
      </c>
      <c r="F508" s="95" t="s">
        <v>839</v>
      </c>
      <c r="G508" s="94" t="s">
        <v>40</v>
      </c>
      <c r="H508" s="94" t="s">
        <v>316</v>
      </c>
      <c r="I508" s="94"/>
      <c r="J508" s="94"/>
      <c r="K508" s="94"/>
      <c r="L508" s="96">
        <v>0</v>
      </c>
      <c r="M508" s="96"/>
      <c r="N508" s="97"/>
      <c r="O508" s="41"/>
      <c r="P508" s="94"/>
      <c r="Q508" s="26"/>
      <c r="R508" s="96"/>
      <c r="S508" s="96"/>
      <c r="T508" s="26"/>
      <c r="U508" s="98"/>
      <c r="V508" s="27"/>
    </row>
    <row r="509" spans="1:22" x14ac:dyDescent="0.35">
      <c r="A509" s="93" t="s">
        <v>803</v>
      </c>
      <c r="B509" s="94" t="s">
        <v>40</v>
      </c>
      <c r="C509" s="94" t="s">
        <v>729</v>
      </c>
      <c r="D509" s="94" t="s">
        <v>1053</v>
      </c>
      <c r="E509" s="94" t="s">
        <v>40</v>
      </c>
      <c r="F509" s="95" t="s">
        <v>835</v>
      </c>
      <c r="G509" s="94" t="s">
        <v>679</v>
      </c>
      <c r="H509" s="94" t="s">
        <v>256</v>
      </c>
      <c r="I509" s="94" t="s">
        <v>14</v>
      </c>
      <c r="J509" s="94" t="s">
        <v>218</v>
      </c>
      <c r="K509" s="95" t="s">
        <v>257</v>
      </c>
      <c r="L509" s="96">
        <v>10</v>
      </c>
      <c r="M509" s="96">
        <f>L509*VLOOKUP(I509,dagsoorttabel1,2,FALSE)</f>
        <v>2</v>
      </c>
      <c r="N509" s="97">
        <f>prodnorm35</f>
        <v>0</v>
      </c>
      <c r="O509" s="41">
        <f>dagwerk35</f>
        <v>0</v>
      </c>
      <c r="P509" s="94" t="s">
        <v>107</v>
      </c>
      <c r="Q509" s="26">
        <f>uurtarief35</f>
        <v>0</v>
      </c>
      <c r="R509" s="96" t="e">
        <f>IF(ISBLANK(N509),0,M509/ROUND(N509,4))</f>
        <v>#DIV/0!</v>
      </c>
      <c r="S509" s="96" t="e">
        <f>IF(ISBLANK(N509),0,R509*ROUND(O509,2))</f>
        <v>#DIV/0!</v>
      </c>
      <c r="T509" s="26" t="e">
        <f>ROUND(Q509,2)*R509</f>
        <v>#DIV/0!</v>
      </c>
      <c r="U509" s="96" t="e">
        <f>R509*dagenperjaar1</f>
        <v>#DIV/0!</v>
      </c>
      <c r="V509" s="27" t="e">
        <f>U509*ROUND(Q509,2)</f>
        <v>#DIV/0!</v>
      </c>
    </row>
    <row r="510" spans="1:22" x14ac:dyDescent="0.35">
      <c r="A510" s="93" t="s">
        <v>803</v>
      </c>
      <c r="B510" s="94" t="s">
        <v>40</v>
      </c>
      <c r="C510" s="94" t="s">
        <v>729</v>
      </c>
      <c r="D510" s="94" t="s">
        <v>1054</v>
      </c>
      <c r="E510" s="94" t="s">
        <v>40</v>
      </c>
      <c r="F510" s="95" t="s">
        <v>1055</v>
      </c>
      <c r="G510" s="94" t="s">
        <v>335</v>
      </c>
      <c r="H510" s="94" t="s">
        <v>232</v>
      </c>
      <c r="I510" s="94" t="s">
        <v>13</v>
      </c>
      <c r="J510" s="94" t="s">
        <v>218</v>
      </c>
      <c r="K510" s="95" t="s">
        <v>233</v>
      </c>
      <c r="L510" s="96">
        <v>116</v>
      </c>
      <c r="M510" s="96">
        <f>L510*VLOOKUP(I510,dagsoorttabel1,2,FALSE)</f>
        <v>46.400000000000006</v>
      </c>
      <c r="N510" s="97">
        <f>prodnorm14</f>
        <v>0</v>
      </c>
      <c r="O510" s="41">
        <f>dagwerk14</f>
        <v>0</v>
      </c>
      <c r="P510" s="94" t="s">
        <v>107</v>
      </c>
      <c r="Q510" s="26">
        <f>uurtarief14</f>
        <v>0</v>
      </c>
      <c r="R510" s="96" t="e">
        <f>IF(ISBLANK(N510),0,M510/ROUND(N510,4))</f>
        <v>#DIV/0!</v>
      </c>
      <c r="S510" s="96" t="e">
        <f>IF(ISBLANK(N510),0,R510*ROUND(O510,2))</f>
        <v>#DIV/0!</v>
      </c>
      <c r="T510" s="26" t="e">
        <f>ROUND(Q510,2)*R510</f>
        <v>#DIV/0!</v>
      </c>
      <c r="U510" s="96" t="e">
        <f>R510*dagenperjaar1</f>
        <v>#DIV/0!</v>
      </c>
      <c r="V510" s="27" t="e">
        <f>U510*ROUND(Q510,2)</f>
        <v>#DIV/0!</v>
      </c>
    </row>
    <row r="511" spans="1:22" x14ac:dyDescent="0.35">
      <c r="A511" s="93" t="s">
        <v>803</v>
      </c>
      <c r="B511" s="94" t="s">
        <v>40</v>
      </c>
      <c r="C511" s="94" t="s">
        <v>729</v>
      </c>
      <c r="D511" s="94" t="s">
        <v>1056</v>
      </c>
      <c r="E511" s="94" t="s">
        <v>40</v>
      </c>
      <c r="F511" s="95" t="s">
        <v>835</v>
      </c>
      <c r="G511" s="94" t="s">
        <v>679</v>
      </c>
      <c r="H511" s="94" t="s">
        <v>256</v>
      </c>
      <c r="I511" s="94" t="s">
        <v>14</v>
      </c>
      <c r="J511" s="94" t="s">
        <v>218</v>
      </c>
      <c r="K511" s="95" t="s">
        <v>257</v>
      </c>
      <c r="L511" s="96">
        <v>8</v>
      </c>
      <c r="M511" s="96">
        <f>L511*VLOOKUP(I511,dagsoorttabel1,2,FALSE)</f>
        <v>1.6</v>
      </c>
      <c r="N511" s="97">
        <f>prodnorm35</f>
        <v>0</v>
      </c>
      <c r="O511" s="41">
        <f>dagwerk35</f>
        <v>0</v>
      </c>
      <c r="P511" s="94" t="s">
        <v>107</v>
      </c>
      <c r="Q511" s="26">
        <f>uurtarief35</f>
        <v>0</v>
      </c>
      <c r="R511" s="96" t="e">
        <f>IF(ISBLANK(N511),0,M511/ROUND(N511,4))</f>
        <v>#DIV/0!</v>
      </c>
      <c r="S511" s="96" t="e">
        <f>IF(ISBLANK(N511),0,R511*ROUND(O511,2))</f>
        <v>#DIV/0!</v>
      </c>
      <c r="T511" s="26" t="e">
        <f>ROUND(Q511,2)*R511</f>
        <v>#DIV/0!</v>
      </c>
      <c r="U511" s="96" t="e">
        <f>R511*dagenperjaar1</f>
        <v>#DIV/0!</v>
      </c>
      <c r="V511" s="27" t="e">
        <f>U511*ROUND(Q511,2)</f>
        <v>#DIV/0!</v>
      </c>
    </row>
    <row r="512" spans="1:22" x14ac:dyDescent="0.35">
      <c r="A512" s="93" t="s">
        <v>803</v>
      </c>
      <c r="B512" s="94" t="s">
        <v>40</v>
      </c>
      <c r="C512" s="94" t="s">
        <v>729</v>
      </c>
      <c r="D512" s="94" t="s">
        <v>1057</v>
      </c>
      <c r="E512" s="94" t="s">
        <v>40</v>
      </c>
      <c r="F512" s="95" t="s">
        <v>735</v>
      </c>
      <c r="G512" s="94" t="s">
        <v>321</v>
      </c>
      <c r="H512" s="94" t="s">
        <v>242</v>
      </c>
      <c r="I512" s="94" t="s">
        <v>10</v>
      </c>
      <c r="J512" s="94" t="s">
        <v>218</v>
      </c>
      <c r="K512" s="95" t="s">
        <v>243</v>
      </c>
      <c r="L512" s="96">
        <v>8</v>
      </c>
      <c r="M512" s="96">
        <f>L512*VLOOKUP(I512,dagsoorttabel1,2,FALSE)</f>
        <v>8</v>
      </c>
      <c r="N512" s="97">
        <f>prodnorm21</f>
        <v>0</v>
      </c>
      <c r="O512" s="41">
        <f>dagwerk21</f>
        <v>0</v>
      </c>
      <c r="P512" s="94" t="s">
        <v>107</v>
      </c>
      <c r="Q512" s="26">
        <f>uurtarief21</f>
        <v>0</v>
      </c>
      <c r="R512" s="96" t="e">
        <f>IF(ISBLANK(N512),0,M512/ROUND(N512,4))</f>
        <v>#DIV/0!</v>
      </c>
      <c r="S512" s="96" t="e">
        <f>IF(ISBLANK(N512),0,R512*ROUND(O512,2))</f>
        <v>#DIV/0!</v>
      </c>
      <c r="T512" s="26" t="e">
        <f>ROUND(Q512,2)*R512</f>
        <v>#DIV/0!</v>
      </c>
      <c r="U512" s="96" t="e">
        <f>R512*dagenperjaar1</f>
        <v>#DIV/0!</v>
      </c>
      <c r="V512" s="27" t="e">
        <f>U512*ROUND(Q512,2)</f>
        <v>#DIV/0!</v>
      </c>
    </row>
    <row r="513" spans="1:22" x14ac:dyDescent="0.35">
      <c r="A513" s="93" t="s">
        <v>803</v>
      </c>
      <c r="B513" s="94" t="s">
        <v>40</v>
      </c>
      <c r="C513" s="94" t="s">
        <v>729</v>
      </c>
      <c r="D513" s="94" t="s">
        <v>1058</v>
      </c>
      <c r="E513" s="94" t="s">
        <v>40</v>
      </c>
      <c r="F513" s="95" t="s">
        <v>765</v>
      </c>
      <c r="G513" s="94" t="s">
        <v>40</v>
      </c>
      <c r="H513" s="94" t="s">
        <v>316</v>
      </c>
      <c r="I513" s="94"/>
      <c r="J513" s="94"/>
      <c r="K513" s="94"/>
      <c r="L513" s="96">
        <v>0</v>
      </c>
      <c r="M513" s="96"/>
      <c r="N513" s="97"/>
      <c r="O513" s="41"/>
      <c r="P513" s="94"/>
      <c r="Q513" s="26"/>
      <c r="R513" s="96"/>
      <c r="S513" s="96"/>
      <c r="T513" s="26"/>
      <c r="U513" s="98"/>
      <c r="V513" s="27"/>
    </row>
    <row r="514" spans="1:22" x14ac:dyDescent="0.35">
      <c r="A514" s="93" t="s">
        <v>803</v>
      </c>
      <c r="B514" s="94" t="s">
        <v>40</v>
      </c>
      <c r="C514" s="94" t="s">
        <v>729</v>
      </c>
      <c r="D514" s="94" t="s">
        <v>1059</v>
      </c>
      <c r="E514" s="94" t="s">
        <v>40</v>
      </c>
      <c r="F514" s="95" t="s">
        <v>1060</v>
      </c>
      <c r="G514" s="94" t="s">
        <v>335</v>
      </c>
      <c r="H514" s="94" t="s">
        <v>232</v>
      </c>
      <c r="I514" s="94" t="s">
        <v>13</v>
      </c>
      <c r="J514" s="94" t="s">
        <v>218</v>
      </c>
      <c r="K514" s="95" t="s">
        <v>233</v>
      </c>
      <c r="L514" s="96">
        <v>117</v>
      </c>
      <c r="M514" s="96">
        <f>L514*VLOOKUP(I514,dagsoorttabel1,2,FALSE)</f>
        <v>46.800000000000004</v>
      </c>
      <c r="N514" s="97">
        <f>prodnorm14</f>
        <v>0</v>
      </c>
      <c r="O514" s="41">
        <f>dagwerk14</f>
        <v>0</v>
      </c>
      <c r="P514" s="94" t="s">
        <v>107</v>
      </c>
      <c r="Q514" s="26">
        <f>uurtarief14</f>
        <v>0</v>
      </c>
      <c r="R514" s="96" t="e">
        <f>IF(ISBLANK(N514),0,M514/ROUND(N514,4))</f>
        <v>#DIV/0!</v>
      </c>
      <c r="S514" s="96" t="e">
        <f>IF(ISBLANK(N514),0,R514*ROUND(O514,2))</f>
        <v>#DIV/0!</v>
      </c>
      <c r="T514" s="26" t="e">
        <f>ROUND(Q514,2)*R514</f>
        <v>#DIV/0!</v>
      </c>
      <c r="U514" s="96" t="e">
        <f>R514*dagenperjaar1</f>
        <v>#DIV/0!</v>
      </c>
      <c r="V514" s="27" t="e">
        <f>U514*ROUND(Q514,2)</f>
        <v>#DIV/0!</v>
      </c>
    </row>
    <row r="515" spans="1:22" x14ac:dyDescent="0.35">
      <c r="A515" s="93" t="s">
        <v>803</v>
      </c>
      <c r="B515" s="94" t="s">
        <v>40</v>
      </c>
      <c r="C515" s="94" t="s">
        <v>729</v>
      </c>
      <c r="D515" s="94" t="s">
        <v>1061</v>
      </c>
      <c r="E515" s="94" t="s">
        <v>40</v>
      </c>
      <c r="F515" s="95" t="s">
        <v>1062</v>
      </c>
      <c r="G515" s="94" t="s">
        <v>335</v>
      </c>
      <c r="H515" s="94" t="s">
        <v>316</v>
      </c>
      <c r="I515" s="94"/>
      <c r="J515" s="94"/>
      <c r="K515" s="94"/>
      <c r="L515" s="96">
        <v>20</v>
      </c>
      <c r="M515" s="96"/>
      <c r="N515" s="97"/>
      <c r="O515" s="41"/>
      <c r="P515" s="94"/>
      <c r="Q515" s="26"/>
      <c r="R515" s="96"/>
      <c r="S515" s="96"/>
      <c r="T515" s="26"/>
      <c r="U515" s="98"/>
      <c r="V515" s="27"/>
    </row>
    <row r="516" spans="1:22" x14ac:dyDescent="0.35">
      <c r="A516" s="93" t="s">
        <v>803</v>
      </c>
      <c r="B516" s="94" t="s">
        <v>40</v>
      </c>
      <c r="C516" s="94" t="s">
        <v>729</v>
      </c>
      <c r="D516" s="94" t="s">
        <v>1063</v>
      </c>
      <c r="E516" s="94" t="s">
        <v>40</v>
      </c>
      <c r="F516" s="95" t="s">
        <v>589</v>
      </c>
      <c r="G516" s="94" t="s">
        <v>40</v>
      </c>
      <c r="H516" s="94" t="s">
        <v>316</v>
      </c>
      <c r="I516" s="94"/>
      <c r="J516" s="94"/>
      <c r="K516" s="94"/>
      <c r="L516" s="96">
        <v>0</v>
      </c>
      <c r="M516" s="96"/>
      <c r="N516" s="97"/>
      <c r="O516" s="41"/>
      <c r="P516" s="94"/>
      <c r="Q516" s="26"/>
      <c r="R516" s="96"/>
      <c r="S516" s="96"/>
      <c r="T516" s="26"/>
      <c r="U516" s="98"/>
      <c r="V516" s="27"/>
    </row>
    <row r="517" spans="1:22" x14ac:dyDescent="0.35">
      <c r="A517" s="93" t="s">
        <v>803</v>
      </c>
      <c r="B517" s="94" t="s">
        <v>40</v>
      </c>
      <c r="C517" s="94" t="s">
        <v>729</v>
      </c>
      <c r="D517" s="94" t="s">
        <v>1064</v>
      </c>
      <c r="E517" s="94" t="s">
        <v>40</v>
      </c>
      <c r="F517" s="95" t="s">
        <v>479</v>
      </c>
      <c r="G517" s="94" t="s">
        <v>40</v>
      </c>
      <c r="H517" s="94" t="s">
        <v>316</v>
      </c>
      <c r="I517" s="94"/>
      <c r="J517" s="94"/>
      <c r="K517" s="94"/>
      <c r="L517" s="96">
        <v>0</v>
      </c>
      <c r="M517" s="96"/>
      <c r="N517" s="97"/>
      <c r="O517" s="41"/>
      <c r="P517" s="94"/>
      <c r="Q517" s="26"/>
      <c r="R517" s="96"/>
      <c r="S517" s="96"/>
      <c r="T517" s="26"/>
      <c r="U517" s="98"/>
      <c r="V517" s="27"/>
    </row>
    <row r="518" spans="1:22" x14ac:dyDescent="0.35">
      <c r="A518" s="93" t="s">
        <v>803</v>
      </c>
      <c r="B518" s="94" t="s">
        <v>40</v>
      </c>
      <c r="C518" s="94" t="s">
        <v>729</v>
      </c>
      <c r="D518" s="94" t="s">
        <v>1065</v>
      </c>
      <c r="E518" s="94" t="s">
        <v>40</v>
      </c>
      <c r="F518" s="95" t="s">
        <v>523</v>
      </c>
      <c r="G518" s="94" t="s">
        <v>335</v>
      </c>
      <c r="H518" s="94" t="s">
        <v>316</v>
      </c>
      <c r="I518" s="94"/>
      <c r="J518" s="94"/>
      <c r="K518" s="94"/>
      <c r="L518" s="96">
        <v>34</v>
      </c>
      <c r="M518" s="96"/>
      <c r="N518" s="97"/>
      <c r="O518" s="41"/>
      <c r="P518" s="94"/>
      <c r="Q518" s="26"/>
      <c r="R518" s="96"/>
      <c r="S518" s="96"/>
      <c r="T518" s="26"/>
      <c r="U518" s="98"/>
      <c r="V518" s="27"/>
    </row>
    <row r="519" spans="1:22" x14ac:dyDescent="0.35">
      <c r="A519" s="93" t="s">
        <v>803</v>
      </c>
      <c r="B519" s="94" t="s">
        <v>40</v>
      </c>
      <c r="C519" s="94" t="s">
        <v>729</v>
      </c>
      <c r="D519" s="94" t="s">
        <v>1066</v>
      </c>
      <c r="E519" s="94" t="s">
        <v>40</v>
      </c>
      <c r="F519" s="95" t="s">
        <v>765</v>
      </c>
      <c r="G519" s="94" t="s">
        <v>40</v>
      </c>
      <c r="H519" s="94" t="s">
        <v>316</v>
      </c>
      <c r="I519" s="94"/>
      <c r="J519" s="94"/>
      <c r="K519" s="94"/>
      <c r="L519" s="96">
        <v>0</v>
      </c>
      <c r="M519" s="96"/>
      <c r="N519" s="97"/>
      <c r="O519" s="41"/>
      <c r="P519" s="94"/>
      <c r="Q519" s="26"/>
      <c r="R519" s="96"/>
      <c r="S519" s="96"/>
      <c r="T519" s="26"/>
      <c r="U519" s="98"/>
      <c r="V519" s="27"/>
    </row>
    <row r="520" spans="1:22" x14ac:dyDescent="0.35">
      <c r="A520" s="93" t="s">
        <v>803</v>
      </c>
      <c r="B520" s="94" t="s">
        <v>40</v>
      </c>
      <c r="C520" s="94" t="s">
        <v>1067</v>
      </c>
      <c r="D520" s="94" t="s">
        <v>1068</v>
      </c>
      <c r="E520" s="94" t="s">
        <v>40</v>
      </c>
      <c r="F520" s="95" t="s">
        <v>1069</v>
      </c>
      <c r="G520" s="94" t="s">
        <v>335</v>
      </c>
      <c r="H520" s="94" t="s">
        <v>232</v>
      </c>
      <c r="I520" s="94" t="s">
        <v>13</v>
      </c>
      <c r="J520" s="94" t="s">
        <v>218</v>
      </c>
      <c r="K520" s="95" t="s">
        <v>233</v>
      </c>
      <c r="L520" s="96">
        <v>168</v>
      </c>
      <c r="M520" s="96">
        <f>L520*VLOOKUP(I520,dagsoorttabel1,2,FALSE)</f>
        <v>67.2</v>
      </c>
      <c r="N520" s="97">
        <f>prodnorm14</f>
        <v>0</v>
      </c>
      <c r="O520" s="41">
        <f>dagwerk14</f>
        <v>0</v>
      </c>
      <c r="P520" s="94" t="s">
        <v>107</v>
      </c>
      <c r="Q520" s="26">
        <f>uurtarief14</f>
        <v>0</v>
      </c>
      <c r="R520" s="96" t="e">
        <f>IF(ISBLANK(N520),0,M520/ROUND(N520,4))</f>
        <v>#DIV/0!</v>
      </c>
      <c r="S520" s="96" t="e">
        <f>IF(ISBLANK(N520),0,R520*ROUND(O520,2))</f>
        <v>#DIV/0!</v>
      </c>
      <c r="T520" s="26" t="e">
        <f>ROUND(Q520,2)*R520</f>
        <v>#DIV/0!</v>
      </c>
      <c r="U520" s="96" t="e">
        <f>R520*dagenperjaar1</f>
        <v>#DIV/0!</v>
      </c>
      <c r="V520" s="27" t="e">
        <f>U520*ROUND(Q520,2)</f>
        <v>#DIV/0!</v>
      </c>
    </row>
    <row r="521" spans="1:22" x14ac:dyDescent="0.35">
      <c r="A521" s="93" t="s">
        <v>803</v>
      </c>
      <c r="B521" s="94" t="s">
        <v>40</v>
      </c>
      <c r="C521" s="94" t="s">
        <v>1067</v>
      </c>
      <c r="D521" s="94" t="s">
        <v>1070</v>
      </c>
      <c r="E521" s="94" t="s">
        <v>40</v>
      </c>
      <c r="F521" s="95" t="s">
        <v>1071</v>
      </c>
      <c r="G521" s="94" t="s">
        <v>335</v>
      </c>
      <c r="H521" s="94" t="s">
        <v>246</v>
      </c>
      <c r="I521" s="94" t="s">
        <v>16</v>
      </c>
      <c r="J521" s="94" t="s">
        <v>218</v>
      </c>
      <c r="K521" s="95" t="s">
        <v>247</v>
      </c>
      <c r="L521" s="96">
        <v>73</v>
      </c>
      <c r="M521" s="96">
        <f>L521*VLOOKUP(I521,dagsoorttabel1,2,FALSE)</f>
        <v>3.4352941176470586</v>
      </c>
      <c r="N521" s="97">
        <f>prodnorm23</f>
        <v>0</v>
      </c>
      <c r="O521" s="41">
        <f>dagwerk23</f>
        <v>0</v>
      </c>
      <c r="P521" s="94" t="s">
        <v>107</v>
      </c>
      <c r="Q521" s="26">
        <f>uurtarief23</f>
        <v>0</v>
      </c>
      <c r="R521" s="96" t="e">
        <f>IF(ISBLANK(N521),0,M521/ROUND(N521,4))</f>
        <v>#DIV/0!</v>
      </c>
      <c r="S521" s="96" t="e">
        <f>IF(ISBLANK(N521),0,R521*ROUND(O521,2))</f>
        <v>#DIV/0!</v>
      </c>
      <c r="T521" s="26" t="e">
        <f>ROUND(Q521,2)*R521</f>
        <v>#DIV/0!</v>
      </c>
      <c r="U521" s="96" t="e">
        <f>R521*dagenperjaar1</f>
        <v>#DIV/0!</v>
      </c>
      <c r="V521" s="27" t="e">
        <f>U521*ROUND(Q521,2)</f>
        <v>#DIV/0!</v>
      </c>
    </row>
    <row r="522" spans="1:22" x14ac:dyDescent="0.35">
      <c r="A522" s="93" t="s">
        <v>803</v>
      </c>
      <c r="B522" s="94" t="s">
        <v>40</v>
      </c>
      <c r="C522" s="94" t="s">
        <v>1067</v>
      </c>
      <c r="D522" s="94" t="s">
        <v>1072</v>
      </c>
      <c r="E522" s="94" t="s">
        <v>40</v>
      </c>
      <c r="F522" s="95" t="s">
        <v>839</v>
      </c>
      <c r="G522" s="94" t="s">
        <v>40</v>
      </c>
      <c r="H522" s="94" t="s">
        <v>316</v>
      </c>
      <c r="I522" s="94"/>
      <c r="J522" s="94"/>
      <c r="K522" s="94"/>
      <c r="L522" s="96">
        <v>0</v>
      </c>
      <c r="M522" s="96"/>
      <c r="N522" s="97"/>
      <c r="O522" s="41"/>
      <c r="P522" s="94"/>
      <c r="Q522" s="26"/>
      <c r="R522" s="96"/>
      <c r="S522" s="96"/>
      <c r="T522" s="26"/>
      <c r="U522" s="98"/>
      <c r="V522" s="27"/>
    </row>
    <row r="523" spans="1:22" x14ac:dyDescent="0.35">
      <c r="A523" s="93" t="s">
        <v>803</v>
      </c>
      <c r="B523" s="94" t="s">
        <v>40</v>
      </c>
      <c r="C523" s="94" t="s">
        <v>1067</v>
      </c>
      <c r="D523" s="94" t="s">
        <v>1073</v>
      </c>
      <c r="E523" s="94" t="s">
        <v>40</v>
      </c>
      <c r="F523" s="95" t="s">
        <v>835</v>
      </c>
      <c r="G523" s="94" t="s">
        <v>679</v>
      </c>
      <c r="H523" s="94" t="s">
        <v>256</v>
      </c>
      <c r="I523" s="94" t="s">
        <v>14</v>
      </c>
      <c r="J523" s="94" t="s">
        <v>218</v>
      </c>
      <c r="K523" s="95" t="s">
        <v>257</v>
      </c>
      <c r="L523" s="96">
        <v>10</v>
      </c>
      <c r="M523" s="96">
        <f>L523*VLOOKUP(I523,dagsoorttabel1,2,FALSE)</f>
        <v>2</v>
      </c>
      <c r="N523" s="97">
        <f>prodnorm35</f>
        <v>0</v>
      </c>
      <c r="O523" s="41">
        <f>dagwerk35</f>
        <v>0</v>
      </c>
      <c r="P523" s="94" t="s">
        <v>107</v>
      </c>
      <c r="Q523" s="26">
        <f>uurtarief35</f>
        <v>0</v>
      </c>
      <c r="R523" s="96" t="e">
        <f>IF(ISBLANK(N523),0,M523/ROUND(N523,4))</f>
        <v>#DIV/0!</v>
      </c>
      <c r="S523" s="96" t="e">
        <f>IF(ISBLANK(N523),0,R523*ROUND(O523,2))</f>
        <v>#DIV/0!</v>
      </c>
      <c r="T523" s="26" t="e">
        <f>ROUND(Q523,2)*R523</f>
        <v>#DIV/0!</v>
      </c>
      <c r="U523" s="96" t="e">
        <f>R523*dagenperjaar1</f>
        <v>#DIV/0!</v>
      </c>
      <c r="V523" s="27" t="e">
        <f>U523*ROUND(Q523,2)</f>
        <v>#DIV/0!</v>
      </c>
    </row>
    <row r="524" spans="1:22" x14ac:dyDescent="0.35">
      <c r="A524" s="93" t="s">
        <v>803</v>
      </c>
      <c r="B524" s="94" t="s">
        <v>40</v>
      </c>
      <c r="C524" s="94" t="s">
        <v>1067</v>
      </c>
      <c r="D524" s="94" t="s">
        <v>1074</v>
      </c>
      <c r="E524" s="94" t="s">
        <v>40</v>
      </c>
      <c r="F524" s="95" t="s">
        <v>589</v>
      </c>
      <c r="G524" s="94" t="s">
        <v>40</v>
      </c>
      <c r="H524" s="94" t="s">
        <v>316</v>
      </c>
      <c r="I524" s="94"/>
      <c r="J524" s="94"/>
      <c r="K524" s="94"/>
      <c r="L524" s="96">
        <v>0</v>
      </c>
      <c r="M524" s="96"/>
      <c r="N524" s="97"/>
      <c r="O524" s="41"/>
      <c r="P524" s="94"/>
      <c r="Q524" s="26"/>
      <c r="R524" s="96"/>
      <c r="S524" s="96"/>
      <c r="T524" s="26"/>
      <c r="U524" s="98"/>
      <c r="V524" s="27"/>
    </row>
    <row r="525" spans="1:22" x14ac:dyDescent="0.35">
      <c r="A525" s="93" t="s">
        <v>803</v>
      </c>
      <c r="B525" s="94" t="s">
        <v>40</v>
      </c>
      <c r="C525" s="94" t="s">
        <v>1067</v>
      </c>
      <c r="D525" s="94" t="s">
        <v>1075</v>
      </c>
      <c r="E525" s="94" t="s">
        <v>40</v>
      </c>
      <c r="F525" s="95" t="s">
        <v>545</v>
      </c>
      <c r="G525" s="94" t="s">
        <v>40</v>
      </c>
      <c r="H525" s="94" t="s">
        <v>316</v>
      </c>
      <c r="I525" s="94"/>
      <c r="J525" s="94"/>
      <c r="K525" s="94"/>
      <c r="L525" s="96">
        <v>0</v>
      </c>
      <c r="M525" s="96"/>
      <c r="N525" s="97"/>
      <c r="O525" s="41"/>
      <c r="P525" s="94"/>
      <c r="Q525" s="26"/>
      <c r="R525" s="96"/>
      <c r="S525" s="96"/>
      <c r="T525" s="26"/>
      <c r="U525" s="98"/>
      <c r="V525" s="27"/>
    </row>
    <row r="526" spans="1:22" x14ac:dyDescent="0.35">
      <c r="A526" s="93" t="s">
        <v>803</v>
      </c>
      <c r="B526" s="94" t="s">
        <v>40</v>
      </c>
      <c r="C526" s="94" t="s">
        <v>1067</v>
      </c>
      <c r="D526" s="94" t="s">
        <v>1076</v>
      </c>
      <c r="E526" s="94" t="s">
        <v>40</v>
      </c>
      <c r="F526" s="95" t="s">
        <v>835</v>
      </c>
      <c r="G526" s="94" t="s">
        <v>679</v>
      </c>
      <c r="H526" s="94" t="s">
        <v>256</v>
      </c>
      <c r="I526" s="94" t="s">
        <v>14</v>
      </c>
      <c r="J526" s="94" t="s">
        <v>218</v>
      </c>
      <c r="K526" s="95" t="s">
        <v>257</v>
      </c>
      <c r="L526" s="96">
        <v>8</v>
      </c>
      <c r="M526" s="96">
        <f>L526*VLOOKUP(I526,dagsoorttabel1,2,FALSE)</f>
        <v>1.6</v>
      </c>
      <c r="N526" s="97">
        <f>prodnorm35</f>
        <v>0</v>
      </c>
      <c r="O526" s="41">
        <f>dagwerk35</f>
        <v>0</v>
      </c>
      <c r="P526" s="94" t="s">
        <v>107</v>
      </c>
      <c r="Q526" s="26">
        <f>uurtarief35</f>
        <v>0</v>
      </c>
      <c r="R526" s="96" t="e">
        <f>IF(ISBLANK(N526),0,M526/ROUND(N526,4))</f>
        <v>#DIV/0!</v>
      </c>
      <c r="S526" s="96" t="e">
        <f>IF(ISBLANK(N526),0,R526*ROUND(O526,2))</f>
        <v>#DIV/0!</v>
      </c>
      <c r="T526" s="26" t="e">
        <f>ROUND(Q526,2)*R526</f>
        <v>#DIV/0!</v>
      </c>
      <c r="U526" s="96" t="e">
        <f>R526*dagenperjaar1</f>
        <v>#DIV/0!</v>
      </c>
      <c r="V526" s="27" t="e">
        <f>U526*ROUND(Q526,2)</f>
        <v>#DIV/0!</v>
      </c>
    </row>
    <row r="527" spans="1:22" x14ac:dyDescent="0.35">
      <c r="A527" s="93" t="s">
        <v>803</v>
      </c>
      <c r="B527" s="94" t="s">
        <v>40</v>
      </c>
      <c r="C527" s="94" t="s">
        <v>1067</v>
      </c>
      <c r="D527" s="94" t="s">
        <v>1077</v>
      </c>
      <c r="E527" s="94" t="s">
        <v>40</v>
      </c>
      <c r="F527" s="95" t="s">
        <v>735</v>
      </c>
      <c r="G527" s="94" t="s">
        <v>321</v>
      </c>
      <c r="H527" s="94" t="s">
        <v>242</v>
      </c>
      <c r="I527" s="94" t="s">
        <v>10</v>
      </c>
      <c r="J527" s="94" t="s">
        <v>218</v>
      </c>
      <c r="K527" s="95" t="s">
        <v>243</v>
      </c>
      <c r="L527" s="96">
        <v>11</v>
      </c>
      <c r="M527" s="96">
        <f>L527*VLOOKUP(I527,dagsoorttabel1,2,FALSE)</f>
        <v>11</v>
      </c>
      <c r="N527" s="97">
        <f>prodnorm21</f>
        <v>0</v>
      </c>
      <c r="O527" s="41">
        <f>dagwerk21</f>
        <v>0</v>
      </c>
      <c r="P527" s="94" t="s">
        <v>107</v>
      </c>
      <c r="Q527" s="26">
        <f>uurtarief21</f>
        <v>0</v>
      </c>
      <c r="R527" s="96" t="e">
        <f>IF(ISBLANK(N527),0,M527/ROUND(N527,4))</f>
        <v>#DIV/0!</v>
      </c>
      <c r="S527" s="96" t="e">
        <f>IF(ISBLANK(N527),0,R527*ROUND(O527,2))</f>
        <v>#DIV/0!</v>
      </c>
      <c r="T527" s="26" t="e">
        <f>ROUND(Q527,2)*R527</f>
        <v>#DIV/0!</v>
      </c>
      <c r="U527" s="96" t="e">
        <f>R527*dagenperjaar1</f>
        <v>#DIV/0!</v>
      </c>
      <c r="V527" s="27" t="e">
        <f>U527*ROUND(Q527,2)</f>
        <v>#DIV/0!</v>
      </c>
    </row>
    <row r="528" spans="1:22" x14ac:dyDescent="0.35">
      <c r="A528" s="93" t="s">
        <v>803</v>
      </c>
      <c r="B528" s="94" t="s">
        <v>40</v>
      </c>
      <c r="C528" s="94" t="s">
        <v>1067</v>
      </c>
      <c r="D528" s="94" t="s">
        <v>1078</v>
      </c>
      <c r="E528" s="94" t="s">
        <v>40</v>
      </c>
      <c r="F528" s="95" t="s">
        <v>411</v>
      </c>
      <c r="G528" s="94" t="s">
        <v>335</v>
      </c>
      <c r="H528" s="94" t="s">
        <v>246</v>
      </c>
      <c r="I528" s="94" t="s">
        <v>14</v>
      </c>
      <c r="J528" s="94" t="s">
        <v>218</v>
      </c>
      <c r="K528" s="95" t="s">
        <v>247</v>
      </c>
      <c r="L528" s="96">
        <v>8</v>
      </c>
      <c r="M528" s="96">
        <f>L528*VLOOKUP(I528,dagsoorttabel1,2,FALSE)</f>
        <v>1.6</v>
      </c>
      <c r="N528" s="97">
        <f>prodnorm24</f>
        <v>0</v>
      </c>
      <c r="O528" s="41">
        <f>dagwerk24</f>
        <v>0</v>
      </c>
      <c r="P528" s="94" t="s">
        <v>107</v>
      </c>
      <c r="Q528" s="26">
        <f>uurtarief24</f>
        <v>0</v>
      </c>
      <c r="R528" s="96" t="e">
        <f>IF(ISBLANK(N528),0,M528/ROUND(N528,4))</f>
        <v>#DIV/0!</v>
      </c>
      <c r="S528" s="96" t="e">
        <f>IF(ISBLANK(N528),0,R528*ROUND(O528,2))</f>
        <v>#DIV/0!</v>
      </c>
      <c r="T528" s="26" t="e">
        <f>ROUND(Q528,2)*R528</f>
        <v>#DIV/0!</v>
      </c>
      <c r="U528" s="96" t="e">
        <f>R528*dagenperjaar1</f>
        <v>#DIV/0!</v>
      </c>
      <c r="V528" s="27" t="e">
        <f>U528*ROUND(Q528,2)</f>
        <v>#DIV/0!</v>
      </c>
    </row>
    <row r="529" spans="1:22" x14ac:dyDescent="0.35">
      <c r="A529" s="93" t="s">
        <v>803</v>
      </c>
      <c r="B529" s="94" t="s">
        <v>40</v>
      </c>
      <c r="C529" s="94" t="s">
        <v>1067</v>
      </c>
      <c r="D529" s="94" t="s">
        <v>1079</v>
      </c>
      <c r="E529" s="94" t="s">
        <v>40</v>
      </c>
      <c r="F529" s="95" t="s">
        <v>589</v>
      </c>
      <c r="G529" s="94" t="s">
        <v>40</v>
      </c>
      <c r="H529" s="94" t="s">
        <v>316</v>
      </c>
      <c r="I529" s="94"/>
      <c r="J529" s="94"/>
      <c r="K529" s="94"/>
      <c r="L529" s="96">
        <v>0</v>
      </c>
      <c r="M529" s="96"/>
      <c r="N529" s="97"/>
      <c r="O529" s="41"/>
      <c r="P529" s="94"/>
      <c r="Q529" s="26"/>
      <c r="R529" s="96"/>
      <c r="S529" s="96"/>
      <c r="T529" s="26"/>
      <c r="U529" s="98"/>
      <c r="V529" s="27"/>
    </row>
    <row r="530" spans="1:22" x14ac:dyDescent="0.35">
      <c r="A530" s="93" t="s">
        <v>803</v>
      </c>
      <c r="B530" s="94" t="s">
        <v>40</v>
      </c>
      <c r="C530" s="94" t="s">
        <v>1067</v>
      </c>
      <c r="D530" s="94" t="s">
        <v>1080</v>
      </c>
      <c r="E530" s="94" t="s">
        <v>40</v>
      </c>
      <c r="F530" s="95" t="s">
        <v>479</v>
      </c>
      <c r="G530" s="94" t="s">
        <v>40</v>
      </c>
      <c r="H530" s="94" t="s">
        <v>316</v>
      </c>
      <c r="I530" s="94"/>
      <c r="J530" s="94"/>
      <c r="K530" s="94"/>
      <c r="L530" s="96">
        <v>0</v>
      </c>
      <c r="M530" s="96"/>
      <c r="N530" s="97"/>
      <c r="O530" s="41"/>
      <c r="P530" s="94"/>
      <c r="Q530" s="26"/>
      <c r="R530" s="96"/>
      <c r="S530" s="96"/>
      <c r="T530" s="26"/>
      <c r="U530" s="98"/>
      <c r="V530" s="27"/>
    </row>
    <row r="531" spans="1:22" x14ac:dyDescent="0.35">
      <c r="A531" s="99" t="s">
        <v>803</v>
      </c>
      <c r="B531" s="100" t="s">
        <v>40</v>
      </c>
      <c r="C531" s="100" t="s">
        <v>1067</v>
      </c>
      <c r="D531" s="100" t="s">
        <v>1081</v>
      </c>
      <c r="E531" s="100" t="s">
        <v>40</v>
      </c>
      <c r="F531" s="101" t="s">
        <v>1082</v>
      </c>
      <c r="G531" s="100" t="s">
        <v>335</v>
      </c>
      <c r="H531" s="100" t="s">
        <v>232</v>
      </c>
      <c r="I531" s="100" t="s">
        <v>16</v>
      </c>
      <c r="J531" s="100" t="s">
        <v>218</v>
      </c>
      <c r="K531" s="101" t="s">
        <v>233</v>
      </c>
      <c r="L531" s="102">
        <v>34</v>
      </c>
      <c r="M531" s="102">
        <f>L531*VLOOKUP(I531,dagsoorttabel1,2,FALSE)</f>
        <v>1.6</v>
      </c>
      <c r="N531" s="103">
        <f>prodnorm13</f>
        <v>0</v>
      </c>
      <c r="O531" s="104">
        <f>dagwerk13</f>
        <v>0</v>
      </c>
      <c r="P531" s="100" t="s">
        <v>107</v>
      </c>
      <c r="Q531" s="36">
        <f>uurtarief13</f>
        <v>0</v>
      </c>
      <c r="R531" s="102" t="e">
        <f>IF(ISBLANK(N531),0,M531/ROUND(N531,4))</f>
        <v>#DIV/0!</v>
      </c>
      <c r="S531" s="102" t="e">
        <f>IF(ISBLANK(N531),0,R531*ROUND(O531,2))</f>
        <v>#DIV/0!</v>
      </c>
      <c r="T531" s="36" t="e">
        <f>ROUND(Q531,2)*R531</f>
        <v>#DIV/0!</v>
      </c>
      <c r="U531" s="102" t="e">
        <f>R531*dagenperjaar1</f>
        <v>#DIV/0!</v>
      </c>
      <c r="V531" s="37" t="e">
        <f>U531*ROUND(Q531,2)</f>
        <v>#DIV/0!</v>
      </c>
    </row>
    <row r="532" spans="1:22" x14ac:dyDescent="0.35">
      <c r="A532" s="75" t="s">
        <v>466</v>
      </c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8" t="e">
        <f>IF(_xlfn.SINGLE(object3_urenjaar1)&gt;0,_xlfn.SINGLE(object3_prijsjaar1)/_xlfn.SINGLE(object3_urenjaar1),0)</f>
        <v>#DIV/0!</v>
      </c>
      <c r="R532" s="77" t="e">
        <f>SUM(R308:R531)</f>
        <v>#DIV/0!</v>
      </c>
      <c r="S532" s="77" t="e">
        <f>SUM(S308:S531)</f>
        <v>#DIV/0!</v>
      </c>
      <c r="T532" s="78" t="e">
        <f>SUM(T308:T531)</f>
        <v>#DIV/0!</v>
      </c>
      <c r="U532" s="77" t="e">
        <f>SUM(U308:U531)</f>
        <v>#DIV/0!</v>
      </c>
      <c r="V532" s="78" t="e">
        <f>SUM(V308:V531)</f>
        <v>#DIV/0!</v>
      </c>
    </row>
  </sheetData>
  <sheetProtection algorithmName="SHA-512" hashValue="vs9TKKiuI2uvSVg0VSSIA0YHjA2gGMlQU6OMJq9y+N/YA6B2iK7GF43IkB9gVwCDd98Gi6Qh58Y+jo7dLCFJoA==" saltValue="HyN6nJMOg3HSd9I9kv4HDg==" spinCount="100000" sheet="1" objects="1" scenarios="1" autoFilter="0"/>
  <autoFilter ref="A3:V532" xr:uid="{0243481E-F676-47DE-B6F1-F82E46050DC1}"/>
  <pageMargins left="0.7" right="0.7" top="0.75" bottom="0.75" header="0.3" footer="0.3"/>
  <pageSetup paperSize="9" scale="61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3EBC-D8B2-4F04-B273-19ACCE331900}">
  <dimension ref="A1:V123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5" x14ac:dyDescent="0.35"/>
  <cols>
    <col min="1" max="1" width="8.6328125" customWidth="1"/>
    <col min="2" max="3" width="7.6328125" customWidth="1"/>
    <col min="4" max="5" width="10.6328125" customWidth="1"/>
    <col min="6" max="6" width="25.6328125" customWidth="1"/>
    <col min="7" max="7" width="11.6328125" customWidth="1"/>
    <col min="8" max="8" width="7.6328125" customWidth="1"/>
    <col min="9" max="9" width="6.6328125" customWidth="1"/>
    <col min="10" max="10" width="8.6328125" customWidth="1"/>
    <col min="11" max="11" width="40.6328125" customWidth="1"/>
    <col min="12" max="13" width="10.6328125" customWidth="1"/>
    <col min="14" max="15" width="11.6328125" customWidth="1"/>
    <col min="16" max="16" width="9.6328125" customWidth="1"/>
    <col min="17" max="20" width="11.6328125" customWidth="1"/>
    <col min="21" max="21" width="12.6328125" customWidth="1"/>
    <col min="22" max="22" width="14.6328125" customWidth="1"/>
  </cols>
  <sheetData>
    <row r="1" spans="1:22" x14ac:dyDescent="0.35">
      <c r="A1" s="1" t="str">
        <f>CONCATENATE("Bijlage 3.4: ",tabeltype," ruimten weekenddag")</f>
        <v>Bijlage 3.4: Invultabel ruimten weekenddag</v>
      </c>
    </row>
    <row r="3" spans="1:22" ht="43.5" x14ac:dyDescent="0.35">
      <c r="A3" s="82" t="s">
        <v>298</v>
      </c>
      <c r="B3" s="44" t="s">
        <v>299</v>
      </c>
      <c r="C3" s="44" t="s">
        <v>300</v>
      </c>
      <c r="D3" s="44" t="s">
        <v>301</v>
      </c>
      <c r="E3" s="44" t="s">
        <v>302</v>
      </c>
      <c r="F3" s="44" t="s">
        <v>303</v>
      </c>
      <c r="G3" s="44" t="s">
        <v>304</v>
      </c>
      <c r="H3" s="44" t="s">
        <v>209</v>
      </c>
      <c r="I3" s="44" t="s">
        <v>7</v>
      </c>
      <c r="J3" s="44" t="s">
        <v>305</v>
      </c>
      <c r="K3" s="44" t="s">
        <v>306</v>
      </c>
      <c r="L3" s="44" t="s">
        <v>211</v>
      </c>
      <c r="M3" s="44" t="s">
        <v>212</v>
      </c>
      <c r="N3" s="44" t="s">
        <v>99</v>
      </c>
      <c r="O3" s="44" t="s">
        <v>100</v>
      </c>
      <c r="P3" s="44" t="s">
        <v>101</v>
      </c>
      <c r="Q3" s="44" t="s">
        <v>102</v>
      </c>
      <c r="R3" s="44" t="s">
        <v>213</v>
      </c>
      <c r="S3" s="44" t="s">
        <v>307</v>
      </c>
      <c r="T3" s="44" t="s">
        <v>214</v>
      </c>
      <c r="U3" s="44" t="s">
        <v>215</v>
      </c>
      <c r="V3" s="83" t="s">
        <v>216</v>
      </c>
    </row>
    <row r="4" spans="1:22" x14ac:dyDescent="0.35">
      <c r="A4" s="84" t="s">
        <v>467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74"/>
    </row>
    <row r="5" spans="1:22" ht="29" x14ac:dyDescent="0.35">
      <c r="A5" s="85" t="s">
        <v>468</v>
      </c>
      <c r="B5" s="86" t="s">
        <v>40</v>
      </c>
      <c r="C5" s="86" t="s">
        <v>40</v>
      </c>
      <c r="D5" s="86" t="s">
        <v>40</v>
      </c>
      <c r="E5" s="86" t="s">
        <v>40</v>
      </c>
      <c r="F5" s="87" t="s">
        <v>469</v>
      </c>
      <c r="G5" s="86" t="s">
        <v>40</v>
      </c>
      <c r="H5" s="86" t="s">
        <v>278</v>
      </c>
      <c r="I5" s="86" t="s">
        <v>13</v>
      </c>
      <c r="J5" s="86" t="s">
        <v>259</v>
      </c>
      <c r="K5" s="87" t="s">
        <v>279</v>
      </c>
      <c r="L5" s="88">
        <v>1.25</v>
      </c>
      <c r="M5" s="88">
        <f>L5*VLOOKUP(I5,dagsoorttabel2,2,FALSE)</f>
        <v>1.25</v>
      </c>
      <c r="N5" s="89"/>
      <c r="O5" s="90">
        <f>dagwerk39</f>
        <v>0</v>
      </c>
      <c r="P5" s="86" t="s">
        <v>261</v>
      </c>
      <c r="Q5" s="91">
        <f>uurtarief39</f>
        <v>0</v>
      </c>
      <c r="R5" s="88">
        <f>M5</f>
        <v>1.25</v>
      </c>
      <c r="S5" s="88">
        <f>R5*ROUND(O5,2)</f>
        <v>0</v>
      </c>
      <c r="T5" s="91">
        <f>ROUND(Q5,2)*R5</f>
        <v>0</v>
      </c>
      <c r="U5" s="88">
        <f>R5*dagenperjaar2</f>
        <v>126.25</v>
      </c>
      <c r="V5" s="92">
        <f>U5*ROUND(Q5,2)</f>
        <v>0</v>
      </c>
    </row>
    <row r="6" spans="1:22" x14ac:dyDescent="0.35">
      <c r="A6" s="93" t="s">
        <v>468</v>
      </c>
      <c r="B6" s="94" t="s">
        <v>40</v>
      </c>
      <c r="C6" s="94" t="s">
        <v>470</v>
      </c>
      <c r="D6" s="94" t="s">
        <v>533</v>
      </c>
      <c r="E6" s="94" t="s">
        <v>40</v>
      </c>
      <c r="F6" s="95" t="s">
        <v>534</v>
      </c>
      <c r="G6" s="94" t="s">
        <v>535</v>
      </c>
      <c r="H6" s="94" t="s">
        <v>273</v>
      </c>
      <c r="I6" s="94" t="s">
        <v>13</v>
      </c>
      <c r="J6" s="94" t="s">
        <v>218</v>
      </c>
      <c r="K6" s="95" t="s">
        <v>247</v>
      </c>
      <c r="L6" s="96">
        <v>46</v>
      </c>
      <c r="M6" s="96">
        <f>L6*VLOOKUP(I6,dagsoorttabel2,2,FALSE)</f>
        <v>46</v>
      </c>
      <c r="N6" s="97">
        <f>prodnorm46</f>
        <v>0</v>
      </c>
      <c r="O6" s="41">
        <f>dagwerk46</f>
        <v>0</v>
      </c>
      <c r="P6" s="94" t="s">
        <v>107</v>
      </c>
      <c r="Q6" s="26">
        <f>uurtarief46</f>
        <v>0</v>
      </c>
      <c r="R6" s="96" t="e">
        <f>IF(ISBLANK(N6),0,M6/ROUND(N6,4))</f>
        <v>#DIV/0!</v>
      </c>
      <c r="S6" s="96" t="e">
        <f>IF(ISBLANK(N6),0,R6*ROUND(O6,2))</f>
        <v>#DIV/0!</v>
      </c>
      <c r="T6" s="26" t="e">
        <f>ROUND(Q6,2)*R6</f>
        <v>#DIV/0!</v>
      </c>
      <c r="U6" s="96" t="e">
        <f>R6*dagenperjaar2</f>
        <v>#DIV/0!</v>
      </c>
      <c r="V6" s="27" t="e">
        <f>U6*ROUND(Q6,2)</f>
        <v>#DIV/0!</v>
      </c>
    </row>
    <row r="7" spans="1:22" x14ac:dyDescent="0.35">
      <c r="A7" s="93" t="s">
        <v>468</v>
      </c>
      <c r="B7" s="94" t="s">
        <v>40</v>
      </c>
      <c r="C7" s="94" t="s">
        <v>470</v>
      </c>
      <c r="D7" s="94" t="s">
        <v>537</v>
      </c>
      <c r="E7" s="94" t="s">
        <v>40</v>
      </c>
      <c r="F7" s="95" t="s">
        <v>534</v>
      </c>
      <c r="G7" s="94" t="s">
        <v>535</v>
      </c>
      <c r="H7" s="94" t="s">
        <v>273</v>
      </c>
      <c r="I7" s="94" t="s">
        <v>13</v>
      </c>
      <c r="J7" s="94" t="s">
        <v>218</v>
      </c>
      <c r="K7" s="95" t="s">
        <v>247</v>
      </c>
      <c r="L7" s="96">
        <v>96</v>
      </c>
      <c r="M7" s="96">
        <f>L7*VLOOKUP(I7,dagsoorttabel2,2,FALSE)</f>
        <v>96</v>
      </c>
      <c r="N7" s="97">
        <f>prodnorm46</f>
        <v>0</v>
      </c>
      <c r="O7" s="41">
        <f>dagwerk46</f>
        <v>0</v>
      </c>
      <c r="P7" s="94" t="s">
        <v>107</v>
      </c>
      <c r="Q7" s="26">
        <f>uurtarief46</f>
        <v>0</v>
      </c>
      <c r="R7" s="96" t="e">
        <f>IF(ISBLANK(N7),0,M7/ROUND(N7,4))</f>
        <v>#DIV/0!</v>
      </c>
      <c r="S7" s="96" t="e">
        <f>IF(ISBLANK(N7),0,R7*ROUND(O7,2))</f>
        <v>#DIV/0!</v>
      </c>
      <c r="T7" s="26" t="e">
        <f>ROUND(Q7,2)*R7</f>
        <v>#DIV/0!</v>
      </c>
      <c r="U7" s="96" t="e">
        <f>R7*dagenperjaar2</f>
        <v>#DIV/0!</v>
      </c>
      <c r="V7" s="27" t="e">
        <f>U7*ROUND(Q7,2)</f>
        <v>#DIV/0!</v>
      </c>
    </row>
    <row r="8" spans="1:22" x14ac:dyDescent="0.35">
      <c r="A8" s="93" t="s">
        <v>468</v>
      </c>
      <c r="B8" s="94" t="s">
        <v>40</v>
      </c>
      <c r="C8" s="94" t="s">
        <v>470</v>
      </c>
      <c r="D8" s="94" t="s">
        <v>538</v>
      </c>
      <c r="E8" s="94" t="s">
        <v>40</v>
      </c>
      <c r="F8" s="95" t="s">
        <v>534</v>
      </c>
      <c r="G8" s="94" t="s">
        <v>535</v>
      </c>
      <c r="H8" s="94" t="s">
        <v>273</v>
      </c>
      <c r="I8" s="94" t="s">
        <v>13</v>
      </c>
      <c r="J8" s="94" t="s">
        <v>218</v>
      </c>
      <c r="K8" s="95" t="s">
        <v>247</v>
      </c>
      <c r="L8" s="96">
        <v>56</v>
      </c>
      <c r="M8" s="96">
        <f>L8*VLOOKUP(I8,dagsoorttabel2,2,FALSE)</f>
        <v>56</v>
      </c>
      <c r="N8" s="97">
        <f>prodnorm46</f>
        <v>0</v>
      </c>
      <c r="O8" s="41">
        <f>dagwerk46</f>
        <v>0</v>
      </c>
      <c r="P8" s="94" t="s">
        <v>107</v>
      </c>
      <c r="Q8" s="26">
        <f>uurtarief46</f>
        <v>0</v>
      </c>
      <c r="R8" s="96" t="e">
        <f>IF(ISBLANK(N8),0,M8/ROUND(N8,4))</f>
        <v>#DIV/0!</v>
      </c>
      <c r="S8" s="96" t="e">
        <f>IF(ISBLANK(N8),0,R8*ROUND(O8,2))</f>
        <v>#DIV/0!</v>
      </c>
      <c r="T8" s="26" t="e">
        <f>ROUND(Q8,2)*R8</f>
        <v>#DIV/0!</v>
      </c>
      <c r="U8" s="96" t="e">
        <f>R8*dagenperjaar2</f>
        <v>#DIV/0!</v>
      </c>
      <c r="V8" s="27" t="e">
        <f>U8*ROUND(Q8,2)</f>
        <v>#DIV/0!</v>
      </c>
    </row>
    <row r="9" spans="1:22" x14ac:dyDescent="0.35">
      <c r="A9" s="93" t="s">
        <v>468</v>
      </c>
      <c r="B9" s="94" t="s">
        <v>40</v>
      </c>
      <c r="C9" s="94" t="s">
        <v>543</v>
      </c>
      <c r="D9" s="94" t="s">
        <v>567</v>
      </c>
      <c r="E9" s="94" t="s">
        <v>40</v>
      </c>
      <c r="F9" s="95" t="s">
        <v>568</v>
      </c>
      <c r="G9" s="94" t="s">
        <v>321</v>
      </c>
      <c r="H9" s="94" t="s">
        <v>270</v>
      </c>
      <c r="I9" s="94" t="s">
        <v>13</v>
      </c>
      <c r="J9" s="94" t="s">
        <v>218</v>
      </c>
      <c r="K9" s="95" t="s">
        <v>243</v>
      </c>
      <c r="L9" s="96">
        <v>13</v>
      </c>
      <c r="M9" s="96">
        <f>L9*VLOOKUP(I9,dagsoorttabel2,2,FALSE)</f>
        <v>13</v>
      </c>
      <c r="N9" s="97">
        <f>prodnorm44</f>
        <v>0</v>
      </c>
      <c r="O9" s="41">
        <f>dagwerk44</f>
        <v>0</v>
      </c>
      <c r="P9" s="94" t="s">
        <v>107</v>
      </c>
      <c r="Q9" s="26">
        <f>uurtarief44</f>
        <v>0</v>
      </c>
      <c r="R9" s="96" t="e">
        <f>IF(ISBLANK(N9),0,M9/ROUND(N9,4))</f>
        <v>#DIV/0!</v>
      </c>
      <c r="S9" s="96" t="e">
        <f>IF(ISBLANK(N9),0,R9*ROUND(O9,2))</f>
        <v>#DIV/0!</v>
      </c>
      <c r="T9" s="26" t="e">
        <f>ROUND(Q9,2)*R9</f>
        <v>#DIV/0!</v>
      </c>
      <c r="U9" s="96" t="e">
        <f>R9*dagenperjaar2</f>
        <v>#DIV/0!</v>
      </c>
      <c r="V9" s="27" t="e">
        <f>U9*ROUND(Q9,2)</f>
        <v>#DIV/0!</v>
      </c>
    </row>
    <row r="10" spans="1:22" x14ac:dyDescent="0.35">
      <c r="A10" s="93" t="s">
        <v>468</v>
      </c>
      <c r="B10" s="94" t="s">
        <v>40</v>
      </c>
      <c r="C10" s="94" t="s">
        <v>543</v>
      </c>
      <c r="D10" s="94" t="s">
        <v>567</v>
      </c>
      <c r="E10" s="94" t="s">
        <v>40</v>
      </c>
      <c r="F10" s="95" t="s">
        <v>568</v>
      </c>
      <c r="G10" s="94" t="s">
        <v>321</v>
      </c>
      <c r="H10" s="94" t="s">
        <v>271</v>
      </c>
      <c r="I10" s="94" t="s">
        <v>23</v>
      </c>
      <c r="J10" s="94" t="s">
        <v>218</v>
      </c>
      <c r="K10" s="95" t="s">
        <v>272</v>
      </c>
      <c r="L10" s="96">
        <v>13</v>
      </c>
      <c r="M10" s="96">
        <f>L10*VLOOKUP(I10,dagsoorttabel2,2,FALSE)</f>
        <v>39</v>
      </c>
      <c r="N10" s="97">
        <f>prodnorm45</f>
        <v>0</v>
      </c>
      <c r="O10" s="41">
        <f>dagwerk45</f>
        <v>0</v>
      </c>
      <c r="P10" s="94" t="s">
        <v>107</v>
      </c>
      <c r="Q10" s="26">
        <f>uurtarief45</f>
        <v>0</v>
      </c>
      <c r="R10" s="96" t="e">
        <f>IF(ISBLANK(N10),0,M10/ROUND(N10,4))</f>
        <v>#DIV/0!</v>
      </c>
      <c r="S10" s="96" t="e">
        <f>IF(ISBLANK(N10),0,R10*ROUND(O10,2))</f>
        <v>#DIV/0!</v>
      </c>
      <c r="T10" s="26" t="e">
        <f>ROUND(Q10,2)*R10</f>
        <v>#DIV/0!</v>
      </c>
      <c r="U10" s="96" t="e">
        <f>R10*dagenperjaar2</f>
        <v>#DIV/0!</v>
      </c>
      <c r="V10" s="27" t="e">
        <f>U10*ROUND(Q10,2)</f>
        <v>#DIV/0!</v>
      </c>
    </row>
    <row r="11" spans="1:22" x14ac:dyDescent="0.35">
      <c r="A11" s="93" t="s">
        <v>468</v>
      </c>
      <c r="B11" s="94" t="s">
        <v>40</v>
      </c>
      <c r="C11" s="94" t="s">
        <v>543</v>
      </c>
      <c r="D11" s="94" t="s">
        <v>569</v>
      </c>
      <c r="E11" s="94" t="s">
        <v>40</v>
      </c>
      <c r="F11" s="95" t="s">
        <v>568</v>
      </c>
      <c r="G11" s="94" t="s">
        <v>321</v>
      </c>
      <c r="H11" s="94" t="s">
        <v>270</v>
      </c>
      <c r="I11" s="94" t="s">
        <v>13</v>
      </c>
      <c r="J11" s="94" t="s">
        <v>218</v>
      </c>
      <c r="K11" s="95" t="s">
        <v>243</v>
      </c>
      <c r="L11" s="96">
        <v>13</v>
      </c>
      <c r="M11" s="96">
        <f>L11*VLOOKUP(I11,dagsoorttabel2,2,FALSE)</f>
        <v>13</v>
      </c>
      <c r="N11" s="97">
        <f>prodnorm44</f>
        <v>0</v>
      </c>
      <c r="O11" s="41">
        <f>dagwerk44</f>
        <v>0</v>
      </c>
      <c r="P11" s="94" t="s">
        <v>107</v>
      </c>
      <c r="Q11" s="26">
        <f>uurtarief44</f>
        <v>0</v>
      </c>
      <c r="R11" s="96" t="e">
        <f>IF(ISBLANK(N11),0,M11/ROUND(N11,4))</f>
        <v>#DIV/0!</v>
      </c>
      <c r="S11" s="96" t="e">
        <f>IF(ISBLANK(N11),0,R11*ROUND(O11,2))</f>
        <v>#DIV/0!</v>
      </c>
      <c r="T11" s="26" t="e">
        <f>ROUND(Q11,2)*R11</f>
        <v>#DIV/0!</v>
      </c>
      <c r="U11" s="96" t="e">
        <f>R11*dagenperjaar2</f>
        <v>#DIV/0!</v>
      </c>
      <c r="V11" s="27" t="e">
        <f>U11*ROUND(Q11,2)</f>
        <v>#DIV/0!</v>
      </c>
    </row>
    <row r="12" spans="1:22" x14ac:dyDescent="0.35">
      <c r="A12" s="93" t="s">
        <v>468</v>
      </c>
      <c r="B12" s="94" t="s">
        <v>40</v>
      </c>
      <c r="C12" s="94" t="s">
        <v>543</v>
      </c>
      <c r="D12" s="94" t="s">
        <v>569</v>
      </c>
      <c r="E12" s="94" t="s">
        <v>40</v>
      </c>
      <c r="F12" s="95" t="s">
        <v>568</v>
      </c>
      <c r="G12" s="94" t="s">
        <v>321</v>
      </c>
      <c r="H12" s="94" t="s">
        <v>271</v>
      </c>
      <c r="I12" s="94" t="s">
        <v>23</v>
      </c>
      <c r="J12" s="94" t="s">
        <v>218</v>
      </c>
      <c r="K12" s="95" t="s">
        <v>272</v>
      </c>
      <c r="L12" s="96">
        <v>13</v>
      </c>
      <c r="M12" s="96">
        <f>L12*VLOOKUP(I12,dagsoorttabel2,2,FALSE)</f>
        <v>39</v>
      </c>
      <c r="N12" s="97">
        <f>prodnorm45</f>
        <v>0</v>
      </c>
      <c r="O12" s="41">
        <f>dagwerk45</f>
        <v>0</v>
      </c>
      <c r="P12" s="94" t="s">
        <v>107</v>
      </c>
      <c r="Q12" s="26">
        <f>uurtarief45</f>
        <v>0</v>
      </c>
      <c r="R12" s="96" t="e">
        <f>IF(ISBLANK(N12),0,M12/ROUND(N12,4))</f>
        <v>#DIV/0!</v>
      </c>
      <c r="S12" s="96" t="e">
        <f>IF(ISBLANK(N12),0,R12*ROUND(O12,2))</f>
        <v>#DIV/0!</v>
      </c>
      <c r="T12" s="26" t="e">
        <f>ROUND(Q12,2)*R12</f>
        <v>#DIV/0!</v>
      </c>
      <c r="U12" s="96" t="e">
        <f>R12*dagenperjaar2</f>
        <v>#DIV/0!</v>
      </c>
      <c r="V12" s="27" t="e">
        <f>U12*ROUND(Q12,2)</f>
        <v>#DIV/0!</v>
      </c>
    </row>
    <row r="13" spans="1:22" x14ac:dyDescent="0.35">
      <c r="A13" s="93" t="s">
        <v>468</v>
      </c>
      <c r="B13" s="94" t="s">
        <v>40</v>
      </c>
      <c r="C13" s="94" t="s">
        <v>543</v>
      </c>
      <c r="D13" s="94" t="s">
        <v>570</v>
      </c>
      <c r="E13" s="94" t="s">
        <v>40</v>
      </c>
      <c r="F13" s="95" t="s">
        <v>571</v>
      </c>
      <c r="G13" s="94" t="s">
        <v>321</v>
      </c>
      <c r="H13" s="94" t="s">
        <v>270</v>
      </c>
      <c r="I13" s="94" t="s">
        <v>13</v>
      </c>
      <c r="J13" s="94" t="s">
        <v>218</v>
      </c>
      <c r="K13" s="95" t="s">
        <v>243</v>
      </c>
      <c r="L13" s="96">
        <v>5</v>
      </c>
      <c r="M13" s="96">
        <f>L13*VLOOKUP(I13,dagsoorttabel2,2,FALSE)</f>
        <v>5</v>
      </c>
      <c r="N13" s="97">
        <f>prodnorm44</f>
        <v>0</v>
      </c>
      <c r="O13" s="41">
        <f>dagwerk44</f>
        <v>0</v>
      </c>
      <c r="P13" s="94" t="s">
        <v>107</v>
      </c>
      <c r="Q13" s="26">
        <f>uurtarief44</f>
        <v>0</v>
      </c>
      <c r="R13" s="96" t="e">
        <f>IF(ISBLANK(N13),0,M13/ROUND(N13,4))</f>
        <v>#DIV/0!</v>
      </c>
      <c r="S13" s="96" t="e">
        <f>IF(ISBLANK(N13),0,R13*ROUND(O13,2))</f>
        <v>#DIV/0!</v>
      </c>
      <c r="T13" s="26" t="e">
        <f>ROUND(Q13,2)*R13</f>
        <v>#DIV/0!</v>
      </c>
      <c r="U13" s="96" t="e">
        <f>R13*dagenperjaar2</f>
        <v>#DIV/0!</v>
      </c>
      <c r="V13" s="27" t="e">
        <f>U13*ROUND(Q13,2)</f>
        <v>#DIV/0!</v>
      </c>
    </row>
    <row r="14" spans="1:22" x14ac:dyDescent="0.35">
      <c r="A14" s="93" t="s">
        <v>468</v>
      </c>
      <c r="B14" s="94" t="s">
        <v>40</v>
      </c>
      <c r="C14" s="94" t="s">
        <v>543</v>
      </c>
      <c r="D14" s="94" t="s">
        <v>570</v>
      </c>
      <c r="E14" s="94" t="s">
        <v>40</v>
      </c>
      <c r="F14" s="95" t="s">
        <v>571</v>
      </c>
      <c r="G14" s="94" t="s">
        <v>321</v>
      </c>
      <c r="H14" s="94" t="s">
        <v>271</v>
      </c>
      <c r="I14" s="94" t="s">
        <v>23</v>
      </c>
      <c r="J14" s="94" t="s">
        <v>218</v>
      </c>
      <c r="K14" s="95" t="s">
        <v>272</v>
      </c>
      <c r="L14" s="96">
        <v>5</v>
      </c>
      <c r="M14" s="96">
        <f>L14*VLOOKUP(I14,dagsoorttabel2,2,FALSE)</f>
        <v>15</v>
      </c>
      <c r="N14" s="97">
        <f>prodnorm45</f>
        <v>0</v>
      </c>
      <c r="O14" s="41">
        <f>dagwerk45</f>
        <v>0</v>
      </c>
      <c r="P14" s="94" t="s">
        <v>107</v>
      </c>
      <c r="Q14" s="26">
        <f>uurtarief45</f>
        <v>0</v>
      </c>
      <c r="R14" s="96" t="e">
        <f>IF(ISBLANK(N14),0,M14/ROUND(N14,4))</f>
        <v>#DIV/0!</v>
      </c>
      <c r="S14" s="96" t="e">
        <f>IF(ISBLANK(N14),0,R14*ROUND(O14,2))</f>
        <v>#DIV/0!</v>
      </c>
      <c r="T14" s="26" t="e">
        <f>ROUND(Q14,2)*R14</f>
        <v>#DIV/0!</v>
      </c>
      <c r="U14" s="96" t="e">
        <f>R14*dagenperjaar2</f>
        <v>#DIV/0!</v>
      </c>
      <c r="V14" s="27" t="e">
        <f>U14*ROUND(Q14,2)</f>
        <v>#DIV/0!</v>
      </c>
    </row>
    <row r="15" spans="1:22" x14ac:dyDescent="0.35">
      <c r="A15" s="93" t="s">
        <v>468</v>
      </c>
      <c r="B15" s="94" t="s">
        <v>40</v>
      </c>
      <c r="C15" s="94" t="s">
        <v>543</v>
      </c>
      <c r="D15" s="94" t="s">
        <v>572</v>
      </c>
      <c r="E15" s="94" t="s">
        <v>40</v>
      </c>
      <c r="F15" s="95" t="s">
        <v>573</v>
      </c>
      <c r="G15" s="94" t="s">
        <v>335</v>
      </c>
      <c r="H15" s="94" t="s">
        <v>276</v>
      </c>
      <c r="I15" s="94" t="s">
        <v>13</v>
      </c>
      <c r="J15" s="94" t="s">
        <v>218</v>
      </c>
      <c r="K15" s="95" t="s">
        <v>255</v>
      </c>
      <c r="L15" s="96">
        <v>4</v>
      </c>
      <c r="M15" s="96">
        <f>L15*VLOOKUP(I15,dagsoorttabel2,2,FALSE)</f>
        <v>4</v>
      </c>
      <c r="N15" s="97">
        <f>prodnorm49</f>
        <v>0</v>
      </c>
      <c r="O15" s="41">
        <f>dagwerk49</f>
        <v>0</v>
      </c>
      <c r="P15" s="94" t="s">
        <v>107</v>
      </c>
      <c r="Q15" s="26">
        <f>uurtarief49</f>
        <v>0</v>
      </c>
      <c r="R15" s="96" t="e">
        <f>IF(ISBLANK(N15),0,M15/ROUND(N15,4))</f>
        <v>#DIV/0!</v>
      </c>
      <c r="S15" s="96" t="e">
        <f>IF(ISBLANK(N15),0,R15*ROUND(O15,2))</f>
        <v>#DIV/0!</v>
      </c>
      <c r="T15" s="26" t="e">
        <f>ROUND(Q15,2)*R15</f>
        <v>#DIV/0!</v>
      </c>
      <c r="U15" s="96" t="e">
        <f>R15*dagenperjaar2</f>
        <v>#DIV/0!</v>
      </c>
      <c r="V15" s="27" t="e">
        <f>U15*ROUND(Q15,2)</f>
        <v>#DIV/0!</v>
      </c>
    </row>
    <row r="16" spans="1:22" x14ac:dyDescent="0.35">
      <c r="A16" s="93" t="s">
        <v>468</v>
      </c>
      <c r="B16" s="94" t="s">
        <v>40</v>
      </c>
      <c r="C16" s="94" t="s">
        <v>543</v>
      </c>
      <c r="D16" s="94" t="s">
        <v>576</v>
      </c>
      <c r="E16" s="94" t="s">
        <v>40</v>
      </c>
      <c r="F16" s="95" t="s">
        <v>577</v>
      </c>
      <c r="G16" s="94" t="s">
        <v>535</v>
      </c>
      <c r="H16" s="94" t="s">
        <v>273</v>
      </c>
      <c r="I16" s="94" t="s">
        <v>13</v>
      </c>
      <c r="J16" s="94" t="s">
        <v>218</v>
      </c>
      <c r="K16" s="95" t="s">
        <v>247</v>
      </c>
      <c r="L16" s="96">
        <v>215</v>
      </c>
      <c r="M16" s="96">
        <f>L16*VLOOKUP(I16,dagsoorttabel2,2,FALSE)</f>
        <v>215</v>
      </c>
      <c r="N16" s="97">
        <f>prodnorm46</f>
        <v>0</v>
      </c>
      <c r="O16" s="41">
        <f>dagwerk46</f>
        <v>0</v>
      </c>
      <c r="P16" s="94" t="s">
        <v>107</v>
      </c>
      <c r="Q16" s="26">
        <f>uurtarief46</f>
        <v>0</v>
      </c>
      <c r="R16" s="96" t="e">
        <f>IF(ISBLANK(N16),0,M16/ROUND(N16,4))</f>
        <v>#DIV/0!</v>
      </c>
      <c r="S16" s="96" t="e">
        <f>IF(ISBLANK(N16),0,R16*ROUND(O16,2))</f>
        <v>#DIV/0!</v>
      </c>
      <c r="T16" s="26" t="e">
        <f>ROUND(Q16,2)*R16</f>
        <v>#DIV/0!</v>
      </c>
      <c r="U16" s="96" t="e">
        <f>R16*dagenperjaar2</f>
        <v>#DIV/0!</v>
      </c>
      <c r="V16" s="27" t="e">
        <f>U16*ROUND(Q16,2)</f>
        <v>#DIV/0!</v>
      </c>
    </row>
    <row r="17" spans="1:22" x14ac:dyDescent="0.35">
      <c r="A17" s="93" t="s">
        <v>468</v>
      </c>
      <c r="B17" s="94" t="s">
        <v>40</v>
      </c>
      <c r="C17" s="94" t="s">
        <v>543</v>
      </c>
      <c r="D17" s="94" t="s">
        <v>578</v>
      </c>
      <c r="E17" s="94" t="s">
        <v>40</v>
      </c>
      <c r="F17" s="95" t="s">
        <v>579</v>
      </c>
      <c r="G17" s="94" t="s">
        <v>535</v>
      </c>
      <c r="H17" s="94" t="s">
        <v>268</v>
      </c>
      <c r="I17" s="94" t="s">
        <v>13</v>
      </c>
      <c r="J17" s="94" t="s">
        <v>218</v>
      </c>
      <c r="K17" s="95" t="s">
        <v>235</v>
      </c>
      <c r="L17" s="96">
        <v>1084</v>
      </c>
      <c r="M17" s="96">
        <f>L17*VLOOKUP(I17,dagsoorttabel2,2,FALSE)</f>
        <v>1084</v>
      </c>
      <c r="N17" s="97">
        <f>prodnorm42</f>
        <v>0</v>
      </c>
      <c r="O17" s="41">
        <f>dagwerk42</f>
        <v>0</v>
      </c>
      <c r="P17" s="94" t="s">
        <v>107</v>
      </c>
      <c r="Q17" s="26">
        <f>uurtarief42</f>
        <v>0</v>
      </c>
      <c r="R17" s="96" t="e">
        <f>IF(ISBLANK(N17),0,M17/ROUND(N17,4))</f>
        <v>#DIV/0!</v>
      </c>
      <c r="S17" s="96" t="e">
        <f>IF(ISBLANK(N17),0,R17*ROUND(O17,2))</f>
        <v>#DIV/0!</v>
      </c>
      <c r="T17" s="26" t="e">
        <f>ROUND(Q17,2)*R17</f>
        <v>#DIV/0!</v>
      </c>
      <c r="U17" s="96" t="e">
        <f>R17*dagenperjaar2</f>
        <v>#DIV/0!</v>
      </c>
      <c r="V17" s="27" t="e">
        <f>U17*ROUND(Q17,2)</f>
        <v>#DIV/0!</v>
      </c>
    </row>
    <row r="18" spans="1:22" x14ac:dyDescent="0.35">
      <c r="A18" s="93" t="s">
        <v>468</v>
      </c>
      <c r="B18" s="94" t="s">
        <v>40</v>
      </c>
      <c r="C18" s="94" t="s">
        <v>543</v>
      </c>
      <c r="D18" s="94" t="s">
        <v>580</v>
      </c>
      <c r="E18" s="94" t="s">
        <v>40</v>
      </c>
      <c r="F18" s="95" t="s">
        <v>577</v>
      </c>
      <c r="G18" s="94" t="s">
        <v>535</v>
      </c>
      <c r="H18" s="94" t="s">
        <v>273</v>
      </c>
      <c r="I18" s="94" t="s">
        <v>13</v>
      </c>
      <c r="J18" s="94" t="s">
        <v>218</v>
      </c>
      <c r="K18" s="95" t="s">
        <v>247</v>
      </c>
      <c r="L18" s="96">
        <v>47</v>
      </c>
      <c r="M18" s="96">
        <f>L18*VLOOKUP(I18,dagsoorttabel2,2,FALSE)</f>
        <v>47</v>
      </c>
      <c r="N18" s="97">
        <f>prodnorm46</f>
        <v>0</v>
      </c>
      <c r="O18" s="41">
        <f>dagwerk46</f>
        <v>0</v>
      </c>
      <c r="P18" s="94" t="s">
        <v>107</v>
      </c>
      <c r="Q18" s="26">
        <f>uurtarief46</f>
        <v>0</v>
      </c>
      <c r="R18" s="96" t="e">
        <f>IF(ISBLANK(N18),0,M18/ROUND(N18,4))</f>
        <v>#DIV/0!</v>
      </c>
      <c r="S18" s="96" t="e">
        <f>IF(ISBLANK(N18),0,R18*ROUND(O18,2))</f>
        <v>#DIV/0!</v>
      </c>
      <c r="T18" s="26" t="e">
        <f>ROUND(Q18,2)*R18</f>
        <v>#DIV/0!</v>
      </c>
      <c r="U18" s="96" t="e">
        <f>R18*dagenperjaar2</f>
        <v>#DIV/0!</v>
      </c>
      <c r="V18" s="27" t="e">
        <f>U18*ROUND(Q18,2)</f>
        <v>#DIV/0!</v>
      </c>
    </row>
    <row r="19" spans="1:22" x14ac:dyDescent="0.35">
      <c r="A19" s="93" t="s">
        <v>468</v>
      </c>
      <c r="B19" s="94" t="s">
        <v>40</v>
      </c>
      <c r="C19" s="94" t="s">
        <v>543</v>
      </c>
      <c r="D19" s="94" t="s">
        <v>581</v>
      </c>
      <c r="E19" s="94" t="s">
        <v>40</v>
      </c>
      <c r="F19" s="95" t="s">
        <v>582</v>
      </c>
      <c r="G19" s="94" t="s">
        <v>535</v>
      </c>
      <c r="H19" s="94" t="s">
        <v>268</v>
      </c>
      <c r="I19" s="94" t="s">
        <v>13</v>
      </c>
      <c r="J19" s="94" t="s">
        <v>218</v>
      </c>
      <c r="K19" s="95" t="s">
        <v>235</v>
      </c>
      <c r="L19" s="96">
        <v>78</v>
      </c>
      <c r="M19" s="96">
        <f>L19*VLOOKUP(I19,dagsoorttabel2,2,FALSE)</f>
        <v>78</v>
      </c>
      <c r="N19" s="97">
        <f>prodnorm42</f>
        <v>0</v>
      </c>
      <c r="O19" s="41">
        <f>dagwerk42</f>
        <v>0</v>
      </c>
      <c r="P19" s="94" t="s">
        <v>107</v>
      </c>
      <c r="Q19" s="26">
        <f>uurtarief42</f>
        <v>0</v>
      </c>
      <c r="R19" s="96" t="e">
        <f>IF(ISBLANK(N19),0,M19/ROUND(N19,4))</f>
        <v>#DIV/0!</v>
      </c>
      <c r="S19" s="96" t="e">
        <f>IF(ISBLANK(N19),0,R19*ROUND(O19,2))</f>
        <v>#DIV/0!</v>
      </c>
      <c r="T19" s="26" t="e">
        <f>ROUND(Q19,2)*R19</f>
        <v>#DIV/0!</v>
      </c>
      <c r="U19" s="96" t="e">
        <f>R19*dagenperjaar2</f>
        <v>#DIV/0!</v>
      </c>
      <c r="V19" s="27" t="e">
        <f>U19*ROUND(Q19,2)</f>
        <v>#DIV/0!</v>
      </c>
    </row>
    <row r="20" spans="1:22" x14ac:dyDescent="0.35">
      <c r="A20" s="93" t="s">
        <v>468</v>
      </c>
      <c r="B20" s="94" t="s">
        <v>40</v>
      </c>
      <c r="C20" s="94" t="s">
        <v>543</v>
      </c>
      <c r="D20" s="94" t="s">
        <v>590</v>
      </c>
      <c r="E20" s="94" t="s">
        <v>40</v>
      </c>
      <c r="F20" s="95" t="s">
        <v>582</v>
      </c>
      <c r="G20" s="94" t="s">
        <v>535</v>
      </c>
      <c r="H20" s="94" t="s">
        <v>268</v>
      </c>
      <c r="I20" s="94" t="s">
        <v>13</v>
      </c>
      <c r="J20" s="94" t="s">
        <v>218</v>
      </c>
      <c r="K20" s="95" t="s">
        <v>235</v>
      </c>
      <c r="L20" s="96">
        <v>181</v>
      </c>
      <c r="M20" s="96">
        <f>L20*VLOOKUP(I20,dagsoorttabel2,2,FALSE)</f>
        <v>181</v>
      </c>
      <c r="N20" s="97">
        <f>prodnorm42</f>
        <v>0</v>
      </c>
      <c r="O20" s="41">
        <f>dagwerk42</f>
        <v>0</v>
      </c>
      <c r="P20" s="94" t="s">
        <v>107</v>
      </c>
      <c r="Q20" s="26">
        <f>uurtarief42</f>
        <v>0</v>
      </c>
      <c r="R20" s="96" t="e">
        <f>IF(ISBLANK(N20),0,M20/ROUND(N20,4))</f>
        <v>#DIV/0!</v>
      </c>
      <c r="S20" s="96" t="e">
        <f>IF(ISBLANK(N20),0,R20*ROUND(O20,2))</f>
        <v>#DIV/0!</v>
      </c>
      <c r="T20" s="26" t="e">
        <f>ROUND(Q20,2)*R20</f>
        <v>#DIV/0!</v>
      </c>
      <c r="U20" s="96" t="e">
        <f>R20*dagenperjaar2</f>
        <v>#DIV/0!</v>
      </c>
      <c r="V20" s="27" t="e">
        <f>U20*ROUND(Q20,2)</f>
        <v>#DIV/0!</v>
      </c>
    </row>
    <row r="21" spans="1:22" x14ac:dyDescent="0.35">
      <c r="A21" s="93" t="s">
        <v>468</v>
      </c>
      <c r="B21" s="94" t="s">
        <v>40</v>
      </c>
      <c r="C21" s="94" t="s">
        <v>309</v>
      </c>
      <c r="D21" s="94" t="s">
        <v>601</v>
      </c>
      <c r="E21" s="94" t="s">
        <v>40</v>
      </c>
      <c r="F21" s="95" t="s">
        <v>602</v>
      </c>
      <c r="G21" s="94" t="s">
        <v>603</v>
      </c>
      <c r="H21" s="94" t="s">
        <v>275</v>
      </c>
      <c r="I21" s="94" t="s">
        <v>13</v>
      </c>
      <c r="J21" s="94" t="s">
        <v>218</v>
      </c>
      <c r="K21" s="95" t="s">
        <v>253</v>
      </c>
      <c r="L21" s="96">
        <v>4</v>
      </c>
      <c r="M21" s="96">
        <f>L21*VLOOKUP(I21,dagsoorttabel2,2,FALSE)</f>
        <v>4</v>
      </c>
      <c r="N21" s="97">
        <f>prodnorm48</f>
        <v>0</v>
      </c>
      <c r="O21" s="41">
        <f>dagwerk48</f>
        <v>0</v>
      </c>
      <c r="P21" s="94" t="s">
        <v>107</v>
      </c>
      <c r="Q21" s="26">
        <f>uurtarief48</f>
        <v>0</v>
      </c>
      <c r="R21" s="96" t="e">
        <f>IF(ISBLANK(N21),0,M21/ROUND(N21,4))</f>
        <v>#DIV/0!</v>
      </c>
      <c r="S21" s="96" t="e">
        <f>IF(ISBLANK(N21),0,R21*ROUND(O21,2))</f>
        <v>#DIV/0!</v>
      </c>
      <c r="T21" s="26" t="e">
        <f>ROUND(Q21,2)*R21</f>
        <v>#DIV/0!</v>
      </c>
      <c r="U21" s="96" t="e">
        <f>R21*dagenperjaar2</f>
        <v>#DIV/0!</v>
      </c>
      <c r="V21" s="27" t="e">
        <f>U21*ROUND(Q21,2)</f>
        <v>#DIV/0!</v>
      </c>
    </row>
    <row r="22" spans="1:22" x14ac:dyDescent="0.35">
      <c r="A22" s="93" t="s">
        <v>468</v>
      </c>
      <c r="B22" s="94" t="s">
        <v>40</v>
      </c>
      <c r="C22" s="94" t="s">
        <v>309</v>
      </c>
      <c r="D22" s="94" t="s">
        <v>609</v>
      </c>
      <c r="E22" s="94" t="s">
        <v>40</v>
      </c>
      <c r="F22" s="95" t="s">
        <v>610</v>
      </c>
      <c r="G22" s="94" t="s">
        <v>504</v>
      </c>
      <c r="H22" s="94" t="s">
        <v>277</v>
      </c>
      <c r="I22" s="94" t="s">
        <v>13</v>
      </c>
      <c r="J22" s="94" t="s">
        <v>218</v>
      </c>
      <c r="K22" s="95" t="s">
        <v>257</v>
      </c>
      <c r="L22" s="96">
        <v>11</v>
      </c>
      <c r="M22" s="96">
        <f>L22*VLOOKUP(I22,dagsoorttabel2,2,FALSE)</f>
        <v>11</v>
      </c>
      <c r="N22" s="97">
        <f>prodnorm50</f>
        <v>0</v>
      </c>
      <c r="O22" s="41">
        <f>dagwerk50</f>
        <v>0</v>
      </c>
      <c r="P22" s="94" t="s">
        <v>107</v>
      </c>
      <c r="Q22" s="26">
        <f>uurtarief50</f>
        <v>0</v>
      </c>
      <c r="R22" s="96" t="e">
        <f>IF(ISBLANK(N22),0,M22/ROUND(N22,4))</f>
        <v>#DIV/0!</v>
      </c>
      <c r="S22" s="96" t="e">
        <f>IF(ISBLANK(N22),0,R22*ROUND(O22,2))</f>
        <v>#DIV/0!</v>
      </c>
      <c r="T22" s="26" t="e">
        <f>ROUND(Q22,2)*R22</f>
        <v>#DIV/0!</v>
      </c>
      <c r="U22" s="96" t="e">
        <f>R22*dagenperjaar2</f>
        <v>#DIV/0!</v>
      </c>
      <c r="V22" s="27" t="e">
        <f>U22*ROUND(Q22,2)</f>
        <v>#DIV/0!</v>
      </c>
    </row>
    <row r="23" spans="1:22" x14ac:dyDescent="0.35">
      <c r="A23" s="93" t="s">
        <v>468</v>
      </c>
      <c r="B23" s="94" t="s">
        <v>40</v>
      </c>
      <c r="C23" s="94" t="s">
        <v>309</v>
      </c>
      <c r="D23" s="94" t="s">
        <v>616</v>
      </c>
      <c r="E23" s="94" t="s">
        <v>40</v>
      </c>
      <c r="F23" s="95" t="s">
        <v>617</v>
      </c>
      <c r="G23" s="94" t="s">
        <v>504</v>
      </c>
      <c r="H23" s="94" t="s">
        <v>277</v>
      </c>
      <c r="I23" s="94" t="s">
        <v>13</v>
      </c>
      <c r="J23" s="94" t="s">
        <v>218</v>
      </c>
      <c r="K23" s="95" t="s">
        <v>257</v>
      </c>
      <c r="L23" s="96">
        <v>62.5</v>
      </c>
      <c r="M23" s="96">
        <f>L23*VLOOKUP(I23,dagsoorttabel2,2,FALSE)</f>
        <v>62.5</v>
      </c>
      <c r="N23" s="97">
        <f>prodnorm50</f>
        <v>0</v>
      </c>
      <c r="O23" s="41">
        <f>dagwerk50</f>
        <v>0</v>
      </c>
      <c r="P23" s="94" t="s">
        <v>107</v>
      </c>
      <c r="Q23" s="26">
        <f>uurtarief50</f>
        <v>0</v>
      </c>
      <c r="R23" s="96" t="e">
        <f>IF(ISBLANK(N23),0,M23/ROUND(N23,4))</f>
        <v>#DIV/0!</v>
      </c>
      <c r="S23" s="96" t="e">
        <f>IF(ISBLANK(N23),0,R23*ROUND(O23,2))</f>
        <v>#DIV/0!</v>
      </c>
      <c r="T23" s="26" t="e">
        <f>ROUND(Q23,2)*R23</f>
        <v>#DIV/0!</v>
      </c>
      <c r="U23" s="96" t="e">
        <f>R23*dagenperjaar2</f>
        <v>#DIV/0!</v>
      </c>
      <c r="V23" s="27" t="e">
        <f>U23*ROUND(Q23,2)</f>
        <v>#DIV/0!</v>
      </c>
    </row>
    <row r="24" spans="1:22" x14ac:dyDescent="0.35">
      <c r="A24" s="93" t="s">
        <v>468</v>
      </c>
      <c r="B24" s="94" t="s">
        <v>40</v>
      </c>
      <c r="C24" s="94" t="s">
        <v>309</v>
      </c>
      <c r="D24" s="94" t="s">
        <v>618</v>
      </c>
      <c r="E24" s="94" t="s">
        <v>40</v>
      </c>
      <c r="F24" s="95" t="s">
        <v>619</v>
      </c>
      <c r="G24" s="94" t="s">
        <v>504</v>
      </c>
      <c r="H24" s="94" t="s">
        <v>273</v>
      </c>
      <c r="I24" s="94" t="s">
        <v>13</v>
      </c>
      <c r="J24" s="94" t="s">
        <v>218</v>
      </c>
      <c r="K24" s="95" t="s">
        <v>247</v>
      </c>
      <c r="L24" s="96">
        <v>942</v>
      </c>
      <c r="M24" s="96">
        <f>L24*VLOOKUP(I24,dagsoorttabel2,2,FALSE)</f>
        <v>942</v>
      </c>
      <c r="N24" s="97">
        <f>prodnorm46</f>
        <v>0</v>
      </c>
      <c r="O24" s="41">
        <f>dagwerk46</f>
        <v>0</v>
      </c>
      <c r="P24" s="94" t="s">
        <v>107</v>
      </c>
      <c r="Q24" s="26">
        <f>uurtarief46</f>
        <v>0</v>
      </c>
      <c r="R24" s="96" t="e">
        <f>IF(ISBLANK(N24),0,M24/ROUND(N24,4))</f>
        <v>#DIV/0!</v>
      </c>
      <c r="S24" s="96" t="e">
        <f>IF(ISBLANK(N24),0,R24*ROUND(O24,2))</f>
        <v>#DIV/0!</v>
      </c>
      <c r="T24" s="26" t="e">
        <f>ROUND(Q24,2)*R24</f>
        <v>#DIV/0!</v>
      </c>
      <c r="U24" s="96" t="e">
        <f>R24*dagenperjaar2</f>
        <v>#DIV/0!</v>
      </c>
      <c r="V24" s="27" t="e">
        <f>U24*ROUND(Q24,2)</f>
        <v>#DIV/0!</v>
      </c>
    </row>
    <row r="25" spans="1:22" x14ac:dyDescent="0.35">
      <c r="A25" s="93" t="s">
        <v>468</v>
      </c>
      <c r="B25" s="94" t="s">
        <v>40</v>
      </c>
      <c r="C25" s="94" t="s">
        <v>309</v>
      </c>
      <c r="D25" s="94" t="s">
        <v>620</v>
      </c>
      <c r="E25" s="94" t="s">
        <v>40</v>
      </c>
      <c r="F25" s="95" t="s">
        <v>621</v>
      </c>
      <c r="G25" s="94" t="s">
        <v>504</v>
      </c>
      <c r="H25" s="94" t="s">
        <v>274</v>
      </c>
      <c r="I25" s="94" t="s">
        <v>13</v>
      </c>
      <c r="J25" s="94" t="s">
        <v>218</v>
      </c>
      <c r="K25" s="95" t="s">
        <v>251</v>
      </c>
      <c r="L25" s="96">
        <v>47</v>
      </c>
      <c r="M25" s="96">
        <f>L25*VLOOKUP(I25,dagsoorttabel2,2,FALSE)</f>
        <v>47</v>
      </c>
      <c r="N25" s="97">
        <f>prodnorm47</f>
        <v>0</v>
      </c>
      <c r="O25" s="41">
        <f>dagwerk47</f>
        <v>0</v>
      </c>
      <c r="P25" s="94" t="s">
        <v>107</v>
      </c>
      <c r="Q25" s="26">
        <f>uurtarief47</f>
        <v>0</v>
      </c>
      <c r="R25" s="96" t="e">
        <f>IF(ISBLANK(N25),0,M25/ROUND(N25,4))</f>
        <v>#DIV/0!</v>
      </c>
      <c r="S25" s="96" t="e">
        <f>IF(ISBLANK(N25),0,R25*ROUND(O25,2))</f>
        <v>#DIV/0!</v>
      </c>
      <c r="T25" s="26" t="e">
        <f>ROUND(Q25,2)*R25</f>
        <v>#DIV/0!</v>
      </c>
      <c r="U25" s="96" t="e">
        <f>R25*dagenperjaar2</f>
        <v>#DIV/0!</v>
      </c>
      <c r="V25" s="27" t="e">
        <f>U25*ROUND(Q25,2)</f>
        <v>#DIV/0!</v>
      </c>
    </row>
    <row r="26" spans="1:22" x14ac:dyDescent="0.35">
      <c r="A26" s="93" t="s">
        <v>468</v>
      </c>
      <c r="B26" s="94" t="s">
        <v>40</v>
      </c>
      <c r="C26" s="94" t="s">
        <v>309</v>
      </c>
      <c r="D26" s="94" t="s">
        <v>626</v>
      </c>
      <c r="E26" s="94" t="s">
        <v>40</v>
      </c>
      <c r="F26" s="95" t="s">
        <v>627</v>
      </c>
      <c r="G26" s="94" t="s">
        <v>504</v>
      </c>
      <c r="H26" s="94" t="s">
        <v>273</v>
      </c>
      <c r="I26" s="94" t="s">
        <v>13</v>
      </c>
      <c r="J26" s="94" t="s">
        <v>218</v>
      </c>
      <c r="K26" s="95" t="s">
        <v>247</v>
      </c>
      <c r="L26" s="96">
        <v>120</v>
      </c>
      <c r="M26" s="96">
        <f>L26*VLOOKUP(I26,dagsoorttabel2,2,FALSE)</f>
        <v>120</v>
      </c>
      <c r="N26" s="97">
        <f>prodnorm46</f>
        <v>0</v>
      </c>
      <c r="O26" s="41">
        <f>dagwerk46</f>
        <v>0</v>
      </c>
      <c r="P26" s="94" t="s">
        <v>107</v>
      </c>
      <c r="Q26" s="26">
        <f>uurtarief46</f>
        <v>0</v>
      </c>
      <c r="R26" s="96" t="e">
        <f>IF(ISBLANK(N26),0,M26/ROUND(N26,4))</f>
        <v>#DIV/0!</v>
      </c>
      <c r="S26" s="96" t="e">
        <f>IF(ISBLANK(N26),0,R26*ROUND(O26,2))</f>
        <v>#DIV/0!</v>
      </c>
      <c r="T26" s="26" t="e">
        <f>ROUND(Q26,2)*R26</f>
        <v>#DIV/0!</v>
      </c>
      <c r="U26" s="96" t="e">
        <f>R26*dagenperjaar2</f>
        <v>#DIV/0!</v>
      </c>
      <c r="V26" s="27" t="e">
        <f>U26*ROUND(Q26,2)</f>
        <v>#DIV/0!</v>
      </c>
    </row>
    <row r="27" spans="1:22" ht="29" x14ac:dyDescent="0.35">
      <c r="A27" s="93" t="s">
        <v>468</v>
      </c>
      <c r="B27" s="94" t="s">
        <v>40</v>
      </c>
      <c r="C27" s="94" t="s">
        <v>391</v>
      </c>
      <c r="D27" s="94" t="s">
        <v>651</v>
      </c>
      <c r="E27" s="94" t="s">
        <v>40</v>
      </c>
      <c r="F27" s="95" t="s">
        <v>652</v>
      </c>
      <c r="G27" s="94" t="s">
        <v>321</v>
      </c>
      <c r="H27" s="94" t="s">
        <v>270</v>
      </c>
      <c r="I27" s="94" t="s">
        <v>13</v>
      </c>
      <c r="J27" s="94" t="s">
        <v>218</v>
      </c>
      <c r="K27" s="95" t="s">
        <v>243</v>
      </c>
      <c r="L27" s="96">
        <v>13</v>
      </c>
      <c r="M27" s="96">
        <f>L27*VLOOKUP(I27,dagsoorttabel2,2,FALSE)</f>
        <v>13</v>
      </c>
      <c r="N27" s="97">
        <f>prodnorm44</f>
        <v>0</v>
      </c>
      <c r="O27" s="41">
        <f>dagwerk44</f>
        <v>0</v>
      </c>
      <c r="P27" s="94" t="s">
        <v>107</v>
      </c>
      <c r="Q27" s="26">
        <f>uurtarief44</f>
        <v>0</v>
      </c>
      <c r="R27" s="96" t="e">
        <f>IF(ISBLANK(N27),0,M27/ROUND(N27,4))</f>
        <v>#DIV/0!</v>
      </c>
      <c r="S27" s="96" t="e">
        <f>IF(ISBLANK(N27),0,R27*ROUND(O27,2))</f>
        <v>#DIV/0!</v>
      </c>
      <c r="T27" s="26" t="e">
        <f>ROUND(Q27,2)*R27</f>
        <v>#DIV/0!</v>
      </c>
      <c r="U27" s="96" t="e">
        <f>R27*dagenperjaar2</f>
        <v>#DIV/0!</v>
      </c>
      <c r="V27" s="27" t="e">
        <f>U27*ROUND(Q27,2)</f>
        <v>#DIV/0!</v>
      </c>
    </row>
    <row r="28" spans="1:22" x14ac:dyDescent="0.35">
      <c r="A28" s="93" t="s">
        <v>468</v>
      </c>
      <c r="B28" s="94" t="s">
        <v>40</v>
      </c>
      <c r="C28" s="94" t="s">
        <v>391</v>
      </c>
      <c r="D28" s="94" t="s">
        <v>653</v>
      </c>
      <c r="E28" s="94" t="s">
        <v>40</v>
      </c>
      <c r="F28" s="95" t="s">
        <v>654</v>
      </c>
      <c r="G28" s="94" t="s">
        <v>504</v>
      </c>
      <c r="H28" s="94" t="s">
        <v>277</v>
      </c>
      <c r="I28" s="94" t="s">
        <v>13</v>
      </c>
      <c r="J28" s="94" t="s">
        <v>218</v>
      </c>
      <c r="K28" s="95" t="s">
        <v>257</v>
      </c>
      <c r="L28" s="96">
        <v>62.5</v>
      </c>
      <c r="M28" s="96">
        <f>L28*VLOOKUP(I28,dagsoorttabel2,2,FALSE)</f>
        <v>62.5</v>
      </c>
      <c r="N28" s="97">
        <f>prodnorm50</f>
        <v>0</v>
      </c>
      <c r="O28" s="41">
        <f>dagwerk50</f>
        <v>0</v>
      </c>
      <c r="P28" s="94" t="s">
        <v>107</v>
      </c>
      <c r="Q28" s="26">
        <f>uurtarief50</f>
        <v>0</v>
      </c>
      <c r="R28" s="96" t="e">
        <f>IF(ISBLANK(N28),0,M28/ROUND(N28,4))</f>
        <v>#DIV/0!</v>
      </c>
      <c r="S28" s="96" t="e">
        <f>IF(ISBLANK(N28),0,R28*ROUND(O28,2))</f>
        <v>#DIV/0!</v>
      </c>
      <c r="T28" s="26" t="e">
        <f>ROUND(Q28,2)*R28</f>
        <v>#DIV/0!</v>
      </c>
      <c r="U28" s="96" t="e">
        <f>R28*dagenperjaar2</f>
        <v>#DIV/0!</v>
      </c>
      <c r="V28" s="27" t="e">
        <f>U28*ROUND(Q28,2)</f>
        <v>#DIV/0!</v>
      </c>
    </row>
    <row r="29" spans="1:22" x14ac:dyDescent="0.35">
      <c r="A29" s="93" t="s">
        <v>468</v>
      </c>
      <c r="B29" s="94" t="s">
        <v>40</v>
      </c>
      <c r="C29" s="94" t="s">
        <v>391</v>
      </c>
      <c r="D29" s="94" t="s">
        <v>660</v>
      </c>
      <c r="E29" s="94" t="s">
        <v>40</v>
      </c>
      <c r="F29" s="95" t="s">
        <v>661</v>
      </c>
      <c r="G29" s="94" t="s">
        <v>535</v>
      </c>
      <c r="H29" s="94" t="s">
        <v>273</v>
      </c>
      <c r="I29" s="94" t="s">
        <v>13</v>
      </c>
      <c r="J29" s="94" t="s">
        <v>218</v>
      </c>
      <c r="K29" s="95" t="s">
        <v>247</v>
      </c>
      <c r="L29" s="96">
        <v>100</v>
      </c>
      <c r="M29" s="96">
        <f>L29*VLOOKUP(I29,dagsoorttabel2,2,FALSE)</f>
        <v>100</v>
      </c>
      <c r="N29" s="97">
        <f>prodnorm46</f>
        <v>0</v>
      </c>
      <c r="O29" s="41">
        <f>dagwerk46</f>
        <v>0</v>
      </c>
      <c r="P29" s="94" t="s">
        <v>107</v>
      </c>
      <c r="Q29" s="26">
        <f>uurtarief46</f>
        <v>0</v>
      </c>
      <c r="R29" s="96" t="e">
        <f>IF(ISBLANK(N29),0,M29/ROUND(N29,4))</f>
        <v>#DIV/0!</v>
      </c>
      <c r="S29" s="96" t="e">
        <f>IF(ISBLANK(N29),0,R29*ROUND(O29,2))</f>
        <v>#DIV/0!</v>
      </c>
      <c r="T29" s="26" t="e">
        <f>ROUND(Q29,2)*R29</f>
        <v>#DIV/0!</v>
      </c>
      <c r="U29" s="96" t="e">
        <f>R29*dagenperjaar2</f>
        <v>#DIV/0!</v>
      </c>
      <c r="V29" s="27" t="e">
        <f>U29*ROUND(Q29,2)</f>
        <v>#DIV/0!</v>
      </c>
    </row>
    <row r="30" spans="1:22" x14ac:dyDescent="0.35">
      <c r="A30" s="93" t="s">
        <v>468</v>
      </c>
      <c r="B30" s="94" t="s">
        <v>40</v>
      </c>
      <c r="C30" s="94" t="s">
        <v>391</v>
      </c>
      <c r="D30" s="94" t="s">
        <v>662</v>
      </c>
      <c r="E30" s="94" t="s">
        <v>40</v>
      </c>
      <c r="F30" s="95" t="s">
        <v>663</v>
      </c>
      <c r="G30" s="94" t="s">
        <v>535</v>
      </c>
      <c r="H30" s="94" t="s">
        <v>277</v>
      </c>
      <c r="I30" s="94" t="s">
        <v>13</v>
      </c>
      <c r="J30" s="94" t="s">
        <v>218</v>
      </c>
      <c r="K30" s="95" t="s">
        <v>257</v>
      </c>
      <c r="L30" s="96">
        <v>11.7</v>
      </c>
      <c r="M30" s="96">
        <f>L30*VLOOKUP(I30,dagsoorttabel2,2,FALSE)</f>
        <v>11.7</v>
      </c>
      <c r="N30" s="97">
        <f>prodnorm50</f>
        <v>0</v>
      </c>
      <c r="O30" s="41">
        <f>dagwerk50</f>
        <v>0</v>
      </c>
      <c r="P30" s="94" t="s">
        <v>107</v>
      </c>
      <c r="Q30" s="26">
        <f>uurtarief50</f>
        <v>0</v>
      </c>
      <c r="R30" s="96" t="e">
        <f>IF(ISBLANK(N30),0,M30/ROUND(N30,4))</f>
        <v>#DIV/0!</v>
      </c>
      <c r="S30" s="96" t="e">
        <f>IF(ISBLANK(N30),0,R30*ROUND(O30,2))</f>
        <v>#DIV/0!</v>
      </c>
      <c r="T30" s="26" t="e">
        <f>ROUND(Q30,2)*R30</f>
        <v>#DIV/0!</v>
      </c>
      <c r="U30" s="96" t="e">
        <f>R30*dagenperjaar2</f>
        <v>#DIV/0!</v>
      </c>
      <c r="V30" s="27" t="e">
        <f>U30*ROUND(Q30,2)</f>
        <v>#DIV/0!</v>
      </c>
    </row>
    <row r="31" spans="1:22" ht="29" x14ac:dyDescent="0.35">
      <c r="A31" s="93" t="s">
        <v>468</v>
      </c>
      <c r="B31" s="94" t="s">
        <v>40</v>
      </c>
      <c r="C31" s="94" t="s">
        <v>391</v>
      </c>
      <c r="D31" s="94" t="s">
        <v>667</v>
      </c>
      <c r="E31" s="94" t="s">
        <v>40</v>
      </c>
      <c r="F31" s="95" t="s">
        <v>668</v>
      </c>
      <c r="G31" s="94" t="s">
        <v>321</v>
      </c>
      <c r="H31" s="94" t="s">
        <v>270</v>
      </c>
      <c r="I31" s="94" t="s">
        <v>13</v>
      </c>
      <c r="J31" s="94" t="s">
        <v>218</v>
      </c>
      <c r="K31" s="95" t="s">
        <v>243</v>
      </c>
      <c r="L31" s="96">
        <v>9</v>
      </c>
      <c r="M31" s="96">
        <f>L31*VLOOKUP(I31,dagsoorttabel2,2,FALSE)</f>
        <v>9</v>
      </c>
      <c r="N31" s="97">
        <f>prodnorm44</f>
        <v>0</v>
      </c>
      <c r="O31" s="41">
        <f>dagwerk44</f>
        <v>0</v>
      </c>
      <c r="P31" s="94" t="s">
        <v>107</v>
      </c>
      <c r="Q31" s="26">
        <f>uurtarief44</f>
        <v>0</v>
      </c>
      <c r="R31" s="96" t="e">
        <f>IF(ISBLANK(N31),0,M31/ROUND(N31,4))</f>
        <v>#DIV/0!</v>
      </c>
      <c r="S31" s="96" t="e">
        <f>IF(ISBLANK(N31),0,R31*ROUND(O31,2))</f>
        <v>#DIV/0!</v>
      </c>
      <c r="T31" s="26" t="e">
        <f>ROUND(Q31,2)*R31</f>
        <v>#DIV/0!</v>
      </c>
      <c r="U31" s="96" t="e">
        <f>R31*dagenperjaar2</f>
        <v>#DIV/0!</v>
      </c>
      <c r="V31" s="27" t="e">
        <f>U31*ROUND(Q31,2)</f>
        <v>#DIV/0!</v>
      </c>
    </row>
    <row r="32" spans="1:22" x14ac:dyDescent="0.35">
      <c r="A32" s="93" t="s">
        <v>468</v>
      </c>
      <c r="B32" s="94" t="s">
        <v>40</v>
      </c>
      <c r="C32" s="94" t="s">
        <v>391</v>
      </c>
      <c r="D32" s="94" t="s">
        <v>672</v>
      </c>
      <c r="E32" s="94" t="s">
        <v>40</v>
      </c>
      <c r="F32" s="95" t="s">
        <v>411</v>
      </c>
      <c r="G32" s="94" t="s">
        <v>535</v>
      </c>
      <c r="H32" s="94" t="s">
        <v>273</v>
      </c>
      <c r="I32" s="94" t="s">
        <v>13</v>
      </c>
      <c r="J32" s="94" t="s">
        <v>218</v>
      </c>
      <c r="K32" s="95" t="s">
        <v>247</v>
      </c>
      <c r="L32" s="96">
        <v>7</v>
      </c>
      <c r="M32" s="96">
        <f>L32*VLOOKUP(I32,dagsoorttabel2,2,FALSE)</f>
        <v>7</v>
      </c>
      <c r="N32" s="97">
        <f>prodnorm46</f>
        <v>0</v>
      </c>
      <c r="O32" s="41">
        <f>dagwerk46</f>
        <v>0</v>
      </c>
      <c r="P32" s="94" t="s">
        <v>107</v>
      </c>
      <c r="Q32" s="26">
        <f>uurtarief46</f>
        <v>0</v>
      </c>
      <c r="R32" s="96" t="e">
        <f>IF(ISBLANK(N32),0,M32/ROUND(N32,4))</f>
        <v>#DIV/0!</v>
      </c>
      <c r="S32" s="96" t="e">
        <f>IF(ISBLANK(N32),0,R32*ROUND(O32,2))</f>
        <v>#DIV/0!</v>
      </c>
      <c r="T32" s="26" t="e">
        <f>ROUND(Q32,2)*R32</f>
        <v>#DIV/0!</v>
      </c>
      <c r="U32" s="96" t="e">
        <f>R32*dagenperjaar2</f>
        <v>#DIV/0!</v>
      </c>
      <c r="V32" s="27" t="e">
        <f>U32*ROUND(Q32,2)</f>
        <v>#DIV/0!</v>
      </c>
    </row>
    <row r="33" spans="1:22" x14ac:dyDescent="0.35">
      <c r="A33" s="93" t="s">
        <v>468</v>
      </c>
      <c r="B33" s="94" t="s">
        <v>40</v>
      </c>
      <c r="C33" s="94" t="s">
        <v>391</v>
      </c>
      <c r="D33" s="94" t="s">
        <v>694</v>
      </c>
      <c r="E33" s="94" t="s">
        <v>40</v>
      </c>
      <c r="F33" s="95" t="s">
        <v>577</v>
      </c>
      <c r="G33" s="94" t="s">
        <v>535</v>
      </c>
      <c r="H33" s="94" t="s">
        <v>268</v>
      </c>
      <c r="I33" s="94" t="s">
        <v>13</v>
      </c>
      <c r="J33" s="94" t="s">
        <v>218</v>
      </c>
      <c r="K33" s="95" t="s">
        <v>235</v>
      </c>
      <c r="L33" s="96">
        <v>42</v>
      </c>
      <c r="M33" s="96">
        <f>L33*VLOOKUP(I33,dagsoorttabel2,2,FALSE)</f>
        <v>42</v>
      </c>
      <c r="N33" s="97">
        <f>prodnorm42</f>
        <v>0</v>
      </c>
      <c r="O33" s="41">
        <f>dagwerk42</f>
        <v>0</v>
      </c>
      <c r="P33" s="94" t="s">
        <v>107</v>
      </c>
      <c r="Q33" s="26">
        <f>uurtarief42</f>
        <v>0</v>
      </c>
      <c r="R33" s="96" t="e">
        <f>IF(ISBLANK(N33),0,M33/ROUND(N33,4))</f>
        <v>#DIV/0!</v>
      </c>
      <c r="S33" s="96" t="e">
        <f>IF(ISBLANK(N33),0,R33*ROUND(O33,2))</f>
        <v>#DIV/0!</v>
      </c>
      <c r="T33" s="26" t="e">
        <f>ROUND(Q33,2)*R33</f>
        <v>#DIV/0!</v>
      </c>
      <c r="U33" s="96" t="e">
        <f>R33*dagenperjaar2</f>
        <v>#DIV/0!</v>
      </c>
      <c r="V33" s="27" t="e">
        <f>U33*ROUND(Q33,2)</f>
        <v>#DIV/0!</v>
      </c>
    </row>
    <row r="34" spans="1:22" x14ac:dyDescent="0.35">
      <c r="A34" s="93" t="s">
        <v>468</v>
      </c>
      <c r="B34" s="94" t="s">
        <v>40</v>
      </c>
      <c r="C34" s="94" t="s">
        <v>391</v>
      </c>
      <c r="D34" s="94" t="s">
        <v>695</v>
      </c>
      <c r="E34" s="94" t="s">
        <v>40</v>
      </c>
      <c r="F34" s="95" t="s">
        <v>696</v>
      </c>
      <c r="G34" s="94" t="s">
        <v>535</v>
      </c>
      <c r="H34" s="94" t="s">
        <v>268</v>
      </c>
      <c r="I34" s="94" t="s">
        <v>13</v>
      </c>
      <c r="J34" s="94" t="s">
        <v>218</v>
      </c>
      <c r="K34" s="95" t="s">
        <v>235</v>
      </c>
      <c r="L34" s="96">
        <v>37</v>
      </c>
      <c r="M34" s="96">
        <f>L34*VLOOKUP(I34,dagsoorttabel2,2,FALSE)</f>
        <v>37</v>
      </c>
      <c r="N34" s="97">
        <f>prodnorm42</f>
        <v>0</v>
      </c>
      <c r="O34" s="41">
        <f>dagwerk42</f>
        <v>0</v>
      </c>
      <c r="P34" s="94" t="s">
        <v>107</v>
      </c>
      <c r="Q34" s="26">
        <f>uurtarief42</f>
        <v>0</v>
      </c>
      <c r="R34" s="96" t="e">
        <f>IF(ISBLANK(N34),0,M34/ROUND(N34,4))</f>
        <v>#DIV/0!</v>
      </c>
      <c r="S34" s="96" t="e">
        <f>IF(ISBLANK(N34),0,R34*ROUND(O34,2))</f>
        <v>#DIV/0!</v>
      </c>
      <c r="T34" s="26" t="e">
        <f>ROUND(Q34,2)*R34</f>
        <v>#DIV/0!</v>
      </c>
      <c r="U34" s="96" t="e">
        <f>R34*dagenperjaar2</f>
        <v>#DIV/0!</v>
      </c>
      <c r="V34" s="27" t="e">
        <f>U34*ROUND(Q34,2)</f>
        <v>#DIV/0!</v>
      </c>
    </row>
    <row r="35" spans="1:22" x14ac:dyDescent="0.35">
      <c r="A35" s="93" t="s">
        <v>468</v>
      </c>
      <c r="B35" s="94" t="s">
        <v>40</v>
      </c>
      <c r="C35" s="94" t="s">
        <v>391</v>
      </c>
      <c r="D35" s="94" t="s">
        <v>697</v>
      </c>
      <c r="E35" s="94" t="s">
        <v>40</v>
      </c>
      <c r="F35" s="95" t="s">
        <v>698</v>
      </c>
      <c r="G35" s="94" t="s">
        <v>535</v>
      </c>
      <c r="H35" s="94" t="s">
        <v>268</v>
      </c>
      <c r="I35" s="94" t="s">
        <v>13</v>
      </c>
      <c r="J35" s="94" t="s">
        <v>218</v>
      </c>
      <c r="K35" s="95" t="s">
        <v>235</v>
      </c>
      <c r="L35" s="96">
        <v>142</v>
      </c>
      <c r="M35" s="96">
        <f>L35*VLOOKUP(I35,dagsoorttabel2,2,FALSE)</f>
        <v>142</v>
      </c>
      <c r="N35" s="97">
        <f>prodnorm42</f>
        <v>0</v>
      </c>
      <c r="O35" s="41">
        <f>dagwerk42</f>
        <v>0</v>
      </c>
      <c r="P35" s="94" t="s">
        <v>107</v>
      </c>
      <c r="Q35" s="26">
        <f>uurtarief42</f>
        <v>0</v>
      </c>
      <c r="R35" s="96" t="e">
        <f>IF(ISBLANK(N35),0,M35/ROUND(N35,4))</f>
        <v>#DIV/0!</v>
      </c>
      <c r="S35" s="96" t="e">
        <f>IF(ISBLANK(N35),0,R35*ROUND(O35,2))</f>
        <v>#DIV/0!</v>
      </c>
      <c r="T35" s="26" t="e">
        <f>ROUND(Q35,2)*R35</f>
        <v>#DIV/0!</v>
      </c>
      <c r="U35" s="96" t="e">
        <f>R35*dagenperjaar2</f>
        <v>#DIV/0!</v>
      </c>
      <c r="V35" s="27" t="e">
        <f>U35*ROUND(Q35,2)</f>
        <v>#DIV/0!</v>
      </c>
    </row>
    <row r="36" spans="1:22" ht="29" x14ac:dyDescent="0.35">
      <c r="A36" s="93" t="s">
        <v>468</v>
      </c>
      <c r="B36" s="94" t="s">
        <v>40</v>
      </c>
      <c r="C36" s="94" t="s">
        <v>391</v>
      </c>
      <c r="D36" s="94" t="s">
        <v>699</v>
      </c>
      <c r="E36" s="94" t="s">
        <v>40</v>
      </c>
      <c r="F36" s="95" t="s">
        <v>700</v>
      </c>
      <c r="G36" s="94" t="s">
        <v>535</v>
      </c>
      <c r="H36" s="94" t="s">
        <v>268</v>
      </c>
      <c r="I36" s="94" t="s">
        <v>13</v>
      </c>
      <c r="J36" s="94" t="s">
        <v>218</v>
      </c>
      <c r="K36" s="95" t="s">
        <v>235</v>
      </c>
      <c r="L36" s="96">
        <v>116</v>
      </c>
      <c r="M36" s="96">
        <f>L36*VLOOKUP(I36,dagsoorttabel2,2,FALSE)</f>
        <v>116</v>
      </c>
      <c r="N36" s="97">
        <f>prodnorm42</f>
        <v>0</v>
      </c>
      <c r="O36" s="41">
        <f>dagwerk42</f>
        <v>0</v>
      </c>
      <c r="P36" s="94" t="s">
        <v>107</v>
      </c>
      <c r="Q36" s="26">
        <f>uurtarief42</f>
        <v>0</v>
      </c>
      <c r="R36" s="96" t="e">
        <f>IF(ISBLANK(N36),0,M36/ROUND(N36,4))</f>
        <v>#DIV/0!</v>
      </c>
      <c r="S36" s="96" t="e">
        <f>IF(ISBLANK(N36),0,R36*ROUND(O36,2))</f>
        <v>#DIV/0!</v>
      </c>
      <c r="T36" s="26" t="e">
        <f>ROUND(Q36,2)*R36</f>
        <v>#DIV/0!</v>
      </c>
      <c r="U36" s="96" t="e">
        <f>R36*dagenperjaar2</f>
        <v>#DIV/0!</v>
      </c>
      <c r="V36" s="27" t="e">
        <f>U36*ROUND(Q36,2)</f>
        <v>#DIV/0!</v>
      </c>
    </row>
    <row r="37" spans="1:22" x14ac:dyDescent="0.35">
      <c r="A37" s="93" t="s">
        <v>468</v>
      </c>
      <c r="B37" s="94" t="s">
        <v>40</v>
      </c>
      <c r="C37" s="94" t="s">
        <v>391</v>
      </c>
      <c r="D37" s="94" t="s">
        <v>705</v>
      </c>
      <c r="E37" s="94" t="s">
        <v>40</v>
      </c>
      <c r="F37" s="95" t="s">
        <v>706</v>
      </c>
      <c r="G37" s="94" t="s">
        <v>535</v>
      </c>
      <c r="H37" s="94" t="s">
        <v>268</v>
      </c>
      <c r="I37" s="94" t="s">
        <v>13</v>
      </c>
      <c r="J37" s="94" t="s">
        <v>218</v>
      </c>
      <c r="K37" s="95" t="s">
        <v>235</v>
      </c>
      <c r="L37" s="96">
        <v>12</v>
      </c>
      <c r="M37" s="96">
        <f>L37*VLOOKUP(I37,dagsoorttabel2,2,FALSE)</f>
        <v>12</v>
      </c>
      <c r="N37" s="97">
        <f>prodnorm42</f>
        <v>0</v>
      </c>
      <c r="O37" s="41">
        <f>dagwerk42</f>
        <v>0</v>
      </c>
      <c r="P37" s="94" t="s">
        <v>107</v>
      </c>
      <c r="Q37" s="26">
        <f>uurtarief42</f>
        <v>0</v>
      </c>
      <c r="R37" s="96" t="e">
        <f>IF(ISBLANK(N37),0,M37/ROUND(N37,4))</f>
        <v>#DIV/0!</v>
      </c>
      <c r="S37" s="96" t="e">
        <f>IF(ISBLANK(N37),0,R37*ROUND(O37,2))</f>
        <v>#DIV/0!</v>
      </c>
      <c r="T37" s="26" t="e">
        <f>ROUND(Q37,2)*R37</f>
        <v>#DIV/0!</v>
      </c>
      <c r="U37" s="96" t="e">
        <f>R37*dagenperjaar2</f>
        <v>#DIV/0!</v>
      </c>
      <c r="V37" s="27" t="e">
        <f>U37*ROUND(Q37,2)</f>
        <v>#DIV/0!</v>
      </c>
    </row>
    <row r="38" spans="1:22" x14ac:dyDescent="0.35">
      <c r="A38" s="93" t="s">
        <v>468</v>
      </c>
      <c r="B38" s="94" t="s">
        <v>40</v>
      </c>
      <c r="C38" s="94" t="s">
        <v>391</v>
      </c>
      <c r="D38" s="94" t="s">
        <v>707</v>
      </c>
      <c r="E38" s="94" t="s">
        <v>40</v>
      </c>
      <c r="F38" s="95" t="s">
        <v>706</v>
      </c>
      <c r="G38" s="94" t="s">
        <v>535</v>
      </c>
      <c r="H38" s="94" t="s">
        <v>268</v>
      </c>
      <c r="I38" s="94" t="s">
        <v>13</v>
      </c>
      <c r="J38" s="94" t="s">
        <v>218</v>
      </c>
      <c r="K38" s="95" t="s">
        <v>235</v>
      </c>
      <c r="L38" s="96">
        <v>12</v>
      </c>
      <c r="M38" s="96">
        <f>L38*VLOOKUP(I38,dagsoorttabel2,2,FALSE)</f>
        <v>12</v>
      </c>
      <c r="N38" s="97">
        <f>prodnorm42</f>
        <v>0</v>
      </c>
      <c r="O38" s="41">
        <f>dagwerk42</f>
        <v>0</v>
      </c>
      <c r="P38" s="94" t="s">
        <v>107</v>
      </c>
      <c r="Q38" s="26">
        <f>uurtarief42</f>
        <v>0</v>
      </c>
      <c r="R38" s="96" t="e">
        <f>IF(ISBLANK(N38),0,M38/ROUND(N38,4))</f>
        <v>#DIV/0!</v>
      </c>
      <c r="S38" s="96" t="e">
        <f>IF(ISBLANK(N38),0,R38*ROUND(O38,2))</f>
        <v>#DIV/0!</v>
      </c>
      <c r="T38" s="26" t="e">
        <f>ROUND(Q38,2)*R38</f>
        <v>#DIV/0!</v>
      </c>
      <c r="U38" s="96" t="e">
        <f>R38*dagenperjaar2</f>
        <v>#DIV/0!</v>
      </c>
      <c r="V38" s="27" t="e">
        <f>U38*ROUND(Q38,2)</f>
        <v>#DIV/0!</v>
      </c>
    </row>
    <row r="39" spans="1:22" x14ac:dyDescent="0.35">
      <c r="A39" s="99" t="s">
        <v>468</v>
      </c>
      <c r="B39" s="100" t="s">
        <v>40</v>
      </c>
      <c r="C39" s="100" t="s">
        <v>729</v>
      </c>
      <c r="D39" s="100" t="s">
        <v>736</v>
      </c>
      <c r="E39" s="100" t="s">
        <v>40</v>
      </c>
      <c r="F39" s="101" t="s">
        <v>411</v>
      </c>
      <c r="G39" s="100" t="s">
        <v>335</v>
      </c>
      <c r="H39" s="100" t="s">
        <v>273</v>
      </c>
      <c r="I39" s="100" t="s">
        <v>13</v>
      </c>
      <c r="J39" s="100" t="s">
        <v>218</v>
      </c>
      <c r="K39" s="101" t="s">
        <v>247</v>
      </c>
      <c r="L39" s="102">
        <v>15</v>
      </c>
      <c r="M39" s="102">
        <f>L39*VLOOKUP(I39,dagsoorttabel2,2,FALSE)</f>
        <v>15</v>
      </c>
      <c r="N39" s="103">
        <f>prodnorm46</f>
        <v>0</v>
      </c>
      <c r="O39" s="104">
        <f>dagwerk46</f>
        <v>0</v>
      </c>
      <c r="P39" s="100" t="s">
        <v>107</v>
      </c>
      <c r="Q39" s="36">
        <f>uurtarief46</f>
        <v>0</v>
      </c>
      <c r="R39" s="102" t="e">
        <f>IF(ISBLANK(N39),0,M39/ROUND(N39,4))</f>
        <v>#DIV/0!</v>
      </c>
      <c r="S39" s="102" t="e">
        <f>IF(ISBLANK(N39),0,R39*ROUND(O39,2))</f>
        <v>#DIV/0!</v>
      </c>
      <c r="T39" s="36" t="e">
        <f>ROUND(Q39,2)*R39</f>
        <v>#DIV/0!</v>
      </c>
      <c r="U39" s="102" t="e">
        <f>R39*dagenperjaar2</f>
        <v>#DIV/0!</v>
      </c>
      <c r="V39" s="37" t="e">
        <f>U39*ROUND(Q39,2)</f>
        <v>#DIV/0!</v>
      </c>
    </row>
    <row r="40" spans="1:22" x14ac:dyDescent="0.35">
      <c r="A40" s="106" t="s">
        <v>1083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8" t="e">
        <f>IF(_xlfn.SINGLE(object2_urenjaar2)&gt;0,_xlfn.SINGLE(object2_prijsjaar2)/_xlfn.SINGLE(object2_urenjaar2),0)</f>
        <v>#DIV/0!</v>
      </c>
      <c r="R40" s="77" t="e">
        <f>SUM(R5:R39)</f>
        <v>#DIV/0!</v>
      </c>
      <c r="S40" s="77" t="e">
        <f>SUM(S5:S39)</f>
        <v>#DIV/0!</v>
      </c>
      <c r="T40" s="78" t="e">
        <f>SUM(T5:T39)</f>
        <v>#DIV/0!</v>
      </c>
      <c r="U40" s="77" t="e">
        <f>SUM(U5:U39)</f>
        <v>#DIV/0!</v>
      </c>
      <c r="V40" s="79" t="e">
        <f>SUM(V5:V39)</f>
        <v>#DIV/0!</v>
      </c>
    </row>
    <row r="41" spans="1:22" x14ac:dyDescent="0.35">
      <c r="A41" s="84" t="s">
        <v>802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74"/>
    </row>
    <row r="42" spans="1:22" x14ac:dyDescent="0.35">
      <c r="A42" s="85" t="s">
        <v>803</v>
      </c>
      <c r="B42" s="86" t="s">
        <v>40</v>
      </c>
      <c r="C42" s="86" t="s">
        <v>470</v>
      </c>
      <c r="D42" s="86" t="s">
        <v>820</v>
      </c>
      <c r="E42" s="86" t="s">
        <v>40</v>
      </c>
      <c r="F42" s="87" t="s">
        <v>821</v>
      </c>
      <c r="G42" s="86" t="s">
        <v>321</v>
      </c>
      <c r="H42" s="86" t="s">
        <v>269</v>
      </c>
      <c r="I42" s="86" t="s">
        <v>13</v>
      </c>
      <c r="J42" s="86" t="s">
        <v>218</v>
      </c>
      <c r="K42" s="87" t="s">
        <v>241</v>
      </c>
      <c r="L42" s="88">
        <v>35</v>
      </c>
      <c r="M42" s="88">
        <f>L42*VLOOKUP(I42,dagsoorttabel2,2,FALSE)</f>
        <v>35</v>
      </c>
      <c r="N42" s="89">
        <f>prodnorm43</f>
        <v>0</v>
      </c>
      <c r="O42" s="90">
        <f>dagwerk43</f>
        <v>0</v>
      </c>
      <c r="P42" s="86" t="s">
        <v>107</v>
      </c>
      <c r="Q42" s="91">
        <f>uurtarief43</f>
        <v>0</v>
      </c>
      <c r="R42" s="88" t="e">
        <f>IF(ISBLANK(N42),0,M42/ROUND(N42,4))</f>
        <v>#DIV/0!</v>
      </c>
      <c r="S42" s="88" t="e">
        <f>IF(ISBLANK(N42),0,R42*ROUND(O42,2))</f>
        <v>#DIV/0!</v>
      </c>
      <c r="T42" s="91" t="e">
        <f>ROUND(Q42,2)*R42</f>
        <v>#DIV/0!</v>
      </c>
      <c r="U42" s="88" t="e">
        <f>R42*dagenperjaar2</f>
        <v>#DIV/0!</v>
      </c>
      <c r="V42" s="92" t="e">
        <f>U42*ROUND(Q42,2)</f>
        <v>#DIV/0!</v>
      </c>
    </row>
    <row r="43" spans="1:22" x14ac:dyDescent="0.35">
      <c r="A43" s="93" t="s">
        <v>803</v>
      </c>
      <c r="B43" s="94" t="s">
        <v>40</v>
      </c>
      <c r="C43" s="94" t="s">
        <v>470</v>
      </c>
      <c r="D43" s="94" t="s">
        <v>822</v>
      </c>
      <c r="E43" s="94" t="s">
        <v>40</v>
      </c>
      <c r="F43" s="95" t="s">
        <v>823</v>
      </c>
      <c r="G43" s="94" t="s">
        <v>321</v>
      </c>
      <c r="H43" s="94" t="s">
        <v>269</v>
      </c>
      <c r="I43" s="94" t="s">
        <v>13</v>
      </c>
      <c r="J43" s="94" t="s">
        <v>218</v>
      </c>
      <c r="K43" s="95" t="s">
        <v>241</v>
      </c>
      <c r="L43" s="96">
        <v>35</v>
      </c>
      <c r="M43" s="96">
        <f>L43*VLOOKUP(I43,dagsoorttabel2,2,FALSE)</f>
        <v>35</v>
      </c>
      <c r="N43" s="97">
        <f>prodnorm43</f>
        <v>0</v>
      </c>
      <c r="O43" s="41">
        <f>dagwerk43</f>
        <v>0</v>
      </c>
      <c r="P43" s="94" t="s">
        <v>107</v>
      </c>
      <c r="Q43" s="26">
        <f>uurtarief43</f>
        <v>0</v>
      </c>
      <c r="R43" s="96" t="e">
        <f>IF(ISBLANK(N43),0,M43/ROUND(N43,4))</f>
        <v>#DIV/0!</v>
      </c>
      <c r="S43" s="96" t="e">
        <f>IF(ISBLANK(N43),0,R43*ROUND(O43,2))</f>
        <v>#DIV/0!</v>
      </c>
      <c r="T43" s="26" t="e">
        <f>ROUND(Q43,2)*R43</f>
        <v>#DIV/0!</v>
      </c>
      <c r="U43" s="96" t="e">
        <f>R43*dagenperjaar2</f>
        <v>#DIV/0!</v>
      </c>
      <c r="V43" s="27" t="e">
        <f>U43*ROUND(Q43,2)</f>
        <v>#DIV/0!</v>
      </c>
    </row>
    <row r="44" spans="1:22" x14ac:dyDescent="0.35">
      <c r="A44" s="93" t="s">
        <v>803</v>
      </c>
      <c r="B44" s="94" t="s">
        <v>40</v>
      </c>
      <c r="C44" s="94" t="s">
        <v>470</v>
      </c>
      <c r="D44" s="94" t="s">
        <v>840</v>
      </c>
      <c r="E44" s="94" t="s">
        <v>40</v>
      </c>
      <c r="F44" s="95" t="s">
        <v>325</v>
      </c>
      <c r="G44" s="94" t="s">
        <v>841</v>
      </c>
      <c r="H44" s="94" t="s">
        <v>277</v>
      </c>
      <c r="I44" s="94" t="s">
        <v>13</v>
      </c>
      <c r="J44" s="94" t="s">
        <v>218</v>
      </c>
      <c r="K44" s="95" t="s">
        <v>257</v>
      </c>
      <c r="L44" s="96">
        <v>3.6</v>
      </c>
      <c r="M44" s="96">
        <f>L44*VLOOKUP(I44,dagsoorttabel2,2,FALSE)</f>
        <v>3.6</v>
      </c>
      <c r="N44" s="97">
        <f>prodnorm50</f>
        <v>0</v>
      </c>
      <c r="O44" s="41">
        <f>dagwerk50</f>
        <v>0</v>
      </c>
      <c r="P44" s="94" t="s">
        <v>107</v>
      </c>
      <c r="Q44" s="26">
        <f>uurtarief50</f>
        <v>0</v>
      </c>
      <c r="R44" s="96" t="e">
        <f>IF(ISBLANK(N44),0,M44/ROUND(N44,4))</f>
        <v>#DIV/0!</v>
      </c>
      <c r="S44" s="96" t="e">
        <f>IF(ISBLANK(N44),0,R44*ROUND(O44,2))</f>
        <v>#DIV/0!</v>
      </c>
      <c r="T44" s="26" t="e">
        <f>ROUND(Q44,2)*R44</f>
        <v>#DIV/0!</v>
      </c>
      <c r="U44" s="96" t="e">
        <f>R44*dagenperjaar2</f>
        <v>#DIV/0!</v>
      </c>
      <c r="V44" s="27" t="e">
        <f>U44*ROUND(Q44,2)</f>
        <v>#DIV/0!</v>
      </c>
    </row>
    <row r="45" spans="1:22" x14ac:dyDescent="0.35">
      <c r="A45" s="93" t="s">
        <v>803</v>
      </c>
      <c r="B45" s="94" t="s">
        <v>40</v>
      </c>
      <c r="C45" s="94" t="s">
        <v>309</v>
      </c>
      <c r="D45" s="94" t="s">
        <v>877</v>
      </c>
      <c r="E45" s="94" t="s">
        <v>40</v>
      </c>
      <c r="F45" s="95" t="s">
        <v>878</v>
      </c>
      <c r="G45" s="94" t="s">
        <v>879</v>
      </c>
      <c r="H45" s="94" t="s">
        <v>275</v>
      </c>
      <c r="I45" s="94" t="s">
        <v>13</v>
      </c>
      <c r="J45" s="94" t="s">
        <v>218</v>
      </c>
      <c r="K45" s="95" t="s">
        <v>253</v>
      </c>
      <c r="L45" s="96">
        <v>55</v>
      </c>
      <c r="M45" s="96">
        <f>L45*VLOOKUP(I45,dagsoorttabel2,2,FALSE)</f>
        <v>55</v>
      </c>
      <c r="N45" s="97">
        <f>prodnorm48</f>
        <v>0</v>
      </c>
      <c r="O45" s="41">
        <f>dagwerk48</f>
        <v>0</v>
      </c>
      <c r="P45" s="94" t="s">
        <v>107</v>
      </c>
      <c r="Q45" s="26">
        <f>uurtarief48</f>
        <v>0</v>
      </c>
      <c r="R45" s="96" t="e">
        <f>IF(ISBLANK(N45),0,M45/ROUND(N45,4))</f>
        <v>#DIV/0!</v>
      </c>
      <c r="S45" s="96" t="e">
        <f>IF(ISBLANK(N45),0,R45*ROUND(O45,2))</f>
        <v>#DIV/0!</v>
      </c>
      <c r="T45" s="26" t="e">
        <f>ROUND(Q45,2)*R45</f>
        <v>#DIV/0!</v>
      </c>
      <c r="U45" s="96" t="e">
        <f>R45*dagenperjaar2</f>
        <v>#DIV/0!</v>
      </c>
      <c r="V45" s="27" t="e">
        <f>U45*ROUND(Q45,2)</f>
        <v>#DIV/0!</v>
      </c>
    </row>
    <row r="46" spans="1:22" x14ac:dyDescent="0.35">
      <c r="A46" s="93" t="s">
        <v>803</v>
      </c>
      <c r="B46" s="94" t="s">
        <v>40</v>
      </c>
      <c r="C46" s="94" t="s">
        <v>309</v>
      </c>
      <c r="D46" s="94" t="s">
        <v>882</v>
      </c>
      <c r="E46" s="94" t="s">
        <v>40</v>
      </c>
      <c r="F46" s="95" t="s">
        <v>883</v>
      </c>
      <c r="G46" s="94" t="s">
        <v>535</v>
      </c>
      <c r="H46" s="94" t="s">
        <v>268</v>
      </c>
      <c r="I46" s="94" t="s">
        <v>13</v>
      </c>
      <c r="J46" s="94" t="s">
        <v>218</v>
      </c>
      <c r="K46" s="95" t="s">
        <v>235</v>
      </c>
      <c r="L46" s="96">
        <v>90</v>
      </c>
      <c r="M46" s="96">
        <f>L46*VLOOKUP(I46,dagsoorttabel2,2,FALSE)</f>
        <v>90</v>
      </c>
      <c r="N46" s="97">
        <f>prodnorm42</f>
        <v>0</v>
      </c>
      <c r="O46" s="41">
        <f>dagwerk42</f>
        <v>0</v>
      </c>
      <c r="P46" s="94" t="s">
        <v>107</v>
      </c>
      <c r="Q46" s="26">
        <f>uurtarief42</f>
        <v>0</v>
      </c>
      <c r="R46" s="96" t="e">
        <f>IF(ISBLANK(N46),0,M46/ROUND(N46,4))</f>
        <v>#DIV/0!</v>
      </c>
      <c r="S46" s="96" t="e">
        <f>IF(ISBLANK(N46),0,R46*ROUND(O46,2))</f>
        <v>#DIV/0!</v>
      </c>
      <c r="T46" s="26" t="e">
        <f>ROUND(Q46,2)*R46</f>
        <v>#DIV/0!</v>
      </c>
      <c r="U46" s="96" t="e">
        <f>R46*dagenperjaar2</f>
        <v>#DIV/0!</v>
      </c>
      <c r="V46" s="27" t="e">
        <f>U46*ROUND(Q46,2)</f>
        <v>#DIV/0!</v>
      </c>
    </row>
    <row r="47" spans="1:22" x14ac:dyDescent="0.35">
      <c r="A47" s="93" t="s">
        <v>803</v>
      </c>
      <c r="B47" s="94" t="s">
        <v>40</v>
      </c>
      <c r="C47" s="94" t="s">
        <v>309</v>
      </c>
      <c r="D47" s="94" t="s">
        <v>884</v>
      </c>
      <c r="E47" s="94" t="s">
        <v>40</v>
      </c>
      <c r="F47" s="95" t="s">
        <v>883</v>
      </c>
      <c r="G47" s="94" t="s">
        <v>535</v>
      </c>
      <c r="H47" s="94" t="s">
        <v>268</v>
      </c>
      <c r="I47" s="94" t="s">
        <v>13</v>
      </c>
      <c r="J47" s="94" t="s">
        <v>218</v>
      </c>
      <c r="K47" s="95" t="s">
        <v>235</v>
      </c>
      <c r="L47" s="96">
        <v>33</v>
      </c>
      <c r="M47" s="96">
        <f>L47*VLOOKUP(I47,dagsoorttabel2,2,FALSE)</f>
        <v>33</v>
      </c>
      <c r="N47" s="97">
        <f>prodnorm42</f>
        <v>0</v>
      </c>
      <c r="O47" s="41">
        <f>dagwerk42</f>
        <v>0</v>
      </c>
      <c r="P47" s="94" t="s">
        <v>107</v>
      </c>
      <c r="Q47" s="26">
        <f>uurtarief42</f>
        <v>0</v>
      </c>
      <c r="R47" s="96" t="e">
        <f>IF(ISBLANK(N47),0,M47/ROUND(N47,4))</f>
        <v>#DIV/0!</v>
      </c>
      <c r="S47" s="96" t="e">
        <f>IF(ISBLANK(N47),0,R47*ROUND(O47,2))</f>
        <v>#DIV/0!</v>
      </c>
      <c r="T47" s="26" t="e">
        <f>ROUND(Q47,2)*R47</f>
        <v>#DIV/0!</v>
      </c>
      <c r="U47" s="96" t="e">
        <f>R47*dagenperjaar2</f>
        <v>#DIV/0!</v>
      </c>
      <c r="V47" s="27" t="e">
        <f>U47*ROUND(Q47,2)</f>
        <v>#DIV/0!</v>
      </c>
    </row>
    <row r="48" spans="1:22" x14ac:dyDescent="0.35">
      <c r="A48" s="93" t="s">
        <v>803</v>
      </c>
      <c r="B48" s="94" t="s">
        <v>40</v>
      </c>
      <c r="C48" s="94" t="s">
        <v>309</v>
      </c>
      <c r="D48" s="94" t="s">
        <v>885</v>
      </c>
      <c r="E48" s="94" t="s">
        <v>40</v>
      </c>
      <c r="F48" s="95" t="s">
        <v>883</v>
      </c>
      <c r="G48" s="94" t="s">
        <v>535</v>
      </c>
      <c r="H48" s="94" t="s">
        <v>268</v>
      </c>
      <c r="I48" s="94" t="s">
        <v>13</v>
      </c>
      <c r="J48" s="94" t="s">
        <v>218</v>
      </c>
      <c r="K48" s="95" t="s">
        <v>235</v>
      </c>
      <c r="L48" s="96">
        <v>32</v>
      </c>
      <c r="M48" s="96">
        <f>L48*VLOOKUP(I48,dagsoorttabel2,2,FALSE)</f>
        <v>32</v>
      </c>
      <c r="N48" s="97">
        <f>prodnorm42</f>
        <v>0</v>
      </c>
      <c r="O48" s="41">
        <f>dagwerk42</f>
        <v>0</v>
      </c>
      <c r="P48" s="94" t="s">
        <v>107</v>
      </c>
      <c r="Q48" s="26">
        <f>uurtarief42</f>
        <v>0</v>
      </c>
      <c r="R48" s="96" t="e">
        <f>IF(ISBLANK(N48),0,M48/ROUND(N48,4))</f>
        <v>#DIV/0!</v>
      </c>
      <c r="S48" s="96" t="e">
        <f>IF(ISBLANK(N48),0,R48*ROUND(O48,2))</f>
        <v>#DIV/0!</v>
      </c>
      <c r="T48" s="26" t="e">
        <f>ROUND(Q48,2)*R48</f>
        <v>#DIV/0!</v>
      </c>
      <c r="U48" s="96" t="e">
        <f>R48*dagenperjaar2</f>
        <v>#DIV/0!</v>
      </c>
      <c r="V48" s="27" t="e">
        <f>U48*ROUND(Q48,2)</f>
        <v>#DIV/0!</v>
      </c>
    </row>
    <row r="49" spans="1:22" x14ac:dyDescent="0.35">
      <c r="A49" s="93" t="s">
        <v>803</v>
      </c>
      <c r="B49" s="94" t="s">
        <v>40</v>
      </c>
      <c r="C49" s="94" t="s">
        <v>309</v>
      </c>
      <c r="D49" s="94" t="s">
        <v>886</v>
      </c>
      <c r="E49" s="94" t="s">
        <v>40</v>
      </c>
      <c r="F49" s="95" t="s">
        <v>883</v>
      </c>
      <c r="G49" s="94" t="s">
        <v>535</v>
      </c>
      <c r="H49" s="94" t="s">
        <v>268</v>
      </c>
      <c r="I49" s="94" t="s">
        <v>13</v>
      </c>
      <c r="J49" s="94" t="s">
        <v>218</v>
      </c>
      <c r="K49" s="95" t="s">
        <v>235</v>
      </c>
      <c r="L49" s="96">
        <v>32</v>
      </c>
      <c r="M49" s="96">
        <f>L49*VLOOKUP(I49,dagsoorttabel2,2,FALSE)</f>
        <v>32</v>
      </c>
      <c r="N49" s="97">
        <f>prodnorm42</f>
        <v>0</v>
      </c>
      <c r="O49" s="41">
        <f>dagwerk42</f>
        <v>0</v>
      </c>
      <c r="P49" s="94" t="s">
        <v>107</v>
      </c>
      <c r="Q49" s="26">
        <f>uurtarief42</f>
        <v>0</v>
      </c>
      <c r="R49" s="96" t="e">
        <f>IF(ISBLANK(N49),0,M49/ROUND(N49,4))</f>
        <v>#DIV/0!</v>
      </c>
      <c r="S49" s="96" t="e">
        <f>IF(ISBLANK(N49),0,R49*ROUND(O49,2))</f>
        <v>#DIV/0!</v>
      </c>
      <c r="T49" s="26" t="e">
        <f>ROUND(Q49,2)*R49</f>
        <v>#DIV/0!</v>
      </c>
      <c r="U49" s="96" t="e">
        <f>R49*dagenperjaar2</f>
        <v>#DIV/0!</v>
      </c>
      <c r="V49" s="27" t="e">
        <f>U49*ROUND(Q49,2)</f>
        <v>#DIV/0!</v>
      </c>
    </row>
    <row r="50" spans="1:22" x14ac:dyDescent="0.35">
      <c r="A50" s="93" t="s">
        <v>803</v>
      </c>
      <c r="B50" s="94" t="s">
        <v>40</v>
      </c>
      <c r="C50" s="94" t="s">
        <v>309</v>
      </c>
      <c r="D50" s="94" t="s">
        <v>887</v>
      </c>
      <c r="E50" s="94" t="s">
        <v>40</v>
      </c>
      <c r="F50" s="95" t="s">
        <v>883</v>
      </c>
      <c r="G50" s="94" t="s">
        <v>535</v>
      </c>
      <c r="H50" s="94" t="s">
        <v>268</v>
      </c>
      <c r="I50" s="94" t="s">
        <v>13</v>
      </c>
      <c r="J50" s="94" t="s">
        <v>218</v>
      </c>
      <c r="K50" s="95" t="s">
        <v>235</v>
      </c>
      <c r="L50" s="96">
        <v>33</v>
      </c>
      <c r="M50" s="96">
        <f>L50*VLOOKUP(I50,dagsoorttabel2,2,FALSE)</f>
        <v>33</v>
      </c>
      <c r="N50" s="97">
        <f>prodnorm42</f>
        <v>0</v>
      </c>
      <c r="O50" s="41">
        <f>dagwerk42</f>
        <v>0</v>
      </c>
      <c r="P50" s="94" t="s">
        <v>107</v>
      </c>
      <c r="Q50" s="26">
        <f>uurtarief42</f>
        <v>0</v>
      </c>
      <c r="R50" s="96" t="e">
        <f>IF(ISBLANK(N50),0,M50/ROUND(N50,4))</f>
        <v>#DIV/0!</v>
      </c>
      <c r="S50" s="96" t="e">
        <f>IF(ISBLANK(N50),0,R50*ROUND(O50,2))</f>
        <v>#DIV/0!</v>
      </c>
      <c r="T50" s="26" t="e">
        <f>ROUND(Q50,2)*R50</f>
        <v>#DIV/0!</v>
      </c>
      <c r="U50" s="96" t="e">
        <f>R50*dagenperjaar2</f>
        <v>#DIV/0!</v>
      </c>
      <c r="V50" s="27" t="e">
        <f>U50*ROUND(Q50,2)</f>
        <v>#DIV/0!</v>
      </c>
    </row>
    <row r="51" spans="1:22" x14ac:dyDescent="0.35">
      <c r="A51" s="93" t="s">
        <v>803</v>
      </c>
      <c r="B51" s="94" t="s">
        <v>40</v>
      </c>
      <c r="C51" s="94" t="s">
        <v>309</v>
      </c>
      <c r="D51" s="94" t="s">
        <v>888</v>
      </c>
      <c r="E51" s="94" t="s">
        <v>40</v>
      </c>
      <c r="F51" s="95" t="s">
        <v>883</v>
      </c>
      <c r="G51" s="94" t="s">
        <v>535</v>
      </c>
      <c r="H51" s="94" t="s">
        <v>268</v>
      </c>
      <c r="I51" s="94" t="s">
        <v>13</v>
      </c>
      <c r="J51" s="94" t="s">
        <v>218</v>
      </c>
      <c r="K51" s="95" t="s">
        <v>235</v>
      </c>
      <c r="L51" s="96">
        <v>100</v>
      </c>
      <c r="M51" s="96">
        <f>L51*VLOOKUP(I51,dagsoorttabel2,2,FALSE)</f>
        <v>100</v>
      </c>
      <c r="N51" s="97">
        <f>prodnorm42</f>
        <v>0</v>
      </c>
      <c r="O51" s="41">
        <f>dagwerk42</f>
        <v>0</v>
      </c>
      <c r="P51" s="94" t="s">
        <v>107</v>
      </c>
      <c r="Q51" s="26">
        <f>uurtarief42</f>
        <v>0</v>
      </c>
      <c r="R51" s="96" t="e">
        <f>IF(ISBLANK(N51),0,M51/ROUND(N51,4))</f>
        <v>#DIV/0!</v>
      </c>
      <c r="S51" s="96" t="e">
        <f>IF(ISBLANK(N51),0,R51*ROUND(O51,2))</f>
        <v>#DIV/0!</v>
      </c>
      <c r="T51" s="26" t="e">
        <f>ROUND(Q51,2)*R51</f>
        <v>#DIV/0!</v>
      </c>
      <c r="U51" s="96" t="e">
        <f>R51*dagenperjaar2</f>
        <v>#DIV/0!</v>
      </c>
      <c r="V51" s="27" t="e">
        <f>U51*ROUND(Q51,2)</f>
        <v>#DIV/0!</v>
      </c>
    </row>
    <row r="52" spans="1:22" x14ac:dyDescent="0.35">
      <c r="A52" s="93" t="s">
        <v>803</v>
      </c>
      <c r="B52" s="94" t="s">
        <v>40</v>
      </c>
      <c r="C52" s="94" t="s">
        <v>309</v>
      </c>
      <c r="D52" s="94" t="s">
        <v>889</v>
      </c>
      <c r="E52" s="94" t="s">
        <v>40</v>
      </c>
      <c r="F52" s="95" t="s">
        <v>883</v>
      </c>
      <c r="G52" s="94" t="s">
        <v>535</v>
      </c>
      <c r="H52" s="94" t="s">
        <v>268</v>
      </c>
      <c r="I52" s="94" t="s">
        <v>13</v>
      </c>
      <c r="J52" s="94" t="s">
        <v>218</v>
      </c>
      <c r="K52" s="95" t="s">
        <v>235</v>
      </c>
      <c r="L52" s="96">
        <v>59</v>
      </c>
      <c r="M52" s="96">
        <f>L52*VLOOKUP(I52,dagsoorttabel2,2,FALSE)</f>
        <v>59</v>
      </c>
      <c r="N52" s="97">
        <f>prodnorm42</f>
        <v>0</v>
      </c>
      <c r="O52" s="41">
        <f>dagwerk42</f>
        <v>0</v>
      </c>
      <c r="P52" s="94" t="s">
        <v>107</v>
      </c>
      <c r="Q52" s="26">
        <f>uurtarief42</f>
        <v>0</v>
      </c>
      <c r="R52" s="96" t="e">
        <f>IF(ISBLANK(N52),0,M52/ROUND(N52,4))</f>
        <v>#DIV/0!</v>
      </c>
      <c r="S52" s="96" t="e">
        <f>IF(ISBLANK(N52),0,R52*ROUND(O52,2))</f>
        <v>#DIV/0!</v>
      </c>
      <c r="T52" s="26" t="e">
        <f>ROUND(Q52,2)*R52</f>
        <v>#DIV/0!</v>
      </c>
      <c r="U52" s="96" t="e">
        <f>R52*dagenperjaar2</f>
        <v>#DIV/0!</v>
      </c>
      <c r="V52" s="27" t="e">
        <f>U52*ROUND(Q52,2)</f>
        <v>#DIV/0!</v>
      </c>
    </row>
    <row r="53" spans="1:22" x14ac:dyDescent="0.35">
      <c r="A53" s="93" t="s">
        <v>803</v>
      </c>
      <c r="B53" s="94" t="s">
        <v>40</v>
      </c>
      <c r="C53" s="94" t="s">
        <v>309</v>
      </c>
      <c r="D53" s="94" t="s">
        <v>891</v>
      </c>
      <c r="E53" s="94" t="s">
        <v>40</v>
      </c>
      <c r="F53" s="95" t="s">
        <v>892</v>
      </c>
      <c r="G53" s="94" t="s">
        <v>535</v>
      </c>
      <c r="H53" s="94" t="s">
        <v>268</v>
      </c>
      <c r="I53" s="94" t="s">
        <v>13</v>
      </c>
      <c r="J53" s="94" t="s">
        <v>218</v>
      </c>
      <c r="K53" s="95" t="s">
        <v>235</v>
      </c>
      <c r="L53" s="96">
        <v>77</v>
      </c>
      <c r="M53" s="96">
        <f>L53*VLOOKUP(I53,dagsoorttabel2,2,FALSE)</f>
        <v>77</v>
      </c>
      <c r="N53" s="97">
        <f>prodnorm42</f>
        <v>0</v>
      </c>
      <c r="O53" s="41">
        <f>dagwerk42</f>
        <v>0</v>
      </c>
      <c r="P53" s="94" t="s">
        <v>107</v>
      </c>
      <c r="Q53" s="26">
        <f>uurtarief42</f>
        <v>0</v>
      </c>
      <c r="R53" s="96" t="e">
        <f>IF(ISBLANK(N53),0,M53/ROUND(N53,4))</f>
        <v>#DIV/0!</v>
      </c>
      <c r="S53" s="96" t="e">
        <f>IF(ISBLANK(N53),0,R53*ROUND(O53,2))</f>
        <v>#DIV/0!</v>
      </c>
      <c r="T53" s="26" t="e">
        <f>ROUND(Q53,2)*R53</f>
        <v>#DIV/0!</v>
      </c>
      <c r="U53" s="96" t="e">
        <f>R53*dagenperjaar2</f>
        <v>#DIV/0!</v>
      </c>
      <c r="V53" s="27" t="e">
        <f>U53*ROUND(Q53,2)</f>
        <v>#DIV/0!</v>
      </c>
    </row>
    <row r="54" spans="1:22" x14ac:dyDescent="0.35">
      <c r="A54" s="93" t="s">
        <v>803</v>
      </c>
      <c r="B54" s="94" t="s">
        <v>40</v>
      </c>
      <c r="C54" s="94" t="s">
        <v>309</v>
      </c>
      <c r="D54" s="94" t="s">
        <v>893</v>
      </c>
      <c r="E54" s="94" t="s">
        <v>40</v>
      </c>
      <c r="F54" s="95" t="s">
        <v>894</v>
      </c>
      <c r="G54" s="94" t="s">
        <v>535</v>
      </c>
      <c r="H54" s="94" t="s">
        <v>268</v>
      </c>
      <c r="I54" s="94" t="s">
        <v>13</v>
      </c>
      <c r="J54" s="94" t="s">
        <v>218</v>
      </c>
      <c r="K54" s="95" t="s">
        <v>235</v>
      </c>
      <c r="L54" s="96">
        <v>77</v>
      </c>
      <c r="M54" s="96">
        <f>L54*VLOOKUP(I54,dagsoorttabel2,2,FALSE)</f>
        <v>77</v>
      </c>
      <c r="N54" s="97">
        <f>prodnorm42</f>
        <v>0</v>
      </c>
      <c r="O54" s="41">
        <f>dagwerk42</f>
        <v>0</v>
      </c>
      <c r="P54" s="94" t="s">
        <v>107</v>
      </c>
      <c r="Q54" s="26">
        <f>uurtarief42</f>
        <v>0</v>
      </c>
      <c r="R54" s="96" t="e">
        <f>IF(ISBLANK(N54),0,M54/ROUND(N54,4))</f>
        <v>#DIV/0!</v>
      </c>
      <c r="S54" s="96" t="e">
        <f>IF(ISBLANK(N54),0,R54*ROUND(O54,2))</f>
        <v>#DIV/0!</v>
      </c>
      <c r="T54" s="26" t="e">
        <f>ROUND(Q54,2)*R54</f>
        <v>#DIV/0!</v>
      </c>
      <c r="U54" s="96" t="e">
        <f>R54*dagenperjaar2</f>
        <v>#DIV/0!</v>
      </c>
      <c r="V54" s="27" t="e">
        <f>U54*ROUND(Q54,2)</f>
        <v>#DIV/0!</v>
      </c>
    </row>
    <row r="55" spans="1:22" x14ac:dyDescent="0.35">
      <c r="A55" s="93" t="s">
        <v>803</v>
      </c>
      <c r="B55" s="94" t="s">
        <v>40</v>
      </c>
      <c r="C55" s="94" t="s">
        <v>309</v>
      </c>
      <c r="D55" s="94" t="s">
        <v>895</v>
      </c>
      <c r="E55" s="94" t="s">
        <v>40</v>
      </c>
      <c r="F55" s="95" t="s">
        <v>883</v>
      </c>
      <c r="G55" s="94" t="s">
        <v>535</v>
      </c>
      <c r="H55" s="94" t="s">
        <v>268</v>
      </c>
      <c r="I55" s="94" t="s">
        <v>13</v>
      </c>
      <c r="J55" s="94" t="s">
        <v>218</v>
      </c>
      <c r="K55" s="95" t="s">
        <v>235</v>
      </c>
      <c r="L55" s="96">
        <v>60</v>
      </c>
      <c r="M55" s="96">
        <f>L55*VLOOKUP(I55,dagsoorttabel2,2,FALSE)</f>
        <v>60</v>
      </c>
      <c r="N55" s="97">
        <f>prodnorm42</f>
        <v>0</v>
      </c>
      <c r="O55" s="41">
        <f>dagwerk42</f>
        <v>0</v>
      </c>
      <c r="P55" s="94" t="s">
        <v>107</v>
      </c>
      <c r="Q55" s="26">
        <f>uurtarief42</f>
        <v>0</v>
      </c>
      <c r="R55" s="96" t="e">
        <f>IF(ISBLANK(N55),0,M55/ROUND(N55,4))</f>
        <v>#DIV/0!</v>
      </c>
      <c r="S55" s="96" t="e">
        <f>IF(ISBLANK(N55),0,R55*ROUND(O55,2))</f>
        <v>#DIV/0!</v>
      </c>
      <c r="T55" s="26" t="e">
        <f>ROUND(Q55,2)*R55</f>
        <v>#DIV/0!</v>
      </c>
      <c r="U55" s="96" t="e">
        <f>R55*dagenperjaar2</f>
        <v>#DIV/0!</v>
      </c>
      <c r="V55" s="27" t="e">
        <f>U55*ROUND(Q55,2)</f>
        <v>#DIV/0!</v>
      </c>
    </row>
    <row r="56" spans="1:22" x14ac:dyDescent="0.35">
      <c r="A56" s="93" t="s">
        <v>803</v>
      </c>
      <c r="B56" s="94" t="s">
        <v>40</v>
      </c>
      <c r="C56" s="94" t="s">
        <v>309</v>
      </c>
      <c r="D56" s="94" t="s">
        <v>899</v>
      </c>
      <c r="E56" s="94" t="s">
        <v>40</v>
      </c>
      <c r="F56" s="95" t="s">
        <v>883</v>
      </c>
      <c r="G56" s="94" t="s">
        <v>535</v>
      </c>
      <c r="H56" s="94" t="s">
        <v>268</v>
      </c>
      <c r="I56" s="94" t="s">
        <v>13</v>
      </c>
      <c r="J56" s="94" t="s">
        <v>218</v>
      </c>
      <c r="K56" s="95" t="s">
        <v>235</v>
      </c>
      <c r="L56" s="96">
        <v>100</v>
      </c>
      <c r="M56" s="96">
        <f>L56*VLOOKUP(I56,dagsoorttabel2,2,FALSE)</f>
        <v>100</v>
      </c>
      <c r="N56" s="97">
        <f>prodnorm42</f>
        <v>0</v>
      </c>
      <c r="O56" s="41">
        <f>dagwerk42</f>
        <v>0</v>
      </c>
      <c r="P56" s="94" t="s">
        <v>107</v>
      </c>
      <c r="Q56" s="26">
        <f>uurtarief42</f>
        <v>0</v>
      </c>
      <c r="R56" s="96" t="e">
        <f>IF(ISBLANK(N56),0,M56/ROUND(N56,4))</f>
        <v>#DIV/0!</v>
      </c>
      <c r="S56" s="96" t="e">
        <f>IF(ISBLANK(N56),0,R56*ROUND(O56,2))</f>
        <v>#DIV/0!</v>
      </c>
      <c r="T56" s="26" t="e">
        <f>ROUND(Q56,2)*R56</f>
        <v>#DIV/0!</v>
      </c>
      <c r="U56" s="96" t="e">
        <f>R56*dagenperjaar2</f>
        <v>#DIV/0!</v>
      </c>
      <c r="V56" s="27" t="e">
        <f>U56*ROUND(Q56,2)</f>
        <v>#DIV/0!</v>
      </c>
    </row>
    <row r="57" spans="1:22" x14ac:dyDescent="0.35">
      <c r="A57" s="93" t="s">
        <v>803</v>
      </c>
      <c r="B57" s="94" t="s">
        <v>40</v>
      </c>
      <c r="C57" s="94" t="s">
        <v>309</v>
      </c>
      <c r="D57" s="94" t="s">
        <v>900</v>
      </c>
      <c r="E57" s="94" t="s">
        <v>40</v>
      </c>
      <c r="F57" s="95" t="s">
        <v>883</v>
      </c>
      <c r="G57" s="94" t="s">
        <v>535</v>
      </c>
      <c r="H57" s="94" t="s">
        <v>268</v>
      </c>
      <c r="I57" s="94" t="s">
        <v>13</v>
      </c>
      <c r="J57" s="94" t="s">
        <v>218</v>
      </c>
      <c r="K57" s="95" t="s">
        <v>235</v>
      </c>
      <c r="L57" s="96">
        <v>84</v>
      </c>
      <c r="M57" s="96">
        <f>L57*VLOOKUP(I57,dagsoorttabel2,2,FALSE)</f>
        <v>84</v>
      </c>
      <c r="N57" s="97">
        <f>prodnorm42</f>
        <v>0</v>
      </c>
      <c r="O57" s="41">
        <f>dagwerk42</f>
        <v>0</v>
      </c>
      <c r="P57" s="94" t="s">
        <v>107</v>
      </c>
      <c r="Q57" s="26">
        <f>uurtarief42</f>
        <v>0</v>
      </c>
      <c r="R57" s="96" t="e">
        <f>IF(ISBLANK(N57),0,M57/ROUND(N57,4))</f>
        <v>#DIV/0!</v>
      </c>
      <c r="S57" s="96" t="e">
        <f>IF(ISBLANK(N57),0,R57*ROUND(O57,2))</f>
        <v>#DIV/0!</v>
      </c>
      <c r="T57" s="26" t="e">
        <f>ROUND(Q57,2)*R57</f>
        <v>#DIV/0!</v>
      </c>
      <c r="U57" s="96" t="e">
        <f>R57*dagenperjaar2</f>
        <v>#DIV/0!</v>
      </c>
      <c r="V57" s="27" t="e">
        <f>U57*ROUND(Q57,2)</f>
        <v>#DIV/0!</v>
      </c>
    </row>
    <row r="58" spans="1:22" x14ac:dyDescent="0.35">
      <c r="A58" s="93" t="s">
        <v>803</v>
      </c>
      <c r="B58" s="94" t="s">
        <v>40</v>
      </c>
      <c r="C58" s="94" t="s">
        <v>309</v>
      </c>
      <c r="D58" s="94" t="s">
        <v>901</v>
      </c>
      <c r="E58" s="94" t="s">
        <v>40</v>
      </c>
      <c r="F58" s="95" t="s">
        <v>883</v>
      </c>
      <c r="G58" s="94" t="s">
        <v>535</v>
      </c>
      <c r="H58" s="94" t="s">
        <v>268</v>
      </c>
      <c r="I58" s="94" t="s">
        <v>13</v>
      </c>
      <c r="J58" s="94" t="s">
        <v>218</v>
      </c>
      <c r="K58" s="95" t="s">
        <v>235</v>
      </c>
      <c r="L58" s="96">
        <v>84</v>
      </c>
      <c r="M58" s="96">
        <f>L58*VLOOKUP(I58,dagsoorttabel2,2,FALSE)</f>
        <v>84</v>
      </c>
      <c r="N58" s="97">
        <f>prodnorm42</f>
        <v>0</v>
      </c>
      <c r="O58" s="41">
        <f>dagwerk42</f>
        <v>0</v>
      </c>
      <c r="P58" s="94" t="s">
        <v>107</v>
      </c>
      <c r="Q58" s="26">
        <f>uurtarief42</f>
        <v>0</v>
      </c>
      <c r="R58" s="96" t="e">
        <f>IF(ISBLANK(N58),0,M58/ROUND(N58,4))</f>
        <v>#DIV/0!</v>
      </c>
      <c r="S58" s="96" t="e">
        <f>IF(ISBLANK(N58),0,R58*ROUND(O58,2))</f>
        <v>#DIV/0!</v>
      </c>
      <c r="T58" s="26" t="e">
        <f>ROUND(Q58,2)*R58</f>
        <v>#DIV/0!</v>
      </c>
      <c r="U58" s="96" t="e">
        <f>R58*dagenperjaar2</f>
        <v>#DIV/0!</v>
      </c>
      <c r="V58" s="27" t="e">
        <f>U58*ROUND(Q58,2)</f>
        <v>#DIV/0!</v>
      </c>
    </row>
    <row r="59" spans="1:22" x14ac:dyDescent="0.35">
      <c r="A59" s="93" t="s">
        <v>803</v>
      </c>
      <c r="B59" s="94" t="s">
        <v>40</v>
      </c>
      <c r="C59" s="94" t="s">
        <v>309</v>
      </c>
      <c r="D59" s="94" t="s">
        <v>906</v>
      </c>
      <c r="E59" s="94" t="s">
        <v>40</v>
      </c>
      <c r="F59" s="95" t="s">
        <v>907</v>
      </c>
      <c r="G59" s="94" t="s">
        <v>908</v>
      </c>
      <c r="H59" s="94" t="s">
        <v>277</v>
      </c>
      <c r="I59" s="94" t="s">
        <v>13</v>
      </c>
      <c r="J59" s="94" t="s">
        <v>218</v>
      </c>
      <c r="K59" s="95" t="s">
        <v>257</v>
      </c>
      <c r="L59" s="96">
        <v>221</v>
      </c>
      <c r="M59" s="96">
        <f>L59*VLOOKUP(I59,dagsoorttabel2,2,FALSE)</f>
        <v>221</v>
      </c>
      <c r="N59" s="97">
        <f>prodnorm50</f>
        <v>0</v>
      </c>
      <c r="O59" s="41">
        <f>dagwerk50</f>
        <v>0</v>
      </c>
      <c r="P59" s="94" t="s">
        <v>107</v>
      </c>
      <c r="Q59" s="26">
        <f>uurtarief50</f>
        <v>0</v>
      </c>
      <c r="R59" s="96" t="e">
        <f>IF(ISBLANK(N59),0,M59/ROUND(N59,4))</f>
        <v>#DIV/0!</v>
      </c>
      <c r="S59" s="96" t="e">
        <f>IF(ISBLANK(N59),0,R59*ROUND(O59,2))</f>
        <v>#DIV/0!</v>
      </c>
      <c r="T59" s="26" t="e">
        <f>ROUND(Q59,2)*R59</f>
        <v>#DIV/0!</v>
      </c>
      <c r="U59" s="96" t="e">
        <f>R59*dagenperjaar2</f>
        <v>#DIV/0!</v>
      </c>
      <c r="V59" s="27" t="e">
        <f>U59*ROUND(Q59,2)</f>
        <v>#DIV/0!</v>
      </c>
    </row>
    <row r="60" spans="1:22" x14ac:dyDescent="0.35">
      <c r="A60" s="93" t="s">
        <v>803</v>
      </c>
      <c r="B60" s="94" t="s">
        <v>40</v>
      </c>
      <c r="C60" s="94" t="s">
        <v>309</v>
      </c>
      <c r="D60" s="94" t="s">
        <v>913</v>
      </c>
      <c r="E60" s="94" t="s">
        <v>40</v>
      </c>
      <c r="F60" s="95" t="s">
        <v>883</v>
      </c>
      <c r="G60" s="94" t="s">
        <v>535</v>
      </c>
      <c r="H60" s="94" t="s">
        <v>268</v>
      </c>
      <c r="I60" s="94" t="s">
        <v>13</v>
      </c>
      <c r="J60" s="94" t="s">
        <v>218</v>
      </c>
      <c r="K60" s="95" t="s">
        <v>235</v>
      </c>
      <c r="L60" s="96">
        <v>60</v>
      </c>
      <c r="M60" s="96">
        <f>L60*VLOOKUP(I60,dagsoorttabel2,2,FALSE)</f>
        <v>60</v>
      </c>
      <c r="N60" s="97">
        <f>prodnorm42</f>
        <v>0</v>
      </c>
      <c r="O60" s="41">
        <f>dagwerk42</f>
        <v>0</v>
      </c>
      <c r="P60" s="94" t="s">
        <v>107</v>
      </c>
      <c r="Q60" s="26">
        <f>uurtarief42</f>
        <v>0</v>
      </c>
      <c r="R60" s="96" t="e">
        <f>IF(ISBLANK(N60),0,M60/ROUND(N60,4))</f>
        <v>#DIV/0!</v>
      </c>
      <c r="S60" s="96" t="e">
        <f>IF(ISBLANK(N60),0,R60*ROUND(O60,2))</f>
        <v>#DIV/0!</v>
      </c>
      <c r="T60" s="26" t="e">
        <f>ROUND(Q60,2)*R60</f>
        <v>#DIV/0!</v>
      </c>
      <c r="U60" s="96" t="e">
        <f>R60*dagenperjaar2</f>
        <v>#DIV/0!</v>
      </c>
      <c r="V60" s="27" t="e">
        <f>U60*ROUND(Q60,2)</f>
        <v>#DIV/0!</v>
      </c>
    </row>
    <row r="61" spans="1:22" x14ac:dyDescent="0.35">
      <c r="A61" s="93" t="s">
        <v>803</v>
      </c>
      <c r="B61" s="94" t="s">
        <v>40</v>
      </c>
      <c r="C61" s="94" t="s">
        <v>309</v>
      </c>
      <c r="D61" s="94" t="s">
        <v>914</v>
      </c>
      <c r="E61" s="94" t="s">
        <v>40</v>
      </c>
      <c r="F61" s="95" t="s">
        <v>915</v>
      </c>
      <c r="G61" s="94" t="s">
        <v>916</v>
      </c>
      <c r="H61" s="94" t="s">
        <v>273</v>
      </c>
      <c r="I61" s="94" t="s">
        <v>13</v>
      </c>
      <c r="J61" s="94" t="s">
        <v>218</v>
      </c>
      <c r="K61" s="95" t="s">
        <v>247</v>
      </c>
      <c r="L61" s="96">
        <v>88</v>
      </c>
      <c r="M61" s="96">
        <f>L61*VLOOKUP(I61,dagsoorttabel2,2,FALSE)</f>
        <v>88</v>
      </c>
      <c r="N61" s="97">
        <f>prodnorm46</f>
        <v>0</v>
      </c>
      <c r="O61" s="41">
        <f>dagwerk46</f>
        <v>0</v>
      </c>
      <c r="P61" s="94" t="s">
        <v>107</v>
      </c>
      <c r="Q61" s="26">
        <f>uurtarief46</f>
        <v>0</v>
      </c>
      <c r="R61" s="96" t="e">
        <f>IF(ISBLANK(N61),0,M61/ROUND(N61,4))</f>
        <v>#DIV/0!</v>
      </c>
      <c r="S61" s="96" t="e">
        <f>IF(ISBLANK(N61),0,R61*ROUND(O61,2))</f>
        <v>#DIV/0!</v>
      </c>
      <c r="T61" s="26" t="e">
        <f>ROUND(Q61,2)*R61</f>
        <v>#DIV/0!</v>
      </c>
      <c r="U61" s="96" t="e">
        <f>R61*dagenperjaar2</f>
        <v>#DIV/0!</v>
      </c>
      <c r="V61" s="27" t="e">
        <f>U61*ROUND(Q61,2)</f>
        <v>#DIV/0!</v>
      </c>
    </row>
    <row r="62" spans="1:22" x14ac:dyDescent="0.35">
      <c r="A62" s="93" t="s">
        <v>803</v>
      </c>
      <c r="B62" s="94" t="s">
        <v>40</v>
      </c>
      <c r="C62" s="94" t="s">
        <v>309</v>
      </c>
      <c r="D62" s="94" t="s">
        <v>917</v>
      </c>
      <c r="E62" s="94" t="s">
        <v>40</v>
      </c>
      <c r="F62" s="95" t="s">
        <v>918</v>
      </c>
      <c r="G62" s="94" t="s">
        <v>535</v>
      </c>
      <c r="H62" s="94" t="s">
        <v>268</v>
      </c>
      <c r="I62" s="94" t="s">
        <v>13</v>
      </c>
      <c r="J62" s="94" t="s">
        <v>218</v>
      </c>
      <c r="K62" s="95" t="s">
        <v>235</v>
      </c>
      <c r="L62" s="96">
        <v>30</v>
      </c>
      <c r="M62" s="96">
        <f>L62*VLOOKUP(I62,dagsoorttabel2,2,FALSE)</f>
        <v>30</v>
      </c>
      <c r="N62" s="97">
        <f>prodnorm42</f>
        <v>0</v>
      </c>
      <c r="O62" s="41">
        <f>dagwerk42</f>
        <v>0</v>
      </c>
      <c r="P62" s="94" t="s">
        <v>107</v>
      </c>
      <c r="Q62" s="26">
        <f>uurtarief42</f>
        <v>0</v>
      </c>
      <c r="R62" s="96" t="e">
        <f>IF(ISBLANK(N62),0,M62/ROUND(N62,4))</f>
        <v>#DIV/0!</v>
      </c>
      <c r="S62" s="96" t="e">
        <f>IF(ISBLANK(N62),0,R62*ROUND(O62,2))</f>
        <v>#DIV/0!</v>
      </c>
      <c r="T62" s="26" t="e">
        <f>ROUND(Q62,2)*R62</f>
        <v>#DIV/0!</v>
      </c>
      <c r="U62" s="96" t="e">
        <f>R62*dagenperjaar2</f>
        <v>#DIV/0!</v>
      </c>
      <c r="V62" s="27" t="e">
        <f>U62*ROUND(Q62,2)</f>
        <v>#DIV/0!</v>
      </c>
    </row>
    <row r="63" spans="1:22" x14ac:dyDescent="0.35">
      <c r="A63" s="93" t="s">
        <v>803</v>
      </c>
      <c r="B63" s="94" t="s">
        <v>40</v>
      </c>
      <c r="C63" s="94" t="s">
        <v>309</v>
      </c>
      <c r="D63" s="94" t="s">
        <v>919</v>
      </c>
      <c r="E63" s="94" t="s">
        <v>40</v>
      </c>
      <c r="F63" s="95" t="s">
        <v>571</v>
      </c>
      <c r="G63" s="94" t="s">
        <v>321</v>
      </c>
      <c r="H63" s="94" t="s">
        <v>270</v>
      </c>
      <c r="I63" s="94" t="s">
        <v>13</v>
      </c>
      <c r="J63" s="94" t="s">
        <v>218</v>
      </c>
      <c r="K63" s="95" t="s">
        <v>243</v>
      </c>
      <c r="L63" s="96">
        <v>5</v>
      </c>
      <c r="M63" s="96">
        <f>L63*VLOOKUP(I63,dagsoorttabel2,2,FALSE)</f>
        <v>5</v>
      </c>
      <c r="N63" s="97">
        <f>prodnorm44</f>
        <v>0</v>
      </c>
      <c r="O63" s="41">
        <f>dagwerk44</f>
        <v>0</v>
      </c>
      <c r="P63" s="94" t="s">
        <v>107</v>
      </c>
      <c r="Q63" s="26">
        <f>uurtarief44</f>
        <v>0</v>
      </c>
      <c r="R63" s="96" t="e">
        <f>IF(ISBLANK(N63),0,M63/ROUND(N63,4))</f>
        <v>#DIV/0!</v>
      </c>
      <c r="S63" s="96" t="e">
        <f>IF(ISBLANK(N63),0,R63*ROUND(O63,2))</f>
        <v>#DIV/0!</v>
      </c>
      <c r="T63" s="26" t="e">
        <f>ROUND(Q63,2)*R63</f>
        <v>#DIV/0!</v>
      </c>
      <c r="U63" s="96" t="e">
        <f>R63*dagenperjaar2</f>
        <v>#DIV/0!</v>
      </c>
      <c r="V63" s="27" t="e">
        <f>U63*ROUND(Q63,2)</f>
        <v>#DIV/0!</v>
      </c>
    </row>
    <row r="64" spans="1:22" x14ac:dyDescent="0.35">
      <c r="A64" s="93" t="s">
        <v>803</v>
      </c>
      <c r="B64" s="94" t="s">
        <v>40</v>
      </c>
      <c r="C64" s="94" t="s">
        <v>309</v>
      </c>
      <c r="D64" s="94" t="s">
        <v>919</v>
      </c>
      <c r="E64" s="94" t="s">
        <v>40</v>
      </c>
      <c r="F64" s="95" t="s">
        <v>571</v>
      </c>
      <c r="G64" s="94" t="s">
        <v>321</v>
      </c>
      <c r="H64" s="94" t="s">
        <v>271</v>
      </c>
      <c r="I64" s="94" t="s">
        <v>23</v>
      </c>
      <c r="J64" s="94" t="s">
        <v>218</v>
      </c>
      <c r="K64" s="95" t="s">
        <v>272</v>
      </c>
      <c r="L64" s="96">
        <v>5</v>
      </c>
      <c r="M64" s="96">
        <f>L64*VLOOKUP(I64,dagsoorttabel2,2,FALSE)</f>
        <v>15</v>
      </c>
      <c r="N64" s="97">
        <f>prodnorm45</f>
        <v>0</v>
      </c>
      <c r="O64" s="41">
        <f>dagwerk45</f>
        <v>0</v>
      </c>
      <c r="P64" s="94" t="s">
        <v>107</v>
      </c>
      <c r="Q64" s="26">
        <f>uurtarief45</f>
        <v>0</v>
      </c>
      <c r="R64" s="96" t="e">
        <f>IF(ISBLANK(N64),0,M64/ROUND(N64,4))</f>
        <v>#DIV/0!</v>
      </c>
      <c r="S64" s="96" t="e">
        <f>IF(ISBLANK(N64),0,R64*ROUND(O64,2))</f>
        <v>#DIV/0!</v>
      </c>
      <c r="T64" s="26" t="e">
        <f>ROUND(Q64,2)*R64</f>
        <v>#DIV/0!</v>
      </c>
      <c r="U64" s="96" t="e">
        <f>R64*dagenperjaar2</f>
        <v>#DIV/0!</v>
      </c>
      <c r="V64" s="27" t="e">
        <f>U64*ROUND(Q64,2)</f>
        <v>#DIV/0!</v>
      </c>
    </row>
    <row r="65" spans="1:22" x14ac:dyDescent="0.35">
      <c r="A65" s="93" t="s">
        <v>803</v>
      </c>
      <c r="B65" s="94" t="s">
        <v>40</v>
      </c>
      <c r="C65" s="94" t="s">
        <v>309</v>
      </c>
      <c r="D65" s="94" t="s">
        <v>921</v>
      </c>
      <c r="E65" s="94" t="s">
        <v>40</v>
      </c>
      <c r="F65" s="95" t="s">
        <v>568</v>
      </c>
      <c r="G65" s="94" t="s">
        <v>321</v>
      </c>
      <c r="H65" s="94" t="s">
        <v>270</v>
      </c>
      <c r="I65" s="94" t="s">
        <v>13</v>
      </c>
      <c r="J65" s="94" t="s">
        <v>218</v>
      </c>
      <c r="K65" s="95" t="s">
        <v>243</v>
      </c>
      <c r="L65" s="96">
        <v>18</v>
      </c>
      <c r="M65" s="96">
        <f>L65*VLOOKUP(I65,dagsoorttabel2,2,FALSE)</f>
        <v>18</v>
      </c>
      <c r="N65" s="97">
        <f>prodnorm44</f>
        <v>0</v>
      </c>
      <c r="O65" s="41">
        <f>dagwerk44</f>
        <v>0</v>
      </c>
      <c r="P65" s="94" t="s">
        <v>107</v>
      </c>
      <c r="Q65" s="26">
        <f>uurtarief44</f>
        <v>0</v>
      </c>
      <c r="R65" s="96" t="e">
        <f>IF(ISBLANK(N65),0,M65/ROUND(N65,4))</f>
        <v>#DIV/0!</v>
      </c>
      <c r="S65" s="96" t="e">
        <f>IF(ISBLANK(N65),0,R65*ROUND(O65,2))</f>
        <v>#DIV/0!</v>
      </c>
      <c r="T65" s="26" t="e">
        <f>ROUND(Q65,2)*R65</f>
        <v>#DIV/0!</v>
      </c>
      <c r="U65" s="96" t="e">
        <f>R65*dagenperjaar2</f>
        <v>#DIV/0!</v>
      </c>
      <c r="V65" s="27" t="e">
        <f>U65*ROUND(Q65,2)</f>
        <v>#DIV/0!</v>
      </c>
    </row>
    <row r="66" spans="1:22" x14ac:dyDescent="0.35">
      <c r="A66" s="93" t="s">
        <v>803</v>
      </c>
      <c r="B66" s="94" t="s">
        <v>40</v>
      </c>
      <c r="C66" s="94" t="s">
        <v>309</v>
      </c>
      <c r="D66" s="94" t="s">
        <v>921</v>
      </c>
      <c r="E66" s="94" t="s">
        <v>40</v>
      </c>
      <c r="F66" s="95" t="s">
        <v>568</v>
      </c>
      <c r="G66" s="94" t="s">
        <v>321</v>
      </c>
      <c r="H66" s="94" t="s">
        <v>271</v>
      </c>
      <c r="I66" s="94" t="s">
        <v>23</v>
      </c>
      <c r="J66" s="94" t="s">
        <v>218</v>
      </c>
      <c r="K66" s="95" t="s">
        <v>272</v>
      </c>
      <c r="L66" s="96">
        <v>18</v>
      </c>
      <c r="M66" s="96">
        <f>L66*VLOOKUP(I66,dagsoorttabel2,2,FALSE)</f>
        <v>54</v>
      </c>
      <c r="N66" s="97">
        <f>prodnorm45</f>
        <v>0</v>
      </c>
      <c r="O66" s="41">
        <f>dagwerk45</f>
        <v>0</v>
      </c>
      <c r="P66" s="94" t="s">
        <v>107</v>
      </c>
      <c r="Q66" s="26">
        <f>uurtarief45</f>
        <v>0</v>
      </c>
      <c r="R66" s="96" t="e">
        <f>IF(ISBLANK(N66),0,M66/ROUND(N66,4))</f>
        <v>#DIV/0!</v>
      </c>
      <c r="S66" s="96" t="e">
        <f>IF(ISBLANK(N66),0,R66*ROUND(O66,2))</f>
        <v>#DIV/0!</v>
      </c>
      <c r="T66" s="26" t="e">
        <f>ROUND(Q66,2)*R66</f>
        <v>#DIV/0!</v>
      </c>
      <c r="U66" s="96" t="e">
        <f>R66*dagenperjaar2</f>
        <v>#DIV/0!</v>
      </c>
      <c r="V66" s="27" t="e">
        <f>U66*ROUND(Q66,2)</f>
        <v>#DIV/0!</v>
      </c>
    </row>
    <row r="67" spans="1:22" x14ac:dyDescent="0.35">
      <c r="A67" s="93" t="s">
        <v>803</v>
      </c>
      <c r="B67" s="94" t="s">
        <v>40</v>
      </c>
      <c r="C67" s="94" t="s">
        <v>309</v>
      </c>
      <c r="D67" s="94" t="s">
        <v>927</v>
      </c>
      <c r="E67" s="94" t="s">
        <v>40</v>
      </c>
      <c r="F67" s="95" t="s">
        <v>883</v>
      </c>
      <c r="G67" s="94" t="s">
        <v>535</v>
      </c>
      <c r="H67" s="94" t="s">
        <v>268</v>
      </c>
      <c r="I67" s="94" t="s">
        <v>13</v>
      </c>
      <c r="J67" s="94" t="s">
        <v>218</v>
      </c>
      <c r="K67" s="95" t="s">
        <v>235</v>
      </c>
      <c r="L67" s="96">
        <v>91</v>
      </c>
      <c r="M67" s="96">
        <f>L67*VLOOKUP(I67,dagsoorttabel2,2,FALSE)</f>
        <v>91</v>
      </c>
      <c r="N67" s="97">
        <f>prodnorm42</f>
        <v>0</v>
      </c>
      <c r="O67" s="41">
        <f>dagwerk42</f>
        <v>0</v>
      </c>
      <c r="P67" s="94" t="s">
        <v>107</v>
      </c>
      <c r="Q67" s="26">
        <f>uurtarief42</f>
        <v>0</v>
      </c>
      <c r="R67" s="96" t="e">
        <f>IF(ISBLANK(N67),0,M67/ROUND(N67,4))</f>
        <v>#DIV/0!</v>
      </c>
      <c r="S67" s="96" t="e">
        <f>IF(ISBLANK(N67),0,R67*ROUND(O67,2))</f>
        <v>#DIV/0!</v>
      </c>
      <c r="T67" s="26" t="e">
        <f>ROUND(Q67,2)*R67</f>
        <v>#DIV/0!</v>
      </c>
      <c r="U67" s="96" t="e">
        <f>R67*dagenperjaar2</f>
        <v>#DIV/0!</v>
      </c>
      <c r="V67" s="27" t="e">
        <f>U67*ROUND(Q67,2)</f>
        <v>#DIV/0!</v>
      </c>
    </row>
    <row r="68" spans="1:22" x14ac:dyDescent="0.35">
      <c r="A68" s="93" t="s">
        <v>803</v>
      </c>
      <c r="B68" s="94" t="s">
        <v>40</v>
      </c>
      <c r="C68" s="94" t="s">
        <v>309</v>
      </c>
      <c r="D68" s="94" t="s">
        <v>930</v>
      </c>
      <c r="E68" s="94" t="s">
        <v>40</v>
      </c>
      <c r="F68" s="95" t="s">
        <v>883</v>
      </c>
      <c r="G68" s="94" t="s">
        <v>535</v>
      </c>
      <c r="H68" s="94" t="s">
        <v>268</v>
      </c>
      <c r="I68" s="94" t="s">
        <v>13</v>
      </c>
      <c r="J68" s="94" t="s">
        <v>218</v>
      </c>
      <c r="K68" s="95" t="s">
        <v>235</v>
      </c>
      <c r="L68" s="96">
        <v>33</v>
      </c>
      <c r="M68" s="96">
        <f>L68*VLOOKUP(I68,dagsoorttabel2,2,FALSE)</f>
        <v>33</v>
      </c>
      <c r="N68" s="97">
        <f>prodnorm42</f>
        <v>0</v>
      </c>
      <c r="O68" s="41">
        <f>dagwerk42</f>
        <v>0</v>
      </c>
      <c r="P68" s="94" t="s">
        <v>107</v>
      </c>
      <c r="Q68" s="26">
        <f>uurtarief42</f>
        <v>0</v>
      </c>
      <c r="R68" s="96" t="e">
        <f>IF(ISBLANK(N68),0,M68/ROUND(N68,4))</f>
        <v>#DIV/0!</v>
      </c>
      <c r="S68" s="96" t="e">
        <f>IF(ISBLANK(N68),0,R68*ROUND(O68,2))</f>
        <v>#DIV/0!</v>
      </c>
      <c r="T68" s="26" t="e">
        <f>ROUND(Q68,2)*R68</f>
        <v>#DIV/0!</v>
      </c>
      <c r="U68" s="96" t="e">
        <f>R68*dagenperjaar2</f>
        <v>#DIV/0!</v>
      </c>
      <c r="V68" s="27" t="e">
        <f>U68*ROUND(Q68,2)</f>
        <v>#DIV/0!</v>
      </c>
    </row>
    <row r="69" spans="1:22" x14ac:dyDescent="0.35">
      <c r="A69" s="93" t="s">
        <v>803</v>
      </c>
      <c r="B69" s="94" t="s">
        <v>40</v>
      </c>
      <c r="C69" s="94" t="s">
        <v>309</v>
      </c>
      <c r="D69" s="94" t="s">
        <v>931</v>
      </c>
      <c r="E69" s="94" t="s">
        <v>40</v>
      </c>
      <c r="F69" s="95" t="s">
        <v>883</v>
      </c>
      <c r="G69" s="94" t="s">
        <v>535</v>
      </c>
      <c r="H69" s="94" t="s">
        <v>268</v>
      </c>
      <c r="I69" s="94" t="s">
        <v>13</v>
      </c>
      <c r="J69" s="94" t="s">
        <v>218</v>
      </c>
      <c r="K69" s="95" t="s">
        <v>235</v>
      </c>
      <c r="L69" s="96">
        <v>32</v>
      </c>
      <c r="M69" s="96">
        <f>L69*VLOOKUP(I69,dagsoorttabel2,2,FALSE)</f>
        <v>32</v>
      </c>
      <c r="N69" s="97">
        <f>prodnorm42</f>
        <v>0</v>
      </c>
      <c r="O69" s="41">
        <f>dagwerk42</f>
        <v>0</v>
      </c>
      <c r="P69" s="94" t="s">
        <v>107</v>
      </c>
      <c r="Q69" s="26">
        <f>uurtarief42</f>
        <v>0</v>
      </c>
      <c r="R69" s="96" t="e">
        <f>IF(ISBLANK(N69),0,M69/ROUND(N69,4))</f>
        <v>#DIV/0!</v>
      </c>
      <c r="S69" s="96" t="e">
        <f>IF(ISBLANK(N69),0,R69*ROUND(O69,2))</f>
        <v>#DIV/0!</v>
      </c>
      <c r="T69" s="26" t="e">
        <f>ROUND(Q69,2)*R69</f>
        <v>#DIV/0!</v>
      </c>
      <c r="U69" s="96" t="e">
        <f>R69*dagenperjaar2</f>
        <v>#DIV/0!</v>
      </c>
      <c r="V69" s="27" t="e">
        <f>U69*ROUND(Q69,2)</f>
        <v>#DIV/0!</v>
      </c>
    </row>
    <row r="70" spans="1:22" x14ac:dyDescent="0.35">
      <c r="A70" s="93" t="s">
        <v>803</v>
      </c>
      <c r="B70" s="94" t="s">
        <v>40</v>
      </c>
      <c r="C70" s="94" t="s">
        <v>309</v>
      </c>
      <c r="D70" s="94" t="s">
        <v>932</v>
      </c>
      <c r="E70" s="94" t="s">
        <v>40</v>
      </c>
      <c r="F70" s="95" t="s">
        <v>883</v>
      </c>
      <c r="G70" s="94" t="s">
        <v>535</v>
      </c>
      <c r="H70" s="94" t="s">
        <v>268</v>
      </c>
      <c r="I70" s="94" t="s">
        <v>13</v>
      </c>
      <c r="J70" s="94" t="s">
        <v>218</v>
      </c>
      <c r="K70" s="95" t="s">
        <v>235</v>
      </c>
      <c r="L70" s="96">
        <v>32</v>
      </c>
      <c r="M70" s="96">
        <f>L70*VLOOKUP(I70,dagsoorttabel2,2,FALSE)</f>
        <v>32</v>
      </c>
      <c r="N70" s="97">
        <f>prodnorm42</f>
        <v>0</v>
      </c>
      <c r="O70" s="41">
        <f>dagwerk42</f>
        <v>0</v>
      </c>
      <c r="P70" s="94" t="s">
        <v>107</v>
      </c>
      <c r="Q70" s="26">
        <f>uurtarief42</f>
        <v>0</v>
      </c>
      <c r="R70" s="96" t="e">
        <f>IF(ISBLANK(N70),0,M70/ROUND(N70,4))</f>
        <v>#DIV/0!</v>
      </c>
      <c r="S70" s="96" t="e">
        <f>IF(ISBLANK(N70),0,R70*ROUND(O70,2))</f>
        <v>#DIV/0!</v>
      </c>
      <c r="T70" s="26" t="e">
        <f>ROUND(Q70,2)*R70</f>
        <v>#DIV/0!</v>
      </c>
      <c r="U70" s="96" t="e">
        <f>R70*dagenperjaar2</f>
        <v>#DIV/0!</v>
      </c>
      <c r="V70" s="27" t="e">
        <f>U70*ROUND(Q70,2)</f>
        <v>#DIV/0!</v>
      </c>
    </row>
    <row r="71" spans="1:22" x14ac:dyDescent="0.35">
      <c r="A71" s="93" t="s">
        <v>803</v>
      </c>
      <c r="B71" s="94" t="s">
        <v>40</v>
      </c>
      <c r="C71" s="94" t="s">
        <v>309</v>
      </c>
      <c r="D71" s="94" t="s">
        <v>933</v>
      </c>
      <c r="E71" s="94" t="s">
        <v>40</v>
      </c>
      <c r="F71" s="95" t="s">
        <v>883</v>
      </c>
      <c r="G71" s="94" t="s">
        <v>535</v>
      </c>
      <c r="H71" s="94" t="s">
        <v>268</v>
      </c>
      <c r="I71" s="94" t="s">
        <v>13</v>
      </c>
      <c r="J71" s="94" t="s">
        <v>218</v>
      </c>
      <c r="K71" s="95" t="s">
        <v>235</v>
      </c>
      <c r="L71" s="96">
        <v>32</v>
      </c>
      <c r="M71" s="96">
        <f>L71*VLOOKUP(I71,dagsoorttabel2,2,FALSE)</f>
        <v>32</v>
      </c>
      <c r="N71" s="97">
        <f>prodnorm42</f>
        <v>0</v>
      </c>
      <c r="O71" s="41">
        <f>dagwerk42</f>
        <v>0</v>
      </c>
      <c r="P71" s="94" t="s">
        <v>107</v>
      </c>
      <c r="Q71" s="26">
        <f>uurtarief42</f>
        <v>0</v>
      </c>
      <c r="R71" s="96" t="e">
        <f>IF(ISBLANK(N71),0,M71/ROUND(N71,4))</f>
        <v>#DIV/0!</v>
      </c>
      <c r="S71" s="96" t="e">
        <f>IF(ISBLANK(N71),0,R71*ROUND(O71,2))</f>
        <v>#DIV/0!</v>
      </c>
      <c r="T71" s="26" t="e">
        <f>ROUND(Q71,2)*R71</f>
        <v>#DIV/0!</v>
      </c>
      <c r="U71" s="96" t="e">
        <f>R71*dagenperjaar2</f>
        <v>#DIV/0!</v>
      </c>
      <c r="V71" s="27" t="e">
        <f>U71*ROUND(Q71,2)</f>
        <v>#DIV/0!</v>
      </c>
    </row>
    <row r="72" spans="1:22" x14ac:dyDescent="0.35">
      <c r="A72" s="93" t="s">
        <v>803</v>
      </c>
      <c r="B72" s="94" t="s">
        <v>40</v>
      </c>
      <c r="C72" s="94" t="s">
        <v>309</v>
      </c>
      <c r="D72" s="94" t="s">
        <v>934</v>
      </c>
      <c r="E72" s="94" t="s">
        <v>40</v>
      </c>
      <c r="F72" s="95" t="s">
        <v>883</v>
      </c>
      <c r="G72" s="94" t="s">
        <v>535</v>
      </c>
      <c r="H72" s="94" t="s">
        <v>268</v>
      </c>
      <c r="I72" s="94" t="s">
        <v>13</v>
      </c>
      <c r="J72" s="94" t="s">
        <v>218</v>
      </c>
      <c r="K72" s="95" t="s">
        <v>235</v>
      </c>
      <c r="L72" s="96">
        <v>100</v>
      </c>
      <c r="M72" s="96">
        <f>L72*VLOOKUP(I72,dagsoorttabel2,2,FALSE)</f>
        <v>100</v>
      </c>
      <c r="N72" s="97">
        <f>prodnorm42</f>
        <v>0</v>
      </c>
      <c r="O72" s="41">
        <f>dagwerk42</f>
        <v>0</v>
      </c>
      <c r="P72" s="94" t="s">
        <v>107</v>
      </c>
      <c r="Q72" s="26">
        <f>uurtarief42</f>
        <v>0</v>
      </c>
      <c r="R72" s="96" t="e">
        <f>IF(ISBLANK(N72),0,M72/ROUND(N72,4))</f>
        <v>#DIV/0!</v>
      </c>
      <c r="S72" s="96" t="e">
        <f>IF(ISBLANK(N72),0,R72*ROUND(O72,2))</f>
        <v>#DIV/0!</v>
      </c>
      <c r="T72" s="26" t="e">
        <f>ROUND(Q72,2)*R72</f>
        <v>#DIV/0!</v>
      </c>
      <c r="U72" s="96" t="e">
        <f>R72*dagenperjaar2</f>
        <v>#DIV/0!</v>
      </c>
      <c r="V72" s="27" t="e">
        <f>U72*ROUND(Q72,2)</f>
        <v>#DIV/0!</v>
      </c>
    </row>
    <row r="73" spans="1:22" x14ac:dyDescent="0.35">
      <c r="A73" s="93" t="s">
        <v>803</v>
      </c>
      <c r="B73" s="94" t="s">
        <v>40</v>
      </c>
      <c r="C73" s="94" t="s">
        <v>309</v>
      </c>
      <c r="D73" s="94" t="s">
        <v>935</v>
      </c>
      <c r="E73" s="94" t="s">
        <v>40</v>
      </c>
      <c r="F73" s="95" t="s">
        <v>883</v>
      </c>
      <c r="G73" s="94" t="s">
        <v>535</v>
      </c>
      <c r="H73" s="94" t="s">
        <v>268</v>
      </c>
      <c r="I73" s="94" t="s">
        <v>13</v>
      </c>
      <c r="J73" s="94" t="s">
        <v>218</v>
      </c>
      <c r="K73" s="95" t="s">
        <v>235</v>
      </c>
      <c r="L73" s="96">
        <v>226</v>
      </c>
      <c r="M73" s="96">
        <f>L73*VLOOKUP(I73,dagsoorttabel2,2,FALSE)</f>
        <v>226</v>
      </c>
      <c r="N73" s="97">
        <f>prodnorm42</f>
        <v>0</v>
      </c>
      <c r="O73" s="41">
        <f>dagwerk42</f>
        <v>0</v>
      </c>
      <c r="P73" s="94" t="s">
        <v>107</v>
      </c>
      <c r="Q73" s="26">
        <f>uurtarief42</f>
        <v>0</v>
      </c>
      <c r="R73" s="96" t="e">
        <f>IF(ISBLANK(N73),0,M73/ROUND(N73,4))</f>
        <v>#DIV/0!</v>
      </c>
      <c r="S73" s="96" t="e">
        <f>IF(ISBLANK(N73),0,R73*ROUND(O73,2))</f>
        <v>#DIV/0!</v>
      </c>
      <c r="T73" s="26" t="e">
        <f>ROUND(Q73,2)*R73</f>
        <v>#DIV/0!</v>
      </c>
      <c r="U73" s="96" t="e">
        <f>R73*dagenperjaar2</f>
        <v>#DIV/0!</v>
      </c>
      <c r="V73" s="27" t="e">
        <f>U73*ROUND(Q73,2)</f>
        <v>#DIV/0!</v>
      </c>
    </row>
    <row r="74" spans="1:22" x14ac:dyDescent="0.35">
      <c r="A74" s="93" t="s">
        <v>803</v>
      </c>
      <c r="B74" s="94" t="s">
        <v>40</v>
      </c>
      <c r="C74" s="94" t="s">
        <v>309</v>
      </c>
      <c r="D74" s="94" t="s">
        <v>936</v>
      </c>
      <c r="E74" s="94" t="s">
        <v>40</v>
      </c>
      <c r="F74" s="95" t="s">
        <v>883</v>
      </c>
      <c r="G74" s="94" t="s">
        <v>535</v>
      </c>
      <c r="H74" s="94" t="s">
        <v>268</v>
      </c>
      <c r="I74" s="94" t="s">
        <v>13</v>
      </c>
      <c r="J74" s="94" t="s">
        <v>218</v>
      </c>
      <c r="K74" s="95" t="s">
        <v>235</v>
      </c>
      <c r="L74" s="96">
        <v>60</v>
      </c>
      <c r="M74" s="96">
        <f>L74*VLOOKUP(I74,dagsoorttabel2,2,FALSE)</f>
        <v>60</v>
      </c>
      <c r="N74" s="97">
        <f>prodnorm42</f>
        <v>0</v>
      </c>
      <c r="O74" s="41">
        <f>dagwerk42</f>
        <v>0</v>
      </c>
      <c r="P74" s="94" t="s">
        <v>107</v>
      </c>
      <c r="Q74" s="26">
        <f>uurtarief42</f>
        <v>0</v>
      </c>
      <c r="R74" s="96" t="e">
        <f>IF(ISBLANK(N74),0,M74/ROUND(N74,4))</f>
        <v>#DIV/0!</v>
      </c>
      <c r="S74" s="96" t="e">
        <f>IF(ISBLANK(N74),0,R74*ROUND(O74,2))</f>
        <v>#DIV/0!</v>
      </c>
      <c r="T74" s="26" t="e">
        <f>ROUND(Q74,2)*R74</f>
        <v>#DIV/0!</v>
      </c>
      <c r="U74" s="96" t="e">
        <f>R74*dagenperjaar2</f>
        <v>#DIV/0!</v>
      </c>
      <c r="V74" s="27" t="e">
        <f>U74*ROUND(Q74,2)</f>
        <v>#DIV/0!</v>
      </c>
    </row>
    <row r="75" spans="1:22" x14ac:dyDescent="0.35">
      <c r="A75" s="93" t="s">
        <v>803</v>
      </c>
      <c r="B75" s="94" t="s">
        <v>40</v>
      </c>
      <c r="C75" s="94" t="s">
        <v>309</v>
      </c>
      <c r="D75" s="94" t="s">
        <v>937</v>
      </c>
      <c r="E75" s="94" t="s">
        <v>40</v>
      </c>
      <c r="F75" s="95" t="s">
        <v>883</v>
      </c>
      <c r="G75" s="94" t="s">
        <v>535</v>
      </c>
      <c r="H75" s="94" t="s">
        <v>268</v>
      </c>
      <c r="I75" s="94" t="s">
        <v>13</v>
      </c>
      <c r="J75" s="94" t="s">
        <v>218</v>
      </c>
      <c r="K75" s="95" t="s">
        <v>235</v>
      </c>
      <c r="L75" s="96">
        <v>60</v>
      </c>
      <c r="M75" s="96">
        <f>L75*VLOOKUP(I75,dagsoorttabel2,2,FALSE)</f>
        <v>60</v>
      </c>
      <c r="N75" s="97">
        <f>prodnorm42</f>
        <v>0</v>
      </c>
      <c r="O75" s="41">
        <f>dagwerk42</f>
        <v>0</v>
      </c>
      <c r="P75" s="94" t="s">
        <v>107</v>
      </c>
      <c r="Q75" s="26">
        <f>uurtarief42</f>
        <v>0</v>
      </c>
      <c r="R75" s="96" t="e">
        <f>IF(ISBLANK(N75),0,M75/ROUND(N75,4))</f>
        <v>#DIV/0!</v>
      </c>
      <c r="S75" s="96" t="e">
        <f>IF(ISBLANK(N75),0,R75*ROUND(O75,2))</f>
        <v>#DIV/0!</v>
      </c>
      <c r="T75" s="26" t="e">
        <f>ROUND(Q75,2)*R75</f>
        <v>#DIV/0!</v>
      </c>
      <c r="U75" s="96" t="e">
        <f>R75*dagenperjaar2</f>
        <v>#DIV/0!</v>
      </c>
      <c r="V75" s="27" t="e">
        <f>U75*ROUND(Q75,2)</f>
        <v>#DIV/0!</v>
      </c>
    </row>
    <row r="76" spans="1:22" x14ac:dyDescent="0.35">
      <c r="A76" s="93" t="s">
        <v>803</v>
      </c>
      <c r="B76" s="94" t="s">
        <v>40</v>
      </c>
      <c r="C76" s="94" t="s">
        <v>309</v>
      </c>
      <c r="D76" s="94" t="s">
        <v>938</v>
      </c>
      <c r="E76" s="94" t="s">
        <v>40</v>
      </c>
      <c r="F76" s="95" t="s">
        <v>883</v>
      </c>
      <c r="G76" s="94" t="s">
        <v>535</v>
      </c>
      <c r="H76" s="94" t="s">
        <v>268</v>
      </c>
      <c r="I76" s="94" t="s">
        <v>13</v>
      </c>
      <c r="J76" s="94" t="s">
        <v>218</v>
      </c>
      <c r="K76" s="95" t="s">
        <v>235</v>
      </c>
      <c r="L76" s="96">
        <v>60</v>
      </c>
      <c r="M76" s="96">
        <f>L76*VLOOKUP(I76,dagsoorttabel2,2,FALSE)</f>
        <v>60</v>
      </c>
      <c r="N76" s="97">
        <f>prodnorm42</f>
        <v>0</v>
      </c>
      <c r="O76" s="41">
        <f>dagwerk42</f>
        <v>0</v>
      </c>
      <c r="P76" s="94" t="s">
        <v>107</v>
      </c>
      <c r="Q76" s="26">
        <f>uurtarief42</f>
        <v>0</v>
      </c>
      <c r="R76" s="96" t="e">
        <f>IF(ISBLANK(N76),0,M76/ROUND(N76,4))</f>
        <v>#DIV/0!</v>
      </c>
      <c r="S76" s="96" t="e">
        <f>IF(ISBLANK(N76),0,R76*ROUND(O76,2))</f>
        <v>#DIV/0!</v>
      </c>
      <c r="T76" s="26" t="e">
        <f>ROUND(Q76,2)*R76</f>
        <v>#DIV/0!</v>
      </c>
      <c r="U76" s="96" t="e">
        <f>R76*dagenperjaar2</f>
        <v>#DIV/0!</v>
      </c>
      <c r="V76" s="27" t="e">
        <f>U76*ROUND(Q76,2)</f>
        <v>#DIV/0!</v>
      </c>
    </row>
    <row r="77" spans="1:22" x14ac:dyDescent="0.35">
      <c r="A77" s="93" t="s">
        <v>803</v>
      </c>
      <c r="B77" s="94" t="s">
        <v>40</v>
      </c>
      <c r="C77" s="94" t="s">
        <v>309</v>
      </c>
      <c r="D77" s="94" t="s">
        <v>939</v>
      </c>
      <c r="E77" s="94" t="s">
        <v>40</v>
      </c>
      <c r="F77" s="95" t="s">
        <v>883</v>
      </c>
      <c r="G77" s="94" t="s">
        <v>535</v>
      </c>
      <c r="H77" s="94" t="s">
        <v>268</v>
      </c>
      <c r="I77" s="94" t="s">
        <v>13</v>
      </c>
      <c r="J77" s="94" t="s">
        <v>218</v>
      </c>
      <c r="K77" s="95" t="s">
        <v>235</v>
      </c>
      <c r="L77" s="96">
        <v>100</v>
      </c>
      <c r="M77" s="96">
        <f>L77*VLOOKUP(I77,dagsoorttabel2,2,FALSE)</f>
        <v>100</v>
      </c>
      <c r="N77" s="97">
        <f>prodnorm42</f>
        <v>0</v>
      </c>
      <c r="O77" s="41">
        <f>dagwerk42</f>
        <v>0</v>
      </c>
      <c r="P77" s="94" t="s">
        <v>107</v>
      </c>
      <c r="Q77" s="26">
        <f>uurtarief42</f>
        <v>0</v>
      </c>
      <c r="R77" s="96" t="e">
        <f>IF(ISBLANK(N77),0,M77/ROUND(N77,4))</f>
        <v>#DIV/0!</v>
      </c>
      <c r="S77" s="96" t="e">
        <f>IF(ISBLANK(N77),0,R77*ROUND(O77,2))</f>
        <v>#DIV/0!</v>
      </c>
      <c r="T77" s="26" t="e">
        <f>ROUND(Q77,2)*R77</f>
        <v>#DIV/0!</v>
      </c>
      <c r="U77" s="96" t="e">
        <f>R77*dagenperjaar2</f>
        <v>#DIV/0!</v>
      </c>
      <c r="V77" s="27" t="e">
        <f>U77*ROUND(Q77,2)</f>
        <v>#DIV/0!</v>
      </c>
    </row>
    <row r="78" spans="1:22" x14ac:dyDescent="0.35">
      <c r="A78" s="93" t="s">
        <v>803</v>
      </c>
      <c r="B78" s="94" t="s">
        <v>40</v>
      </c>
      <c r="C78" s="94" t="s">
        <v>309</v>
      </c>
      <c r="D78" s="94" t="s">
        <v>940</v>
      </c>
      <c r="E78" s="94" t="s">
        <v>40</v>
      </c>
      <c r="F78" s="95" t="s">
        <v>883</v>
      </c>
      <c r="G78" s="94" t="s">
        <v>535</v>
      </c>
      <c r="H78" s="94" t="s">
        <v>268</v>
      </c>
      <c r="I78" s="94" t="s">
        <v>13</v>
      </c>
      <c r="J78" s="94" t="s">
        <v>218</v>
      </c>
      <c r="K78" s="95" t="s">
        <v>235</v>
      </c>
      <c r="L78" s="96">
        <v>84</v>
      </c>
      <c r="M78" s="96">
        <f>L78*VLOOKUP(I78,dagsoorttabel2,2,FALSE)</f>
        <v>84</v>
      </c>
      <c r="N78" s="97">
        <f>prodnorm42</f>
        <v>0</v>
      </c>
      <c r="O78" s="41">
        <f>dagwerk42</f>
        <v>0</v>
      </c>
      <c r="P78" s="94" t="s">
        <v>107</v>
      </c>
      <c r="Q78" s="26">
        <f>uurtarief42</f>
        <v>0</v>
      </c>
      <c r="R78" s="96" t="e">
        <f>IF(ISBLANK(N78),0,M78/ROUND(N78,4))</f>
        <v>#DIV/0!</v>
      </c>
      <c r="S78" s="96" t="e">
        <f>IF(ISBLANK(N78),0,R78*ROUND(O78,2))</f>
        <v>#DIV/0!</v>
      </c>
      <c r="T78" s="26" t="e">
        <f>ROUND(Q78,2)*R78</f>
        <v>#DIV/0!</v>
      </c>
      <c r="U78" s="96" t="e">
        <f>R78*dagenperjaar2</f>
        <v>#DIV/0!</v>
      </c>
      <c r="V78" s="27" t="e">
        <f>U78*ROUND(Q78,2)</f>
        <v>#DIV/0!</v>
      </c>
    </row>
    <row r="79" spans="1:22" x14ac:dyDescent="0.35">
      <c r="A79" s="93" t="s">
        <v>803</v>
      </c>
      <c r="B79" s="94" t="s">
        <v>40</v>
      </c>
      <c r="C79" s="94" t="s">
        <v>309</v>
      </c>
      <c r="D79" s="94" t="s">
        <v>941</v>
      </c>
      <c r="E79" s="94" t="s">
        <v>40</v>
      </c>
      <c r="F79" s="95" t="s">
        <v>883</v>
      </c>
      <c r="G79" s="94" t="s">
        <v>535</v>
      </c>
      <c r="H79" s="94" t="s">
        <v>268</v>
      </c>
      <c r="I79" s="94" t="s">
        <v>13</v>
      </c>
      <c r="J79" s="94" t="s">
        <v>218</v>
      </c>
      <c r="K79" s="95" t="s">
        <v>235</v>
      </c>
      <c r="L79" s="96">
        <v>33</v>
      </c>
      <c r="M79" s="96">
        <f>L79*VLOOKUP(I79,dagsoorttabel2,2,FALSE)</f>
        <v>33</v>
      </c>
      <c r="N79" s="97">
        <f>prodnorm42</f>
        <v>0</v>
      </c>
      <c r="O79" s="41">
        <f>dagwerk42</f>
        <v>0</v>
      </c>
      <c r="P79" s="94" t="s">
        <v>107</v>
      </c>
      <c r="Q79" s="26">
        <f>uurtarief42</f>
        <v>0</v>
      </c>
      <c r="R79" s="96" t="e">
        <f>IF(ISBLANK(N79),0,M79/ROUND(N79,4))</f>
        <v>#DIV/0!</v>
      </c>
      <c r="S79" s="96" t="e">
        <f>IF(ISBLANK(N79),0,R79*ROUND(O79,2))</f>
        <v>#DIV/0!</v>
      </c>
      <c r="T79" s="26" t="e">
        <f>ROUND(Q79,2)*R79</f>
        <v>#DIV/0!</v>
      </c>
      <c r="U79" s="96" t="e">
        <f>R79*dagenperjaar2</f>
        <v>#DIV/0!</v>
      </c>
      <c r="V79" s="27" t="e">
        <f>U79*ROUND(Q79,2)</f>
        <v>#DIV/0!</v>
      </c>
    </row>
    <row r="80" spans="1:22" x14ac:dyDescent="0.35">
      <c r="A80" s="93" t="s">
        <v>803</v>
      </c>
      <c r="B80" s="94" t="s">
        <v>40</v>
      </c>
      <c r="C80" s="94" t="s">
        <v>309</v>
      </c>
      <c r="D80" s="94" t="s">
        <v>942</v>
      </c>
      <c r="E80" s="94" t="s">
        <v>40</v>
      </c>
      <c r="F80" s="95" t="s">
        <v>883</v>
      </c>
      <c r="G80" s="94" t="s">
        <v>535</v>
      </c>
      <c r="H80" s="94" t="s">
        <v>268</v>
      </c>
      <c r="I80" s="94" t="s">
        <v>13</v>
      </c>
      <c r="J80" s="94" t="s">
        <v>218</v>
      </c>
      <c r="K80" s="95" t="s">
        <v>235</v>
      </c>
      <c r="L80" s="96">
        <v>273</v>
      </c>
      <c r="M80" s="96">
        <f>L80*VLOOKUP(I80,dagsoorttabel2,2,FALSE)</f>
        <v>273</v>
      </c>
      <c r="N80" s="97">
        <f>prodnorm42</f>
        <v>0</v>
      </c>
      <c r="O80" s="41">
        <f>dagwerk42</f>
        <v>0</v>
      </c>
      <c r="P80" s="94" t="s">
        <v>107</v>
      </c>
      <c r="Q80" s="26">
        <f>uurtarief42</f>
        <v>0</v>
      </c>
      <c r="R80" s="96" t="e">
        <f>IF(ISBLANK(N80),0,M80/ROUND(N80,4))</f>
        <v>#DIV/0!</v>
      </c>
      <c r="S80" s="96" t="e">
        <f>IF(ISBLANK(N80),0,R80*ROUND(O80,2))</f>
        <v>#DIV/0!</v>
      </c>
      <c r="T80" s="26" t="e">
        <f>ROUND(Q80,2)*R80</f>
        <v>#DIV/0!</v>
      </c>
      <c r="U80" s="96" t="e">
        <f>R80*dagenperjaar2</f>
        <v>#DIV/0!</v>
      </c>
      <c r="V80" s="27" t="e">
        <f>U80*ROUND(Q80,2)</f>
        <v>#DIV/0!</v>
      </c>
    </row>
    <row r="81" spans="1:22" x14ac:dyDescent="0.35">
      <c r="A81" s="93" t="s">
        <v>803</v>
      </c>
      <c r="B81" s="94" t="s">
        <v>40</v>
      </c>
      <c r="C81" s="94" t="s">
        <v>309</v>
      </c>
      <c r="D81" s="94" t="s">
        <v>946</v>
      </c>
      <c r="E81" s="94" t="s">
        <v>40</v>
      </c>
      <c r="F81" s="95" t="s">
        <v>947</v>
      </c>
      <c r="G81" s="94" t="s">
        <v>948</v>
      </c>
      <c r="H81" s="94" t="s">
        <v>273</v>
      </c>
      <c r="I81" s="94" t="s">
        <v>13</v>
      </c>
      <c r="J81" s="94" t="s">
        <v>218</v>
      </c>
      <c r="K81" s="95" t="s">
        <v>247</v>
      </c>
      <c r="L81" s="96">
        <v>14</v>
      </c>
      <c r="M81" s="96">
        <f>L81*VLOOKUP(I81,dagsoorttabel2,2,FALSE)</f>
        <v>14</v>
      </c>
      <c r="N81" s="97">
        <f>prodnorm46</f>
        <v>0</v>
      </c>
      <c r="O81" s="41">
        <f>dagwerk46</f>
        <v>0</v>
      </c>
      <c r="P81" s="94" t="s">
        <v>107</v>
      </c>
      <c r="Q81" s="26">
        <f>uurtarief46</f>
        <v>0</v>
      </c>
      <c r="R81" s="96" t="e">
        <f>IF(ISBLANK(N81),0,M81/ROUND(N81,4))</f>
        <v>#DIV/0!</v>
      </c>
      <c r="S81" s="96" t="e">
        <f>IF(ISBLANK(N81),0,R81*ROUND(O81,2))</f>
        <v>#DIV/0!</v>
      </c>
      <c r="T81" s="26" t="e">
        <f>ROUND(Q81,2)*R81</f>
        <v>#DIV/0!</v>
      </c>
      <c r="U81" s="96" t="e">
        <f>R81*dagenperjaar2</f>
        <v>#DIV/0!</v>
      </c>
      <c r="V81" s="27" t="e">
        <f>U81*ROUND(Q81,2)</f>
        <v>#DIV/0!</v>
      </c>
    </row>
    <row r="82" spans="1:22" x14ac:dyDescent="0.35">
      <c r="A82" s="93" t="s">
        <v>803</v>
      </c>
      <c r="B82" s="94" t="s">
        <v>40</v>
      </c>
      <c r="C82" s="94" t="s">
        <v>309</v>
      </c>
      <c r="D82" s="94" t="s">
        <v>961</v>
      </c>
      <c r="E82" s="94" t="s">
        <v>40</v>
      </c>
      <c r="F82" s="95" t="s">
        <v>568</v>
      </c>
      <c r="G82" s="94" t="s">
        <v>321</v>
      </c>
      <c r="H82" s="94" t="s">
        <v>270</v>
      </c>
      <c r="I82" s="94" t="s">
        <v>13</v>
      </c>
      <c r="J82" s="94" t="s">
        <v>218</v>
      </c>
      <c r="K82" s="95" t="s">
        <v>243</v>
      </c>
      <c r="L82" s="96">
        <v>18</v>
      </c>
      <c r="M82" s="96">
        <f>L82*VLOOKUP(I82,dagsoorttabel2,2,FALSE)</f>
        <v>18</v>
      </c>
      <c r="N82" s="97">
        <f>prodnorm44</f>
        <v>0</v>
      </c>
      <c r="O82" s="41">
        <f>dagwerk44</f>
        <v>0</v>
      </c>
      <c r="P82" s="94" t="s">
        <v>107</v>
      </c>
      <c r="Q82" s="26">
        <f>uurtarief44</f>
        <v>0</v>
      </c>
      <c r="R82" s="96" t="e">
        <f>IF(ISBLANK(N82),0,M82/ROUND(N82,4))</f>
        <v>#DIV/0!</v>
      </c>
      <c r="S82" s="96" t="e">
        <f>IF(ISBLANK(N82),0,R82*ROUND(O82,2))</f>
        <v>#DIV/0!</v>
      </c>
      <c r="T82" s="26" t="e">
        <f>ROUND(Q82,2)*R82</f>
        <v>#DIV/0!</v>
      </c>
      <c r="U82" s="96" t="e">
        <f>R82*dagenperjaar2</f>
        <v>#DIV/0!</v>
      </c>
      <c r="V82" s="27" t="e">
        <f>U82*ROUND(Q82,2)</f>
        <v>#DIV/0!</v>
      </c>
    </row>
    <row r="83" spans="1:22" x14ac:dyDescent="0.35">
      <c r="A83" s="93" t="s">
        <v>803</v>
      </c>
      <c r="B83" s="94" t="s">
        <v>40</v>
      </c>
      <c r="C83" s="94" t="s">
        <v>309</v>
      </c>
      <c r="D83" s="94" t="s">
        <v>961</v>
      </c>
      <c r="E83" s="94" t="s">
        <v>40</v>
      </c>
      <c r="F83" s="95" t="s">
        <v>568</v>
      </c>
      <c r="G83" s="94" t="s">
        <v>321</v>
      </c>
      <c r="H83" s="94" t="s">
        <v>271</v>
      </c>
      <c r="I83" s="94" t="s">
        <v>23</v>
      </c>
      <c r="J83" s="94" t="s">
        <v>218</v>
      </c>
      <c r="K83" s="95" t="s">
        <v>272</v>
      </c>
      <c r="L83" s="96">
        <v>18</v>
      </c>
      <c r="M83" s="96">
        <f>L83*VLOOKUP(I83,dagsoorttabel2,2,FALSE)</f>
        <v>54</v>
      </c>
      <c r="N83" s="97">
        <f>prodnorm45</f>
        <v>0</v>
      </c>
      <c r="O83" s="41">
        <f>dagwerk45</f>
        <v>0</v>
      </c>
      <c r="P83" s="94" t="s">
        <v>107</v>
      </c>
      <c r="Q83" s="26">
        <f>uurtarief45</f>
        <v>0</v>
      </c>
      <c r="R83" s="96" t="e">
        <f>IF(ISBLANK(N83),0,M83/ROUND(N83,4))</f>
        <v>#DIV/0!</v>
      </c>
      <c r="S83" s="96" t="e">
        <f>IF(ISBLANK(N83),0,R83*ROUND(O83,2))</f>
        <v>#DIV/0!</v>
      </c>
      <c r="T83" s="26" t="e">
        <f>ROUND(Q83,2)*R83</f>
        <v>#DIV/0!</v>
      </c>
      <c r="U83" s="96" t="e">
        <f>R83*dagenperjaar2</f>
        <v>#DIV/0!</v>
      </c>
      <c r="V83" s="27" t="e">
        <f>U83*ROUND(Q83,2)</f>
        <v>#DIV/0!</v>
      </c>
    </row>
    <row r="84" spans="1:22" x14ac:dyDescent="0.35">
      <c r="A84" s="93" t="s">
        <v>803</v>
      </c>
      <c r="B84" s="94" t="s">
        <v>40</v>
      </c>
      <c r="C84" s="94" t="s">
        <v>391</v>
      </c>
      <c r="D84" s="94" t="s">
        <v>973</v>
      </c>
      <c r="E84" s="94" t="s">
        <v>40</v>
      </c>
      <c r="F84" s="95" t="s">
        <v>974</v>
      </c>
      <c r="G84" s="94" t="s">
        <v>335</v>
      </c>
      <c r="H84" s="94" t="s">
        <v>267</v>
      </c>
      <c r="I84" s="94" t="s">
        <v>13</v>
      </c>
      <c r="J84" s="94" t="s">
        <v>218</v>
      </c>
      <c r="K84" s="95" t="s">
        <v>229</v>
      </c>
      <c r="L84" s="96">
        <v>34</v>
      </c>
      <c r="M84" s="96">
        <f>L84*VLOOKUP(I84,dagsoorttabel2,2,FALSE)</f>
        <v>34</v>
      </c>
      <c r="N84" s="97">
        <f>prodnorm41</f>
        <v>0</v>
      </c>
      <c r="O84" s="41">
        <f>dagwerk41</f>
        <v>0</v>
      </c>
      <c r="P84" s="94" t="s">
        <v>107</v>
      </c>
      <c r="Q84" s="26">
        <f>uurtarief41</f>
        <v>0</v>
      </c>
      <c r="R84" s="96" t="e">
        <f>IF(ISBLANK(N84),0,M84/ROUND(N84,4))</f>
        <v>#DIV/0!</v>
      </c>
      <c r="S84" s="96" t="e">
        <f>IF(ISBLANK(N84),0,R84*ROUND(O84,2))</f>
        <v>#DIV/0!</v>
      </c>
      <c r="T84" s="26" t="e">
        <f>ROUND(Q84,2)*R84</f>
        <v>#DIV/0!</v>
      </c>
      <c r="U84" s="96" t="e">
        <f>R84*dagenperjaar2</f>
        <v>#DIV/0!</v>
      </c>
      <c r="V84" s="27" t="e">
        <f>U84*ROUND(Q84,2)</f>
        <v>#DIV/0!</v>
      </c>
    </row>
    <row r="85" spans="1:22" x14ac:dyDescent="0.35">
      <c r="A85" s="93" t="s">
        <v>803</v>
      </c>
      <c r="B85" s="94" t="s">
        <v>40</v>
      </c>
      <c r="C85" s="94" t="s">
        <v>391</v>
      </c>
      <c r="D85" s="94" t="s">
        <v>975</v>
      </c>
      <c r="E85" s="94" t="s">
        <v>40</v>
      </c>
      <c r="F85" s="95" t="s">
        <v>974</v>
      </c>
      <c r="G85" s="94" t="s">
        <v>335</v>
      </c>
      <c r="H85" s="94" t="s">
        <v>267</v>
      </c>
      <c r="I85" s="94" t="s">
        <v>13</v>
      </c>
      <c r="J85" s="94" t="s">
        <v>218</v>
      </c>
      <c r="K85" s="95" t="s">
        <v>229</v>
      </c>
      <c r="L85" s="96">
        <v>44</v>
      </c>
      <c r="M85" s="96">
        <f>L85*VLOOKUP(I85,dagsoorttabel2,2,FALSE)</f>
        <v>44</v>
      </c>
      <c r="N85" s="97">
        <f>prodnorm41</f>
        <v>0</v>
      </c>
      <c r="O85" s="41">
        <f>dagwerk41</f>
        <v>0</v>
      </c>
      <c r="P85" s="94" t="s">
        <v>107</v>
      </c>
      <c r="Q85" s="26">
        <f>uurtarief41</f>
        <v>0</v>
      </c>
      <c r="R85" s="96" t="e">
        <f>IF(ISBLANK(N85),0,M85/ROUND(N85,4))</f>
        <v>#DIV/0!</v>
      </c>
      <c r="S85" s="96" t="e">
        <f>IF(ISBLANK(N85),0,R85*ROUND(O85,2))</f>
        <v>#DIV/0!</v>
      </c>
      <c r="T85" s="26" t="e">
        <f>ROUND(Q85,2)*R85</f>
        <v>#DIV/0!</v>
      </c>
      <c r="U85" s="96" t="e">
        <f>R85*dagenperjaar2</f>
        <v>#DIV/0!</v>
      </c>
      <c r="V85" s="27" t="e">
        <f>U85*ROUND(Q85,2)</f>
        <v>#DIV/0!</v>
      </c>
    </row>
    <row r="86" spans="1:22" x14ac:dyDescent="0.35">
      <c r="A86" s="93" t="s">
        <v>803</v>
      </c>
      <c r="B86" s="94" t="s">
        <v>40</v>
      </c>
      <c r="C86" s="94" t="s">
        <v>391</v>
      </c>
      <c r="D86" s="94" t="s">
        <v>978</v>
      </c>
      <c r="E86" s="94" t="s">
        <v>40</v>
      </c>
      <c r="F86" s="95" t="s">
        <v>979</v>
      </c>
      <c r="G86" s="94" t="s">
        <v>335</v>
      </c>
      <c r="H86" s="94" t="s">
        <v>266</v>
      </c>
      <c r="I86" s="94" t="s">
        <v>13</v>
      </c>
      <c r="J86" s="94" t="s">
        <v>218</v>
      </c>
      <c r="K86" s="95" t="s">
        <v>227</v>
      </c>
      <c r="L86" s="96">
        <v>8</v>
      </c>
      <c r="M86" s="96">
        <f>L86*VLOOKUP(I86,dagsoorttabel2,2,FALSE)</f>
        <v>8</v>
      </c>
      <c r="N86" s="97">
        <f>prodnorm40</f>
        <v>0</v>
      </c>
      <c r="O86" s="41">
        <f>dagwerk40</f>
        <v>0</v>
      </c>
      <c r="P86" s="94" t="s">
        <v>107</v>
      </c>
      <c r="Q86" s="26">
        <f>uurtarief40</f>
        <v>0</v>
      </c>
      <c r="R86" s="96" t="e">
        <f>IF(ISBLANK(N86),0,M86/ROUND(N86,4))</f>
        <v>#DIV/0!</v>
      </c>
      <c r="S86" s="96" t="e">
        <f>IF(ISBLANK(N86),0,R86*ROUND(O86,2))</f>
        <v>#DIV/0!</v>
      </c>
      <c r="T86" s="26" t="e">
        <f>ROUND(Q86,2)*R86</f>
        <v>#DIV/0!</v>
      </c>
      <c r="U86" s="96" t="e">
        <f>R86*dagenperjaar2</f>
        <v>#DIV/0!</v>
      </c>
      <c r="V86" s="27" t="e">
        <f>U86*ROUND(Q86,2)</f>
        <v>#DIV/0!</v>
      </c>
    </row>
    <row r="87" spans="1:22" x14ac:dyDescent="0.35">
      <c r="A87" s="93" t="s">
        <v>803</v>
      </c>
      <c r="B87" s="94" t="s">
        <v>40</v>
      </c>
      <c r="C87" s="94" t="s">
        <v>417</v>
      </c>
      <c r="D87" s="94" t="s">
        <v>989</v>
      </c>
      <c r="E87" s="94" t="s">
        <v>40</v>
      </c>
      <c r="F87" s="95" t="s">
        <v>883</v>
      </c>
      <c r="G87" s="94" t="s">
        <v>535</v>
      </c>
      <c r="H87" s="94" t="s">
        <v>268</v>
      </c>
      <c r="I87" s="94" t="s">
        <v>13</v>
      </c>
      <c r="J87" s="94" t="s">
        <v>218</v>
      </c>
      <c r="K87" s="95" t="s">
        <v>235</v>
      </c>
      <c r="L87" s="96">
        <v>88</v>
      </c>
      <c r="M87" s="96">
        <f>L87*VLOOKUP(I87,dagsoorttabel2,2,FALSE)</f>
        <v>88</v>
      </c>
      <c r="N87" s="97">
        <f>prodnorm42</f>
        <v>0</v>
      </c>
      <c r="O87" s="41">
        <f>dagwerk42</f>
        <v>0</v>
      </c>
      <c r="P87" s="94" t="s">
        <v>107</v>
      </c>
      <c r="Q87" s="26">
        <f>uurtarief42</f>
        <v>0</v>
      </c>
      <c r="R87" s="96" t="e">
        <f>IF(ISBLANK(N87),0,M87/ROUND(N87,4))</f>
        <v>#DIV/0!</v>
      </c>
      <c r="S87" s="96" t="e">
        <f>IF(ISBLANK(N87),0,R87*ROUND(O87,2))</f>
        <v>#DIV/0!</v>
      </c>
      <c r="T87" s="26" t="e">
        <f>ROUND(Q87,2)*R87</f>
        <v>#DIV/0!</v>
      </c>
      <c r="U87" s="96" t="e">
        <f>R87*dagenperjaar2</f>
        <v>#DIV/0!</v>
      </c>
      <c r="V87" s="27" t="e">
        <f>U87*ROUND(Q87,2)</f>
        <v>#DIV/0!</v>
      </c>
    </row>
    <row r="88" spans="1:22" x14ac:dyDescent="0.35">
      <c r="A88" s="93" t="s">
        <v>803</v>
      </c>
      <c r="B88" s="94" t="s">
        <v>40</v>
      </c>
      <c r="C88" s="94" t="s">
        <v>417</v>
      </c>
      <c r="D88" s="94" t="s">
        <v>991</v>
      </c>
      <c r="E88" s="94" t="s">
        <v>40</v>
      </c>
      <c r="F88" s="95" t="s">
        <v>883</v>
      </c>
      <c r="G88" s="94" t="s">
        <v>535</v>
      </c>
      <c r="H88" s="94" t="s">
        <v>268</v>
      </c>
      <c r="I88" s="94" t="s">
        <v>13</v>
      </c>
      <c r="J88" s="94" t="s">
        <v>218</v>
      </c>
      <c r="K88" s="95" t="s">
        <v>235</v>
      </c>
      <c r="L88" s="96">
        <v>31</v>
      </c>
      <c r="M88" s="96">
        <f>L88*VLOOKUP(I88,dagsoorttabel2,2,FALSE)</f>
        <v>31</v>
      </c>
      <c r="N88" s="97">
        <f>prodnorm42</f>
        <v>0</v>
      </c>
      <c r="O88" s="41">
        <f>dagwerk42</f>
        <v>0</v>
      </c>
      <c r="P88" s="94" t="s">
        <v>107</v>
      </c>
      <c r="Q88" s="26">
        <f>uurtarief42</f>
        <v>0</v>
      </c>
      <c r="R88" s="96" t="e">
        <f>IF(ISBLANK(N88),0,M88/ROUND(N88,4))</f>
        <v>#DIV/0!</v>
      </c>
      <c r="S88" s="96" t="e">
        <f>IF(ISBLANK(N88),0,R88*ROUND(O88,2))</f>
        <v>#DIV/0!</v>
      </c>
      <c r="T88" s="26" t="e">
        <f>ROUND(Q88,2)*R88</f>
        <v>#DIV/0!</v>
      </c>
      <c r="U88" s="96" t="e">
        <f>R88*dagenperjaar2</f>
        <v>#DIV/0!</v>
      </c>
      <c r="V88" s="27" t="e">
        <f>U88*ROUND(Q88,2)</f>
        <v>#DIV/0!</v>
      </c>
    </row>
    <row r="89" spans="1:22" x14ac:dyDescent="0.35">
      <c r="A89" s="93" t="s">
        <v>803</v>
      </c>
      <c r="B89" s="94" t="s">
        <v>40</v>
      </c>
      <c r="C89" s="94" t="s">
        <v>417</v>
      </c>
      <c r="D89" s="94" t="s">
        <v>992</v>
      </c>
      <c r="E89" s="94" t="s">
        <v>40</v>
      </c>
      <c r="F89" s="95" t="s">
        <v>883</v>
      </c>
      <c r="G89" s="94" t="s">
        <v>535</v>
      </c>
      <c r="H89" s="94" t="s">
        <v>268</v>
      </c>
      <c r="I89" s="94" t="s">
        <v>13</v>
      </c>
      <c r="J89" s="94" t="s">
        <v>218</v>
      </c>
      <c r="K89" s="95" t="s">
        <v>235</v>
      </c>
      <c r="L89" s="96">
        <v>30</v>
      </c>
      <c r="M89" s="96">
        <f>L89*VLOOKUP(I89,dagsoorttabel2,2,FALSE)</f>
        <v>30</v>
      </c>
      <c r="N89" s="97">
        <f>prodnorm42</f>
        <v>0</v>
      </c>
      <c r="O89" s="41">
        <f>dagwerk42</f>
        <v>0</v>
      </c>
      <c r="P89" s="94" t="s">
        <v>107</v>
      </c>
      <c r="Q89" s="26">
        <f>uurtarief42</f>
        <v>0</v>
      </c>
      <c r="R89" s="96" t="e">
        <f>IF(ISBLANK(N89),0,M89/ROUND(N89,4))</f>
        <v>#DIV/0!</v>
      </c>
      <c r="S89" s="96" t="e">
        <f>IF(ISBLANK(N89),0,R89*ROUND(O89,2))</f>
        <v>#DIV/0!</v>
      </c>
      <c r="T89" s="26" t="e">
        <f>ROUND(Q89,2)*R89</f>
        <v>#DIV/0!</v>
      </c>
      <c r="U89" s="96" t="e">
        <f>R89*dagenperjaar2</f>
        <v>#DIV/0!</v>
      </c>
      <c r="V89" s="27" t="e">
        <f>U89*ROUND(Q89,2)</f>
        <v>#DIV/0!</v>
      </c>
    </row>
    <row r="90" spans="1:22" x14ac:dyDescent="0.35">
      <c r="A90" s="93" t="s">
        <v>803</v>
      </c>
      <c r="B90" s="94" t="s">
        <v>40</v>
      </c>
      <c r="C90" s="94" t="s">
        <v>417</v>
      </c>
      <c r="D90" s="94" t="s">
        <v>993</v>
      </c>
      <c r="E90" s="94" t="s">
        <v>40</v>
      </c>
      <c r="F90" s="95" t="s">
        <v>883</v>
      </c>
      <c r="G90" s="94" t="s">
        <v>535</v>
      </c>
      <c r="H90" s="94" t="s">
        <v>268</v>
      </c>
      <c r="I90" s="94" t="s">
        <v>13</v>
      </c>
      <c r="J90" s="94" t="s">
        <v>218</v>
      </c>
      <c r="K90" s="95" t="s">
        <v>235</v>
      </c>
      <c r="L90" s="96">
        <v>30</v>
      </c>
      <c r="M90" s="96">
        <f>L90*VLOOKUP(I90,dagsoorttabel2,2,FALSE)</f>
        <v>30</v>
      </c>
      <c r="N90" s="97">
        <f>prodnorm42</f>
        <v>0</v>
      </c>
      <c r="O90" s="41">
        <f>dagwerk42</f>
        <v>0</v>
      </c>
      <c r="P90" s="94" t="s">
        <v>107</v>
      </c>
      <c r="Q90" s="26">
        <f>uurtarief42</f>
        <v>0</v>
      </c>
      <c r="R90" s="96" t="e">
        <f>IF(ISBLANK(N90),0,M90/ROUND(N90,4))</f>
        <v>#DIV/0!</v>
      </c>
      <c r="S90" s="96" t="e">
        <f>IF(ISBLANK(N90),0,R90*ROUND(O90,2))</f>
        <v>#DIV/0!</v>
      </c>
      <c r="T90" s="26" t="e">
        <f>ROUND(Q90,2)*R90</f>
        <v>#DIV/0!</v>
      </c>
      <c r="U90" s="96" t="e">
        <f>R90*dagenperjaar2</f>
        <v>#DIV/0!</v>
      </c>
      <c r="V90" s="27" t="e">
        <f>U90*ROUND(Q90,2)</f>
        <v>#DIV/0!</v>
      </c>
    </row>
    <row r="91" spans="1:22" x14ac:dyDescent="0.35">
      <c r="A91" s="93" t="s">
        <v>803</v>
      </c>
      <c r="B91" s="94" t="s">
        <v>40</v>
      </c>
      <c r="C91" s="94" t="s">
        <v>417</v>
      </c>
      <c r="D91" s="94" t="s">
        <v>994</v>
      </c>
      <c r="E91" s="94" t="s">
        <v>40</v>
      </c>
      <c r="F91" s="95" t="s">
        <v>883</v>
      </c>
      <c r="G91" s="94" t="s">
        <v>535</v>
      </c>
      <c r="H91" s="94" t="s">
        <v>268</v>
      </c>
      <c r="I91" s="94" t="s">
        <v>13</v>
      </c>
      <c r="J91" s="94" t="s">
        <v>218</v>
      </c>
      <c r="K91" s="95" t="s">
        <v>235</v>
      </c>
      <c r="L91" s="96">
        <v>31</v>
      </c>
      <c r="M91" s="96">
        <f>L91*VLOOKUP(I91,dagsoorttabel2,2,FALSE)</f>
        <v>31</v>
      </c>
      <c r="N91" s="97">
        <f>prodnorm42</f>
        <v>0</v>
      </c>
      <c r="O91" s="41">
        <f>dagwerk42</f>
        <v>0</v>
      </c>
      <c r="P91" s="94" t="s">
        <v>107</v>
      </c>
      <c r="Q91" s="26">
        <f>uurtarief42</f>
        <v>0</v>
      </c>
      <c r="R91" s="96" t="e">
        <f>IF(ISBLANK(N91),0,M91/ROUND(N91,4))</f>
        <v>#DIV/0!</v>
      </c>
      <c r="S91" s="96" t="e">
        <f>IF(ISBLANK(N91),0,R91*ROUND(O91,2))</f>
        <v>#DIV/0!</v>
      </c>
      <c r="T91" s="26" t="e">
        <f>ROUND(Q91,2)*R91</f>
        <v>#DIV/0!</v>
      </c>
      <c r="U91" s="96" t="e">
        <f>R91*dagenperjaar2</f>
        <v>#DIV/0!</v>
      </c>
      <c r="V91" s="27" t="e">
        <f>U91*ROUND(Q91,2)</f>
        <v>#DIV/0!</v>
      </c>
    </row>
    <row r="92" spans="1:22" x14ac:dyDescent="0.35">
      <c r="A92" s="93" t="s">
        <v>803</v>
      </c>
      <c r="B92" s="94" t="s">
        <v>40</v>
      </c>
      <c r="C92" s="94" t="s">
        <v>417</v>
      </c>
      <c r="D92" s="94" t="s">
        <v>995</v>
      </c>
      <c r="E92" s="94" t="s">
        <v>40</v>
      </c>
      <c r="F92" s="95" t="s">
        <v>883</v>
      </c>
      <c r="G92" s="94" t="s">
        <v>535</v>
      </c>
      <c r="H92" s="94" t="s">
        <v>268</v>
      </c>
      <c r="I92" s="94" t="s">
        <v>13</v>
      </c>
      <c r="J92" s="94" t="s">
        <v>218</v>
      </c>
      <c r="K92" s="95" t="s">
        <v>235</v>
      </c>
      <c r="L92" s="96">
        <v>95</v>
      </c>
      <c r="M92" s="96">
        <f>L92*VLOOKUP(I92,dagsoorttabel2,2,FALSE)</f>
        <v>95</v>
      </c>
      <c r="N92" s="97">
        <f>prodnorm42</f>
        <v>0</v>
      </c>
      <c r="O92" s="41">
        <f>dagwerk42</f>
        <v>0</v>
      </c>
      <c r="P92" s="94" t="s">
        <v>107</v>
      </c>
      <c r="Q92" s="26">
        <f>uurtarief42</f>
        <v>0</v>
      </c>
      <c r="R92" s="96" t="e">
        <f>IF(ISBLANK(N92),0,M92/ROUND(N92,4))</f>
        <v>#DIV/0!</v>
      </c>
      <c r="S92" s="96" t="e">
        <f>IF(ISBLANK(N92),0,R92*ROUND(O92,2))</f>
        <v>#DIV/0!</v>
      </c>
      <c r="T92" s="26" t="e">
        <f>ROUND(Q92,2)*R92</f>
        <v>#DIV/0!</v>
      </c>
      <c r="U92" s="96" t="e">
        <f>R92*dagenperjaar2</f>
        <v>#DIV/0!</v>
      </c>
      <c r="V92" s="27" t="e">
        <f>U92*ROUND(Q92,2)</f>
        <v>#DIV/0!</v>
      </c>
    </row>
    <row r="93" spans="1:22" x14ac:dyDescent="0.35">
      <c r="A93" s="93" t="s">
        <v>803</v>
      </c>
      <c r="B93" s="94" t="s">
        <v>40</v>
      </c>
      <c r="C93" s="94" t="s">
        <v>417</v>
      </c>
      <c r="D93" s="94" t="s">
        <v>996</v>
      </c>
      <c r="E93" s="94" t="s">
        <v>40</v>
      </c>
      <c r="F93" s="95" t="s">
        <v>883</v>
      </c>
      <c r="G93" s="94" t="s">
        <v>535</v>
      </c>
      <c r="H93" s="94" t="s">
        <v>268</v>
      </c>
      <c r="I93" s="94" t="s">
        <v>13</v>
      </c>
      <c r="J93" s="94" t="s">
        <v>218</v>
      </c>
      <c r="K93" s="95" t="s">
        <v>235</v>
      </c>
      <c r="L93" s="96">
        <v>123</v>
      </c>
      <c r="M93" s="96">
        <f>L93*VLOOKUP(I93,dagsoorttabel2,2,FALSE)</f>
        <v>123</v>
      </c>
      <c r="N93" s="97">
        <f>prodnorm42</f>
        <v>0</v>
      </c>
      <c r="O93" s="41">
        <f>dagwerk42</f>
        <v>0</v>
      </c>
      <c r="P93" s="94" t="s">
        <v>107</v>
      </c>
      <c r="Q93" s="26">
        <f>uurtarief42</f>
        <v>0</v>
      </c>
      <c r="R93" s="96" t="e">
        <f>IF(ISBLANK(N93),0,M93/ROUND(N93,4))</f>
        <v>#DIV/0!</v>
      </c>
      <c r="S93" s="96" t="e">
        <f>IF(ISBLANK(N93),0,R93*ROUND(O93,2))</f>
        <v>#DIV/0!</v>
      </c>
      <c r="T93" s="26" t="e">
        <f>ROUND(Q93,2)*R93</f>
        <v>#DIV/0!</v>
      </c>
      <c r="U93" s="96" t="e">
        <f>R93*dagenperjaar2</f>
        <v>#DIV/0!</v>
      </c>
      <c r="V93" s="27" t="e">
        <f>U93*ROUND(Q93,2)</f>
        <v>#DIV/0!</v>
      </c>
    </row>
    <row r="94" spans="1:22" x14ac:dyDescent="0.35">
      <c r="A94" s="93" t="s">
        <v>803</v>
      </c>
      <c r="B94" s="94" t="s">
        <v>40</v>
      </c>
      <c r="C94" s="94" t="s">
        <v>417</v>
      </c>
      <c r="D94" s="94" t="s">
        <v>997</v>
      </c>
      <c r="E94" s="94" t="s">
        <v>40</v>
      </c>
      <c r="F94" s="95" t="s">
        <v>883</v>
      </c>
      <c r="G94" s="94" t="s">
        <v>535</v>
      </c>
      <c r="H94" s="94" t="s">
        <v>268</v>
      </c>
      <c r="I94" s="94" t="s">
        <v>13</v>
      </c>
      <c r="J94" s="94" t="s">
        <v>218</v>
      </c>
      <c r="K94" s="95" t="s">
        <v>235</v>
      </c>
      <c r="L94" s="96">
        <v>123</v>
      </c>
      <c r="M94" s="96">
        <f>L94*VLOOKUP(I94,dagsoorttabel2,2,FALSE)</f>
        <v>123</v>
      </c>
      <c r="N94" s="97">
        <f>prodnorm42</f>
        <v>0</v>
      </c>
      <c r="O94" s="41">
        <f>dagwerk42</f>
        <v>0</v>
      </c>
      <c r="P94" s="94" t="s">
        <v>107</v>
      </c>
      <c r="Q94" s="26">
        <f>uurtarief42</f>
        <v>0</v>
      </c>
      <c r="R94" s="96" t="e">
        <f>IF(ISBLANK(N94),0,M94/ROUND(N94,4))</f>
        <v>#DIV/0!</v>
      </c>
      <c r="S94" s="96" t="e">
        <f>IF(ISBLANK(N94),0,R94*ROUND(O94,2))</f>
        <v>#DIV/0!</v>
      </c>
      <c r="T94" s="26" t="e">
        <f>ROUND(Q94,2)*R94</f>
        <v>#DIV/0!</v>
      </c>
      <c r="U94" s="96" t="e">
        <f>R94*dagenperjaar2</f>
        <v>#DIV/0!</v>
      </c>
      <c r="V94" s="27" t="e">
        <f>U94*ROUND(Q94,2)</f>
        <v>#DIV/0!</v>
      </c>
    </row>
    <row r="95" spans="1:22" x14ac:dyDescent="0.35">
      <c r="A95" s="93" t="s">
        <v>803</v>
      </c>
      <c r="B95" s="94" t="s">
        <v>40</v>
      </c>
      <c r="C95" s="94" t="s">
        <v>417</v>
      </c>
      <c r="D95" s="94" t="s">
        <v>998</v>
      </c>
      <c r="E95" s="94" t="s">
        <v>40</v>
      </c>
      <c r="F95" s="95" t="s">
        <v>883</v>
      </c>
      <c r="G95" s="94" t="s">
        <v>535</v>
      </c>
      <c r="H95" s="94" t="s">
        <v>268</v>
      </c>
      <c r="I95" s="94" t="s">
        <v>13</v>
      </c>
      <c r="J95" s="94" t="s">
        <v>218</v>
      </c>
      <c r="K95" s="95" t="s">
        <v>235</v>
      </c>
      <c r="L95" s="96">
        <v>121</v>
      </c>
      <c r="M95" s="96">
        <f>L95*VLOOKUP(I95,dagsoorttabel2,2,FALSE)</f>
        <v>121</v>
      </c>
      <c r="N95" s="97">
        <f>prodnorm42</f>
        <v>0</v>
      </c>
      <c r="O95" s="41">
        <f>dagwerk42</f>
        <v>0</v>
      </c>
      <c r="P95" s="94" t="s">
        <v>107</v>
      </c>
      <c r="Q95" s="26">
        <f>uurtarief42</f>
        <v>0</v>
      </c>
      <c r="R95" s="96" t="e">
        <f>IF(ISBLANK(N95),0,M95/ROUND(N95,4))</f>
        <v>#DIV/0!</v>
      </c>
      <c r="S95" s="96" t="e">
        <f>IF(ISBLANK(N95),0,R95*ROUND(O95,2))</f>
        <v>#DIV/0!</v>
      </c>
      <c r="T95" s="26" t="e">
        <f>ROUND(Q95,2)*R95</f>
        <v>#DIV/0!</v>
      </c>
      <c r="U95" s="96" t="e">
        <f>R95*dagenperjaar2</f>
        <v>#DIV/0!</v>
      </c>
      <c r="V95" s="27" t="e">
        <f>U95*ROUND(Q95,2)</f>
        <v>#DIV/0!</v>
      </c>
    </row>
    <row r="96" spans="1:22" x14ac:dyDescent="0.35">
      <c r="A96" s="93" t="s">
        <v>803</v>
      </c>
      <c r="B96" s="94" t="s">
        <v>40</v>
      </c>
      <c r="C96" s="94" t="s">
        <v>417</v>
      </c>
      <c r="D96" s="94" t="s">
        <v>999</v>
      </c>
      <c r="E96" s="94" t="s">
        <v>40</v>
      </c>
      <c r="F96" s="95" t="s">
        <v>883</v>
      </c>
      <c r="G96" s="94" t="s">
        <v>535</v>
      </c>
      <c r="H96" s="94" t="s">
        <v>268</v>
      </c>
      <c r="I96" s="94" t="s">
        <v>13</v>
      </c>
      <c r="J96" s="94" t="s">
        <v>218</v>
      </c>
      <c r="K96" s="95" t="s">
        <v>235</v>
      </c>
      <c r="L96" s="96">
        <v>122</v>
      </c>
      <c r="M96" s="96">
        <f>L96*VLOOKUP(I96,dagsoorttabel2,2,FALSE)</f>
        <v>122</v>
      </c>
      <c r="N96" s="97">
        <f>prodnorm42</f>
        <v>0</v>
      </c>
      <c r="O96" s="41">
        <f>dagwerk42</f>
        <v>0</v>
      </c>
      <c r="P96" s="94" t="s">
        <v>107</v>
      </c>
      <c r="Q96" s="26">
        <f>uurtarief42</f>
        <v>0</v>
      </c>
      <c r="R96" s="96" t="e">
        <f>IF(ISBLANK(N96),0,M96/ROUND(N96,4))</f>
        <v>#DIV/0!</v>
      </c>
      <c r="S96" s="96" t="e">
        <f>IF(ISBLANK(N96),0,R96*ROUND(O96,2))</f>
        <v>#DIV/0!</v>
      </c>
      <c r="T96" s="26" t="e">
        <f>ROUND(Q96,2)*R96</f>
        <v>#DIV/0!</v>
      </c>
      <c r="U96" s="96" t="e">
        <f>R96*dagenperjaar2</f>
        <v>#DIV/0!</v>
      </c>
      <c r="V96" s="27" t="e">
        <f>U96*ROUND(Q96,2)</f>
        <v>#DIV/0!</v>
      </c>
    </row>
    <row r="97" spans="1:22" x14ac:dyDescent="0.35">
      <c r="A97" s="93" t="s">
        <v>803</v>
      </c>
      <c r="B97" s="94" t="s">
        <v>40</v>
      </c>
      <c r="C97" s="94" t="s">
        <v>417</v>
      </c>
      <c r="D97" s="94" t="s">
        <v>1000</v>
      </c>
      <c r="E97" s="94" t="s">
        <v>40</v>
      </c>
      <c r="F97" s="95" t="s">
        <v>883</v>
      </c>
      <c r="G97" s="94" t="s">
        <v>535</v>
      </c>
      <c r="H97" s="94" t="s">
        <v>268</v>
      </c>
      <c r="I97" s="94" t="s">
        <v>13</v>
      </c>
      <c r="J97" s="94" t="s">
        <v>218</v>
      </c>
      <c r="K97" s="95" t="s">
        <v>235</v>
      </c>
      <c r="L97" s="96">
        <v>95</v>
      </c>
      <c r="M97" s="96">
        <f>L97*VLOOKUP(I97,dagsoorttabel2,2,FALSE)</f>
        <v>95</v>
      </c>
      <c r="N97" s="97">
        <f>prodnorm42</f>
        <v>0</v>
      </c>
      <c r="O97" s="41">
        <f>dagwerk42</f>
        <v>0</v>
      </c>
      <c r="P97" s="94" t="s">
        <v>107</v>
      </c>
      <c r="Q97" s="26">
        <f>uurtarief42</f>
        <v>0</v>
      </c>
      <c r="R97" s="96" t="e">
        <f>IF(ISBLANK(N97),0,M97/ROUND(N97,4))</f>
        <v>#DIV/0!</v>
      </c>
      <c r="S97" s="96" t="e">
        <f>IF(ISBLANK(N97),0,R97*ROUND(O97,2))</f>
        <v>#DIV/0!</v>
      </c>
      <c r="T97" s="26" t="e">
        <f>ROUND(Q97,2)*R97</f>
        <v>#DIV/0!</v>
      </c>
      <c r="U97" s="96" t="e">
        <f>R97*dagenperjaar2</f>
        <v>#DIV/0!</v>
      </c>
      <c r="V97" s="27" t="e">
        <f>U97*ROUND(Q97,2)</f>
        <v>#DIV/0!</v>
      </c>
    </row>
    <row r="98" spans="1:22" x14ac:dyDescent="0.35">
      <c r="A98" s="93" t="s">
        <v>803</v>
      </c>
      <c r="B98" s="94" t="s">
        <v>40</v>
      </c>
      <c r="C98" s="94" t="s">
        <v>417</v>
      </c>
      <c r="D98" s="94" t="s">
        <v>1001</v>
      </c>
      <c r="E98" s="94" t="s">
        <v>40</v>
      </c>
      <c r="F98" s="95" t="s">
        <v>883</v>
      </c>
      <c r="G98" s="94" t="s">
        <v>535</v>
      </c>
      <c r="H98" s="94" t="s">
        <v>268</v>
      </c>
      <c r="I98" s="94" t="s">
        <v>13</v>
      </c>
      <c r="J98" s="94" t="s">
        <v>218</v>
      </c>
      <c r="K98" s="95" t="s">
        <v>235</v>
      </c>
      <c r="L98" s="96">
        <v>83</v>
      </c>
      <c r="M98" s="96">
        <f>L98*VLOOKUP(I98,dagsoorttabel2,2,FALSE)</f>
        <v>83</v>
      </c>
      <c r="N98" s="97">
        <f>prodnorm42</f>
        <v>0</v>
      </c>
      <c r="O98" s="41">
        <f>dagwerk42</f>
        <v>0</v>
      </c>
      <c r="P98" s="94" t="s">
        <v>107</v>
      </c>
      <c r="Q98" s="26">
        <f>uurtarief42</f>
        <v>0</v>
      </c>
      <c r="R98" s="96" t="e">
        <f>IF(ISBLANK(N98),0,M98/ROUND(N98,4))</f>
        <v>#DIV/0!</v>
      </c>
      <c r="S98" s="96" t="e">
        <f>IF(ISBLANK(N98),0,R98*ROUND(O98,2))</f>
        <v>#DIV/0!</v>
      </c>
      <c r="T98" s="26" t="e">
        <f>ROUND(Q98,2)*R98</f>
        <v>#DIV/0!</v>
      </c>
      <c r="U98" s="96" t="e">
        <f>R98*dagenperjaar2</f>
        <v>#DIV/0!</v>
      </c>
      <c r="V98" s="27" t="e">
        <f>U98*ROUND(Q98,2)</f>
        <v>#DIV/0!</v>
      </c>
    </row>
    <row r="99" spans="1:22" x14ac:dyDescent="0.35">
      <c r="A99" s="93" t="s">
        <v>803</v>
      </c>
      <c r="B99" s="94" t="s">
        <v>40</v>
      </c>
      <c r="C99" s="94" t="s">
        <v>417</v>
      </c>
      <c r="D99" s="94" t="s">
        <v>1002</v>
      </c>
      <c r="E99" s="94" t="s">
        <v>40</v>
      </c>
      <c r="F99" s="95" t="s">
        <v>883</v>
      </c>
      <c r="G99" s="94" t="s">
        <v>535</v>
      </c>
      <c r="H99" s="94" t="s">
        <v>268</v>
      </c>
      <c r="I99" s="94" t="s">
        <v>13</v>
      </c>
      <c r="J99" s="94" t="s">
        <v>218</v>
      </c>
      <c r="K99" s="95" t="s">
        <v>235</v>
      </c>
      <c r="L99" s="96">
        <v>82</v>
      </c>
      <c r="M99" s="96">
        <f>L99*VLOOKUP(I99,dagsoorttabel2,2,FALSE)</f>
        <v>82</v>
      </c>
      <c r="N99" s="97">
        <f>prodnorm42</f>
        <v>0</v>
      </c>
      <c r="O99" s="41">
        <f>dagwerk42</f>
        <v>0</v>
      </c>
      <c r="P99" s="94" t="s">
        <v>107</v>
      </c>
      <c r="Q99" s="26">
        <f>uurtarief42</f>
        <v>0</v>
      </c>
      <c r="R99" s="96" t="e">
        <f>IF(ISBLANK(N99),0,M99/ROUND(N99,4))</f>
        <v>#DIV/0!</v>
      </c>
      <c r="S99" s="96" t="e">
        <f>IF(ISBLANK(N99),0,R99*ROUND(O99,2))</f>
        <v>#DIV/0!</v>
      </c>
      <c r="T99" s="26" t="e">
        <f>ROUND(Q99,2)*R99</f>
        <v>#DIV/0!</v>
      </c>
      <c r="U99" s="96" t="e">
        <f>R99*dagenperjaar2</f>
        <v>#DIV/0!</v>
      </c>
      <c r="V99" s="27" t="e">
        <f>U99*ROUND(Q99,2)</f>
        <v>#DIV/0!</v>
      </c>
    </row>
    <row r="100" spans="1:22" x14ac:dyDescent="0.35">
      <c r="A100" s="93" t="s">
        <v>803</v>
      </c>
      <c r="B100" s="94" t="s">
        <v>40</v>
      </c>
      <c r="C100" s="94" t="s">
        <v>417</v>
      </c>
      <c r="D100" s="94" t="s">
        <v>1003</v>
      </c>
      <c r="E100" s="94" t="s">
        <v>40</v>
      </c>
      <c r="F100" s="95" t="s">
        <v>883</v>
      </c>
      <c r="G100" s="94" t="s">
        <v>535</v>
      </c>
      <c r="H100" s="94" t="s">
        <v>268</v>
      </c>
      <c r="I100" s="94" t="s">
        <v>13</v>
      </c>
      <c r="J100" s="94" t="s">
        <v>218</v>
      </c>
      <c r="K100" s="95" t="s">
        <v>235</v>
      </c>
      <c r="L100" s="96">
        <v>62</v>
      </c>
      <c r="M100" s="96">
        <f>L100*VLOOKUP(I100,dagsoorttabel2,2,FALSE)</f>
        <v>62</v>
      </c>
      <c r="N100" s="97">
        <f>prodnorm42</f>
        <v>0</v>
      </c>
      <c r="O100" s="41">
        <f>dagwerk42</f>
        <v>0</v>
      </c>
      <c r="P100" s="94" t="s">
        <v>107</v>
      </c>
      <c r="Q100" s="26">
        <f>uurtarief42</f>
        <v>0</v>
      </c>
      <c r="R100" s="96" t="e">
        <f>IF(ISBLANK(N100),0,M100/ROUND(N100,4))</f>
        <v>#DIV/0!</v>
      </c>
      <c r="S100" s="96" t="e">
        <f>IF(ISBLANK(N100),0,R100*ROUND(O100,2))</f>
        <v>#DIV/0!</v>
      </c>
      <c r="T100" s="26" t="e">
        <f>ROUND(Q100,2)*R100</f>
        <v>#DIV/0!</v>
      </c>
      <c r="U100" s="96" t="e">
        <f>R100*dagenperjaar2</f>
        <v>#DIV/0!</v>
      </c>
      <c r="V100" s="27" t="e">
        <f>U100*ROUND(Q100,2)</f>
        <v>#DIV/0!</v>
      </c>
    </row>
    <row r="101" spans="1:22" x14ac:dyDescent="0.35">
      <c r="A101" s="93" t="s">
        <v>803</v>
      </c>
      <c r="B101" s="94" t="s">
        <v>40</v>
      </c>
      <c r="C101" s="94" t="s">
        <v>417</v>
      </c>
      <c r="D101" s="94" t="s">
        <v>1008</v>
      </c>
      <c r="E101" s="94" t="s">
        <v>40</v>
      </c>
      <c r="F101" s="95" t="s">
        <v>1009</v>
      </c>
      <c r="G101" s="94" t="s">
        <v>948</v>
      </c>
      <c r="H101" s="94" t="s">
        <v>273</v>
      </c>
      <c r="I101" s="94" t="s">
        <v>13</v>
      </c>
      <c r="J101" s="94" t="s">
        <v>218</v>
      </c>
      <c r="K101" s="95" t="s">
        <v>247</v>
      </c>
      <c r="L101" s="96">
        <v>200</v>
      </c>
      <c r="M101" s="96">
        <f>L101*VLOOKUP(I101,dagsoorttabel2,2,FALSE)</f>
        <v>200</v>
      </c>
      <c r="N101" s="97">
        <f>prodnorm46</f>
        <v>0</v>
      </c>
      <c r="O101" s="41">
        <f>dagwerk46</f>
        <v>0</v>
      </c>
      <c r="P101" s="94" t="s">
        <v>107</v>
      </c>
      <c r="Q101" s="26">
        <f>uurtarief46</f>
        <v>0</v>
      </c>
      <c r="R101" s="96" t="e">
        <f>IF(ISBLANK(N101),0,M101/ROUND(N101,4))</f>
        <v>#DIV/0!</v>
      </c>
      <c r="S101" s="96" t="e">
        <f>IF(ISBLANK(N101),0,R101*ROUND(O101,2))</f>
        <v>#DIV/0!</v>
      </c>
      <c r="T101" s="26" t="e">
        <f>ROUND(Q101,2)*R101</f>
        <v>#DIV/0!</v>
      </c>
      <c r="U101" s="96" t="e">
        <f>R101*dagenperjaar2</f>
        <v>#DIV/0!</v>
      </c>
      <c r="V101" s="27" t="e">
        <f>U101*ROUND(Q101,2)</f>
        <v>#DIV/0!</v>
      </c>
    </row>
    <row r="102" spans="1:22" x14ac:dyDescent="0.35">
      <c r="A102" s="93" t="s">
        <v>803</v>
      </c>
      <c r="B102" s="94" t="s">
        <v>40</v>
      </c>
      <c r="C102" s="94" t="s">
        <v>417</v>
      </c>
      <c r="D102" s="94" t="s">
        <v>1014</v>
      </c>
      <c r="E102" s="94" t="s">
        <v>40</v>
      </c>
      <c r="F102" s="95" t="s">
        <v>411</v>
      </c>
      <c r="G102" s="94" t="s">
        <v>535</v>
      </c>
      <c r="H102" s="94" t="s">
        <v>273</v>
      </c>
      <c r="I102" s="94" t="s">
        <v>13</v>
      </c>
      <c r="J102" s="94" t="s">
        <v>218</v>
      </c>
      <c r="K102" s="95" t="s">
        <v>247</v>
      </c>
      <c r="L102" s="96">
        <v>11</v>
      </c>
      <c r="M102" s="96">
        <f>L102*VLOOKUP(I102,dagsoorttabel2,2,FALSE)</f>
        <v>11</v>
      </c>
      <c r="N102" s="97">
        <f>prodnorm46</f>
        <v>0</v>
      </c>
      <c r="O102" s="41">
        <f>dagwerk46</f>
        <v>0</v>
      </c>
      <c r="P102" s="94" t="s">
        <v>107</v>
      </c>
      <c r="Q102" s="26">
        <f>uurtarief46</f>
        <v>0</v>
      </c>
      <c r="R102" s="96" t="e">
        <f>IF(ISBLANK(N102),0,M102/ROUND(N102,4))</f>
        <v>#DIV/0!</v>
      </c>
      <c r="S102" s="96" t="e">
        <f>IF(ISBLANK(N102),0,R102*ROUND(O102,2))</f>
        <v>#DIV/0!</v>
      </c>
      <c r="T102" s="26" t="e">
        <f>ROUND(Q102,2)*R102</f>
        <v>#DIV/0!</v>
      </c>
      <c r="U102" s="96" t="e">
        <f>R102*dagenperjaar2</f>
        <v>#DIV/0!</v>
      </c>
      <c r="V102" s="27" t="e">
        <f>U102*ROUND(Q102,2)</f>
        <v>#DIV/0!</v>
      </c>
    </row>
    <row r="103" spans="1:22" x14ac:dyDescent="0.35">
      <c r="A103" s="93" t="s">
        <v>803</v>
      </c>
      <c r="B103" s="94" t="s">
        <v>40</v>
      </c>
      <c r="C103" s="94" t="s">
        <v>417</v>
      </c>
      <c r="D103" s="94" t="s">
        <v>1015</v>
      </c>
      <c r="E103" s="94" t="s">
        <v>40</v>
      </c>
      <c r="F103" s="95" t="s">
        <v>883</v>
      </c>
      <c r="G103" s="94" t="s">
        <v>535</v>
      </c>
      <c r="H103" s="94" t="s">
        <v>268</v>
      </c>
      <c r="I103" s="94" t="s">
        <v>13</v>
      </c>
      <c r="J103" s="94" t="s">
        <v>218</v>
      </c>
      <c r="K103" s="95" t="s">
        <v>235</v>
      </c>
      <c r="L103" s="96">
        <v>87</v>
      </c>
      <c r="M103" s="96">
        <f>L103*VLOOKUP(I103,dagsoorttabel2,2,FALSE)</f>
        <v>87</v>
      </c>
      <c r="N103" s="97">
        <f>prodnorm42</f>
        <v>0</v>
      </c>
      <c r="O103" s="41">
        <f>dagwerk42</f>
        <v>0</v>
      </c>
      <c r="P103" s="94" t="s">
        <v>107</v>
      </c>
      <c r="Q103" s="26">
        <f>uurtarief42</f>
        <v>0</v>
      </c>
      <c r="R103" s="96" t="e">
        <f>IF(ISBLANK(N103),0,M103/ROUND(N103,4))</f>
        <v>#DIV/0!</v>
      </c>
      <c r="S103" s="96" t="e">
        <f>IF(ISBLANK(N103),0,R103*ROUND(O103,2))</f>
        <v>#DIV/0!</v>
      </c>
      <c r="T103" s="26" t="e">
        <f>ROUND(Q103,2)*R103</f>
        <v>#DIV/0!</v>
      </c>
      <c r="U103" s="96" t="e">
        <f>R103*dagenperjaar2</f>
        <v>#DIV/0!</v>
      </c>
      <c r="V103" s="27" t="e">
        <f>U103*ROUND(Q103,2)</f>
        <v>#DIV/0!</v>
      </c>
    </row>
    <row r="104" spans="1:22" x14ac:dyDescent="0.35">
      <c r="A104" s="93" t="s">
        <v>803</v>
      </c>
      <c r="B104" s="94" t="s">
        <v>40</v>
      </c>
      <c r="C104" s="94" t="s">
        <v>417</v>
      </c>
      <c r="D104" s="94" t="s">
        <v>1016</v>
      </c>
      <c r="E104" s="94" t="s">
        <v>40</v>
      </c>
      <c r="F104" s="95" t="s">
        <v>883</v>
      </c>
      <c r="G104" s="94" t="s">
        <v>535</v>
      </c>
      <c r="H104" s="94" t="s">
        <v>268</v>
      </c>
      <c r="I104" s="94" t="s">
        <v>13</v>
      </c>
      <c r="J104" s="94" t="s">
        <v>218</v>
      </c>
      <c r="K104" s="95" t="s">
        <v>235</v>
      </c>
      <c r="L104" s="96">
        <v>29</v>
      </c>
      <c r="M104" s="96">
        <f>L104*VLOOKUP(I104,dagsoorttabel2,2,FALSE)</f>
        <v>29</v>
      </c>
      <c r="N104" s="97">
        <f>prodnorm42</f>
        <v>0</v>
      </c>
      <c r="O104" s="41">
        <f>dagwerk42</f>
        <v>0</v>
      </c>
      <c r="P104" s="94" t="s">
        <v>107</v>
      </c>
      <c r="Q104" s="26">
        <f>uurtarief42</f>
        <v>0</v>
      </c>
      <c r="R104" s="96" t="e">
        <f>IF(ISBLANK(N104),0,M104/ROUND(N104,4))</f>
        <v>#DIV/0!</v>
      </c>
      <c r="S104" s="96" t="e">
        <f>IF(ISBLANK(N104),0,R104*ROUND(O104,2))</f>
        <v>#DIV/0!</v>
      </c>
      <c r="T104" s="26" t="e">
        <f>ROUND(Q104,2)*R104</f>
        <v>#DIV/0!</v>
      </c>
      <c r="U104" s="96" t="e">
        <f>R104*dagenperjaar2</f>
        <v>#DIV/0!</v>
      </c>
      <c r="V104" s="27" t="e">
        <f>U104*ROUND(Q104,2)</f>
        <v>#DIV/0!</v>
      </c>
    </row>
    <row r="105" spans="1:22" x14ac:dyDescent="0.35">
      <c r="A105" s="93" t="s">
        <v>803</v>
      </c>
      <c r="B105" s="94" t="s">
        <v>40</v>
      </c>
      <c r="C105" s="94" t="s">
        <v>417</v>
      </c>
      <c r="D105" s="94" t="s">
        <v>1017</v>
      </c>
      <c r="E105" s="94" t="s">
        <v>40</v>
      </c>
      <c r="F105" s="95" t="s">
        <v>883</v>
      </c>
      <c r="G105" s="94" t="s">
        <v>535</v>
      </c>
      <c r="H105" s="94" t="s">
        <v>268</v>
      </c>
      <c r="I105" s="94" t="s">
        <v>13</v>
      </c>
      <c r="J105" s="94" t="s">
        <v>218</v>
      </c>
      <c r="K105" s="95" t="s">
        <v>235</v>
      </c>
      <c r="L105" s="96">
        <v>31</v>
      </c>
      <c r="M105" s="96">
        <f>L105*VLOOKUP(I105,dagsoorttabel2,2,FALSE)</f>
        <v>31</v>
      </c>
      <c r="N105" s="97">
        <f>prodnorm42</f>
        <v>0</v>
      </c>
      <c r="O105" s="41">
        <f>dagwerk42</f>
        <v>0</v>
      </c>
      <c r="P105" s="94" t="s">
        <v>107</v>
      </c>
      <c r="Q105" s="26">
        <f>uurtarief42</f>
        <v>0</v>
      </c>
      <c r="R105" s="96" t="e">
        <f>IF(ISBLANK(N105),0,M105/ROUND(N105,4))</f>
        <v>#DIV/0!</v>
      </c>
      <c r="S105" s="96" t="e">
        <f>IF(ISBLANK(N105),0,R105*ROUND(O105,2))</f>
        <v>#DIV/0!</v>
      </c>
      <c r="T105" s="26" t="e">
        <f>ROUND(Q105,2)*R105</f>
        <v>#DIV/0!</v>
      </c>
      <c r="U105" s="96" t="e">
        <f>R105*dagenperjaar2</f>
        <v>#DIV/0!</v>
      </c>
      <c r="V105" s="27" t="e">
        <f>U105*ROUND(Q105,2)</f>
        <v>#DIV/0!</v>
      </c>
    </row>
    <row r="106" spans="1:22" x14ac:dyDescent="0.35">
      <c r="A106" s="93" t="s">
        <v>803</v>
      </c>
      <c r="B106" s="94" t="s">
        <v>40</v>
      </c>
      <c r="C106" s="94" t="s">
        <v>417</v>
      </c>
      <c r="D106" s="94" t="s">
        <v>1018</v>
      </c>
      <c r="E106" s="94" t="s">
        <v>40</v>
      </c>
      <c r="F106" s="95" t="s">
        <v>883</v>
      </c>
      <c r="G106" s="94" t="s">
        <v>535</v>
      </c>
      <c r="H106" s="94" t="s">
        <v>268</v>
      </c>
      <c r="I106" s="94" t="s">
        <v>13</v>
      </c>
      <c r="J106" s="94" t="s">
        <v>218</v>
      </c>
      <c r="K106" s="95" t="s">
        <v>235</v>
      </c>
      <c r="L106" s="96">
        <v>30</v>
      </c>
      <c r="M106" s="96">
        <f>L106*VLOOKUP(I106,dagsoorttabel2,2,FALSE)</f>
        <v>30</v>
      </c>
      <c r="N106" s="97">
        <f>prodnorm42</f>
        <v>0</v>
      </c>
      <c r="O106" s="41">
        <f>dagwerk42</f>
        <v>0</v>
      </c>
      <c r="P106" s="94" t="s">
        <v>107</v>
      </c>
      <c r="Q106" s="26">
        <f>uurtarief42</f>
        <v>0</v>
      </c>
      <c r="R106" s="96" t="e">
        <f>IF(ISBLANK(N106),0,M106/ROUND(N106,4))</f>
        <v>#DIV/0!</v>
      </c>
      <c r="S106" s="96" t="e">
        <f>IF(ISBLANK(N106),0,R106*ROUND(O106,2))</f>
        <v>#DIV/0!</v>
      </c>
      <c r="T106" s="26" t="e">
        <f>ROUND(Q106,2)*R106</f>
        <v>#DIV/0!</v>
      </c>
      <c r="U106" s="96" t="e">
        <f>R106*dagenperjaar2</f>
        <v>#DIV/0!</v>
      </c>
      <c r="V106" s="27" t="e">
        <f>U106*ROUND(Q106,2)</f>
        <v>#DIV/0!</v>
      </c>
    </row>
    <row r="107" spans="1:22" x14ac:dyDescent="0.35">
      <c r="A107" s="93" t="s">
        <v>803</v>
      </c>
      <c r="B107" s="94" t="s">
        <v>40</v>
      </c>
      <c r="C107" s="94" t="s">
        <v>417</v>
      </c>
      <c r="D107" s="94" t="s">
        <v>1019</v>
      </c>
      <c r="E107" s="94" t="s">
        <v>40</v>
      </c>
      <c r="F107" s="95" t="s">
        <v>883</v>
      </c>
      <c r="G107" s="94" t="s">
        <v>535</v>
      </c>
      <c r="H107" s="94" t="s">
        <v>268</v>
      </c>
      <c r="I107" s="94" t="s">
        <v>13</v>
      </c>
      <c r="J107" s="94" t="s">
        <v>218</v>
      </c>
      <c r="K107" s="95" t="s">
        <v>235</v>
      </c>
      <c r="L107" s="96">
        <v>30</v>
      </c>
      <c r="M107" s="96">
        <f>L107*VLOOKUP(I107,dagsoorttabel2,2,FALSE)</f>
        <v>30</v>
      </c>
      <c r="N107" s="97">
        <f>prodnorm42</f>
        <v>0</v>
      </c>
      <c r="O107" s="41">
        <f>dagwerk42</f>
        <v>0</v>
      </c>
      <c r="P107" s="94" t="s">
        <v>107</v>
      </c>
      <c r="Q107" s="26">
        <f>uurtarief42</f>
        <v>0</v>
      </c>
      <c r="R107" s="96" t="e">
        <f>IF(ISBLANK(N107),0,M107/ROUND(N107,4))</f>
        <v>#DIV/0!</v>
      </c>
      <c r="S107" s="96" t="e">
        <f>IF(ISBLANK(N107),0,R107*ROUND(O107,2))</f>
        <v>#DIV/0!</v>
      </c>
      <c r="T107" s="26" t="e">
        <f>ROUND(Q107,2)*R107</f>
        <v>#DIV/0!</v>
      </c>
      <c r="U107" s="96" t="e">
        <f>R107*dagenperjaar2</f>
        <v>#DIV/0!</v>
      </c>
      <c r="V107" s="27" t="e">
        <f>U107*ROUND(Q107,2)</f>
        <v>#DIV/0!</v>
      </c>
    </row>
    <row r="108" spans="1:22" x14ac:dyDescent="0.35">
      <c r="A108" s="93" t="s">
        <v>803</v>
      </c>
      <c r="B108" s="94" t="s">
        <v>40</v>
      </c>
      <c r="C108" s="94" t="s">
        <v>417</v>
      </c>
      <c r="D108" s="94" t="s">
        <v>1020</v>
      </c>
      <c r="E108" s="94" t="s">
        <v>40</v>
      </c>
      <c r="F108" s="95" t="s">
        <v>883</v>
      </c>
      <c r="G108" s="94" t="s">
        <v>535</v>
      </c>
      <c r="H108" s="94" t="s">
        <v>268</v>
      </c>
      <c r="I108" s="94" t="s">
        <v>13</v>
      </c>
      <c r="J108" s="94" t="s">
        <v>218</v>
      </c>
      <c r="K108" s="95" t="s">
        <v>235</v>
      </c>
      <c r="L108" s="96">
        <v>31</v>
      </c>
      <c r="M108" s="96">
        <f>L108*VLOOKUP(I108,dagsoorttabel2,2,FALSE)</f>
        <v>31</v>
      </c>
      <c r="N108" s="97">
        <f>prodnorm42</f>
        <v>0</v>
      </c>
      <c r="O108" s="41">
        <f>dagwerk42</f>
        <v>0</v>
      </c>
      <c r="P108" s="94" t="s">
        <v>107</v>
      </c>
      <c r="Q108" s="26">
        <f>uurtarief42</f>
        <v>0</v>
      </c>
      <c r="R108" s="96" t="e">
        <f>IF(ISBLANK(N108),0,M108/ROUND(N108,4))</f>
        <v>#DIV/0!</v>
      </c>
      <c r="S108" s="96" t="e">
        <f>IF(ISBLANK(N108),0,R108*ROUND(O108,2))</f>
        <v>#DIV/0!</v>
      </c>
      <c r="T108" s="26" t="e">
        <f>ROUND(Q108,2)*R108</f>
        <v>#DIV/0!</v>
      </c>
      <c r="U108" s="96" t="e">
        <f>R108*dagenperjaar2</f>
        <v>#DIV/0!</v>
      </c>
      <c r="V108" s="27" t="e">
        <f>U108*ROUND(Q108,2)</f>
        <v>#DIV/0!</v>
      </c>
    </row>
    <row r="109" spans="1:22" x14ac:dyDescent="0.35">
      <c r="A109" s="93" t="s">
        <v>803</v>
      </c>
      <c r="B109" s="94" t="s">
        <v>40</v>
      </c>
      <c r="C109" s="94" t="s">
        <v>417</v>
      </c>
      <c r="D109" s="94" t="s">
        <v>1021</v>
      </c>
      <c r="E109" s="94" t="s">
        <v>40</v>
      </c>
      <c r="F109" s="95" t="s">
        <v>883</v>
      </c>
      <c r="G109" s="94" t="s">
        <v>535</v>
      </c>
      <c r="H109" s="94" t="s">
        <v>268</v>
      </c>
      <c r="I109" s="94" t="s">
        <v>13</v>
      </c>
      <c r="J109" s="94" t="s">
        <v>218</v>
      </c>
      <c r="K109" s="95" t="s">
        <v>235</v>
      </c>
      <c r="L109" s="96">
        <v>95</v>
      </c>
      <c r="M109" s="96">
        <f>L109*VLOOKUP(I109,dagsoorttabel2,2,FALSE)</f>
        <v>95</v>
      </c>
      <c r="N109" s="97">
        <f>prodnorm42</f>
        <v>0</v>
      </c>
      <c r="O109" s="41">
        <f>dagwerk42</f>
        <v>0</v>
      </c>
      <c r="P109" s="94" t="s">
        <v>107</v>
      </c>
      <c r="Q109" s="26">
        <f>uurtarief42</f>
        <v>0</v>
      </c>
      <c r="R109" s="96" t="e">
        <f>IF(ISBLANK(N109),0,M109/ROUND(N109,4))</f>
        <v>#DIV/0!</v>
      </c>
      <c r="S109" s="96" t="e">
        <f>IF(ISBLANK(N109),0,R109*ROUND(O109,2))</f>
        <v>#DIV/0!</v>
      </c>
      <c r="T109" s="26" t="e">
        <f>ROUND(Q109,2)*R109</f>
        <v>#DIV/0!</v>
      </c>
      <c r="U109" s="96" t="e">
        <f>R109*dagenperjaar2</f>
        <v>#DIV/0!</v>
      </c>
      <c r="V109" s="27" t="e">
        <f>U109*ROUND(Q109,2)</f>
        <v>#DIV/0!</v>
      </c>
    </row>
    <row r="110" spans="1:22" x14ac:dyDescent="0.35">
      <c r="A110" s="93" t="s">
        <v>803</v>
      </c>
      <c r="B110" s="94" t="s">
        <v>40</v>
      </c>
      <c r="C110" s="94" t="s">
        <v>417</v>
      </c>
      <c r="D110" s="94" t="s">
        <v>1022</v>
      </c>
      <c r="E110" s="94" t="s">
        <v>40</v>
      </c>
      <c r="F110" s="95" t="s">
        <v>883</v>
      </c>
      <c r="G110" s="94" t="s">
        <v>535</v>
      </c>
      <c r="H110" s="94" t="s">
        <v>268</v>
      </c>
      <c r="I110" s="94" t="s">
        <v>13</v>
      </c>
      <c r="J110" s="94" t="s">
        <v>218</v>
      </c>
      <c r="K110" s="95" t="s">
        <v>235</v>
      </c>
      <c r="L110" s="96">
        <v>123</v>
      </c>
      <c r="M110" s="96">
        <f>L110*VLOOKUP(I110,dagsoorttabel2,2,FALSE)</f>
        <v>123</v>
      </c>
      <c r="N110" s="97">
        <f>prodnorm42</f>
        <v>0</v>
      </c>
      <c r="O110" s="41">
        <f>dagwerk42</f>
        <v>0</v>
      </c>
      <c r="P110" s="94" t="s">
        <v>107</v>
      </c>
      <c r="Q110" s="26">
        <f>uurtarief42</f>
        <v>0</v>
      </c>
      <c r="R110" s="96" t="e">
        <f>IF(ISBLANK(N110),0,M110/ROUND(N110,4))</f>
        <v>#DIV/0!</v>
      </c>
      <c r="S110" s="96" t="e">
        <f>IF(ISBLANK(N110),0,R110*ROUND(O110,2))</f>
        <v>#DIV/0!</v>
      </c>
      <c r="T110" s="26" t="e">
        <f>ROUND(Q110,2)*R110</f>
        <v>#DIV/0!</v>
      </c>
      <c r="U110" s="96" t="e">
        <f>R110*dagenperjaar2</f>
        <v>#DIV/0!</v>
      </c>
      <c r="V110" s="27" t="e">
        <f>U110*ROUND(Q110,2)</f>
        <v>#DIV/0!</v>
      </c>
    </row>
    <row r="111" spans="1:22" x14ac:dyDescent="0.35">
      <c r="A111" s="93" t="s">
        <v>803</v>
      </c>
      <c r="B111" s="94" t="s">
        <v>40</v>
      </c>
      <c r="C111" s="94" t="s">
        <v>417</v>
      </c>
      <c r="D111" s="94" t="s">
        <v>1023</v>
      </c>
      <c r="E111" s="94" t="s">
        <v>40</v>
      </c>
      <c r="F111" s="95" t="s">
        <v>883</v>
      </c>
      <c r="G111" s="94" t="s">
        <v>535</v>
      </c>
      <c r="H111" s="94" t="s">
        <v>268</v>
      </c>
      <c r="I111" s="94" t="s">
        <v>13</v>
      </c>
      <c r="J111" s="94" t="s">
        <v>218</v>
      </c>
      <c r="K111" s="95" t="s">
        <v>235</v>
      </c>
      <c r="L111" s="96">
        <v>123</v>
      </c>
      <c r="M111" s="96">
        <f>L111*VLOOKUP(I111,dagsoorttabel2,2,FALSE)</f>
        <v>123</v>
      </c>
      <c r="N111" s="97">
        <f>prodnorm42</f>
        <v>0</v>
      </c>
      <c r="O111" s="41">
        <f>dagwerk42</f>
        <v>0</v>
      </c>
      <c r="P111" s="94" t="s">
        <v>107</v>
      </c>
      <c r="Q111" s="26">
        <f>uurtarief42</f>
        <v>0</v>
      </c>
      <c r="R111" s="96" t="e">
        <f>IF(ISBLANK(N111),0,M111/ROUND(N111,4))</f>
        <v>#DIV/0!</v>
      </c>
      <c r="S111" s="96" t="e">
        <f>IF(ISBLANK(N111),0,R111*ROUND(O111,2))</f>
        <v>#DIV/0!</v>
      </c>
      <c r="T111" s="26" t="e">
        <f>ROUND(Q111,2)*R111</f>
        <v>#DIV/0!</v>
      </c>
      <c r="U111" s="96" t="e">
        <f>R111*dagenperjaar2</f>
        <v>#DIV/0!</v>
      </c>
      <c r="V111" s="27" t="e">
        <f>U111*ROUND(Q111,2)</f>
        <v>#DIV/0!</v>
      </c>
    </row>
    <row r="112" spans="1:22" x14ac:dyDescent="0.35">
      <c r="A112" s="93" t="s">
        <v>803</v>
      </c>
      <c r="B112" s="94" t="s">
        <v>40</v>
      </c>
      <c r="C112" s="94" t="s">
        <v>417</v>
      </c>
      <c r="D112" s="94" t="s">
        <v>1024</v>
      </c>
      <c r="E112" s="94" t="s">
        <v>40</v>
      </c>
      <c r="F112" s="95" t="s">
        <v>883</v>
      </c>
      <c r="G112" s="94" t="s">
        <v>535</v>
      </c>
      <c r="H112" s="94" t="s">
        <v>268</v>
      </c>
      <c r="I112" s="94" t="s">
        <v>13</v>
      </c>
      <c r="J112" s="94" t="s">
        <v>218</v>
      </c>
      <c r="K112" s="95" t="s">
        <v>235</v>
      </c>
      <c r="L112" s="96">
        <v>123</v>
      </c>
      <c r="M112" s="96">
        <f>L112*VLOOKUP(I112,dagsoorttabel2,2,FALSE)</f>
        <v>123</v>
      </c>
      <c r="N112" s="97">
        <f>prodnorm42</f>
        <v>0</v>
      </c>
      <c r="O112" s="41">
        <f>dagwerk42</f>
        <v>0</v>
      </c>
      <c r="P112" s="94" t="s">
        <v>107</v>
      </c>
      <c r="Q112" s="26">
        <f>uurtarief42</f>
        <v>0</v>
      </c>
      <c r="R112" s="96" t="e">
        <f>IF(ISBLANK(N112),0,M112/ROUND(N112,4))</f>
        <v>#DIV/0!</v>
      </c>
      <c r="S112" s="96" t="e">
        <f>IF(ISBLANK(N112),0,R112*ROUND(O112,2))</f>
        <v>#DIV/0!</v>
      </c>
      <c r="T112" s="26" t="e">
        <f>ROUND(Q112,2)*R112</f>
        <v>#DIV/0!</v>
      </c>
      <c r="U112" s="96" t="e">
        <f>R112*dagenperjaar2</f>
        <v>#DIV/0!</v>
      </c>
      <c r="V112" s="27" t="e">
        <f>U112*ROUND(Q112,2)</f>
        <v>#DIV/0!</v>
      </c>
    </row>
    <row r="113" spans="1:22" x14ac:dyDescent="0.35">
      <c r="A113" s="93" t="s">
        <v>803</v>
      </c>
      <c r="B113" s="94" t="s">
        <v>40</v>
      </c>
      <c r="C113" s="94" t="s">
        <v>417</v>
      </c>
      <c r="D113" s="94" t="s">
        <v>1025</v>
      </c>
      <c r="E113" s="94" t="s">
        <v>40</v>
      </c>
      <c r="F113" s="95" t="s">
        <v>883</v>
      </c>
      <c r="G113" s="94" t="s">
        <v>535</v>
      </c>
      <c r="H113" s="94" t="s">
        <v>268</v>
      </c>
      <c r="I113" s="94" t="s">
        <v>13</v>
      </c>
      <c r="J113" s="94" t="s">
        <v>218</v>
      </c>
      <c r="K113" s="95" t="s">
        <v>235</v>
      </c>
      <c r="L113" s="96">
        <v>122</v>
      </c>
      <c r="M113" s="96">
        <f>L113*VLOOKUP(I113,dagsoorttabel2,2,FALSE)</f>
        <v>122</v>
      </c>
      <c r="N113" s="97">
        <f>prodnorm42</f>
        <v>0</v>
      </c>
      <c r="O113" s="41">
        <f>dagwerk42</f>
        <v>0</v>
      </c>
      <c r="P113" s="94" t="s">
        <v>107</v>
      </c>
      <c r="Q113" s="26">
        <f>uurtarief42</f>
        <v>0</v>
      </c>
      <c r="R113" s="96" t="e">
        <f>IF(ISBLANK(N113),0,M113/ROUND(N113,4))</f>
        <v>#DIV/0!</v>
      </c>
      <c r="S113" s="96" t="e">
        <f>IF(ISBLANK(N113),0,R113*ROUND(O113,2))</f>
        <v>#DIV/0!</v>
      </c>
      <c r="T113" s="26" t="e">
        <f>ROUND(Q113,2)*R113</f>
        <v>#DIV/0!</v>
      </c>
      <c r="U113" s="96" t="e">
        <f>R113*dagenperjaar2</f>
        <v>#DIV/0!</v>
      </c>
      <c r="V113" s="27" t="e">
        <f>U113*ROUND(Q113,2)</f>
        <v>#DIV/0!</v>
      </c>
    </row>
    <row r="114" spans="1:22" x14ac:dyDescent="0.35">
      <c r="A114" s="93" t="s">
        <v>803</v>
      </c>
      <c r="B114" s="94" t="s">
        <v>40</v>
      </c>
      <c r="C114" s="94" t="s">
        <v>417</v>
      </c>
      <c r="D114" s="94" t="s">
        <v>1026</v>
      </c>
      <c r="E114" s="94" t="s">
        <v>40</v>
      </c>
      <c r="F114" s="95" t="s">
        <v>883</v>
      </c>
      <c r="G114" s="94" t="s">
        <v>535</v>
      </c>
      <c r="H114" s="94" t="s">
        <v>268</v>
      </c>
      <c r="I114" s="94" t="s">
        <v>13</v>
      </c>
      <c r="J114" s="94" t="s">
        <v>218</v>
      </c>
      <c r="K114" s="95" t="s">
        <v>235</v>
      </c>
      <c r="L114" s="96">
        <v>95</v>
      </c>
      <c r="M114" s="96">
        <f>L114*VLOOKUP(I114,dagsoorttabel2,2,FALSE)</f>
        <v>95</v>
      </c>
      <c r="N114" s="97">
        <f>prodnorm42</f>
        <v>0</v>
      </c>
      <c r="O114" s="41">
        <f>dagwerk42</f>
        <v>0</v>
      </c>
      <c r="P114" s="94" t="s">
        <v>107</v>
      </c>
      <c r="Q114" s="26">
        <f>uurtarief42</f>
        <v>0</v>
      </c>
      <c r="R114" s="96" t="e">
        <f>IF(ISBLANK(N114),0,M114/ROUND(N114,4))</f>
        <v>#DIV/0!</v>
      </c>
      <c r="S114" s="96" t="e">
        <f>IF(ISBLANK(N114),0,R114*ROUND(O114,2))</f>
        <v>#DIV/0!</v>
      </c>
      <c r="T114" s="26" t="e">
        <f>ROUND(Q114,2)*R114</f>
        <v>#DIV/0!</v>
      </c>
      <c r="U114" s="96" t="e">
        <f>R114*dagenperjaar2</f>
        <v>#DIV/0!</v>
      </c>
      <c r="V114" s="27" t="e">
        <f>U114*ROUND(Q114,2)</f>
        <v>#DIV/0!</v>
      </c>
    </row>
    <row r="115" spans="1:22" x14ac:dyDescent="0.35">
      <c r="A115" s="93" t="s">
        <v>803</v>
      </c>
      <c r="B115" s="94" t="s">
        <v>40</v>
      </c>
      <c r="C115" s="94" t="s">
        <v>417</v>
      </c>
      <c r="D115" s="94" t="s">
        <v>1027</v>
      </c>
      <c r="E115" s="94" t="s">
        <v>40</v>
      </c>
      <c r="F115" s="95" t="s">
        <v>883</v>
      </c>
      <c r="G115" s="94" t="s">
        <v>535</v>
      </c>
      <c r="H115" s="94" t="s">
        <v>268</v>
      </c>
      <c r="I115" s="94" t="s">
        <v>13</v>
      </c>
      <c r="J115" s="94" t="s">
        <v>218</v>
      </c>
      <c r="K115" s="95" t="s">
        <v>235</v>
      </c>
      <c r="L115" s="96">
        <v>83</v>
      </c>
      <c r="M115" s="96">
        <f>L115*VLOOKUP(I115,dagsoorttabel2,2,FALSE)</f>
        <v>83</v>
      </c>
      <c r="N115" s="97">
        <f>prodnorm42</f>
        <v>0</v>
      </c>
      <c r="O115" s="41">
        <f>dagwerk42</f>
        <v>0</v>
      </c>
      <c r="P115" s="94" t="s">
        <v>107</v>
      </c>
      <c r="Q115" s="26">
        <f>uurtarief42</f>
        <v>0</v>
      </c>
      <c r="R115" s="96" t="e">
        <f>IF(ISBLANK(N115),0,M115/ROUND(N115,4))</f>
        <v>#DIV/0!</v>
      </c>
      <c r="S115" s="96" t="e">
        <f>IF(ISBLANK(N115),0,R115*ROUND(O115,2))</f>
        <v>#DIV/0!</v>
      </c>
      <c r="T115" s="26" t="e">
        <f>ROUND(Q115,2)*R115</f>
        <v>#DIV/0!</v>
      </c>
      <c r="U115" s="96" t="e">
        <f>R115*dagenperjaar2</f>
        <v>#DIV/0!</v>
      </c>
      <c r="V115" s="27" t="e">
        <f>U115*ROUND(Q115,2)</f>
        <v>#DIV/0!</v>
      </c>
    </row>
    <row r="116" spans="1:22" x14ac:dyDescent="0.35">
      <c r="A116" s="93" t="s">
        <v>803</v>
      </c>
      <c r="B116" s="94" t="s">
        <v>40</v>
      </c>
      <c r="C116" s="94" t="s">
        <v>417</v>
      </c>
      <c r="D116" s="94" t="s">
        <v>1028</v>
      </c>
      <c r="E116" s="94" t="s">
        <v>40</v>
      </c>
      <c r="F116" s="95" t="s">
        <v>883</v>
      </c>
      <c r="G116" s="94" t="s">
        <v>535</v>
      </c>
      <c r="H116" s="94" t="s">
        <v>268</v>
      </c>
      <c r="I116" s="94" t="s">
        <v>13</v>
      </c>
      <c r="J116" s="94" t="s">
        <v>218</v>
      </c>
      <c r="K116" s="95" t="s">
        <v>235</v>
      </c>
      <c r="L116" s="96">
        <v>82</v>
      </c>
      <c r="M116" s="96">
        <f>L116*VLOOKUP(I116,dagsoorttabel2,2,FALSE)</f>
        <v>82</v>
      </c>
      <c r="N116" s="97">
        <f>prodnorm42</f>
        <v>0</v>
      </c>
      <c r="O116" s="41">
        <f>dagwerk42</f>
        <v>0</v>
      </c>
      <c r="P116" s="94" t="s">
        <v>107</v>
      </c>
      <c r="Q116" s="26">
        <f>uurtarief42</f>
        <v>0</v>
      </c>
      <c r="R116" s="96" t="e">
        <f>IF(ISBLANK(N116),0,M116/ROUND(N116,4))</f>
        <v>#DIV/0!</v>
      </c>
      <c r="S116" s="96" t="e">
        <f>IF(ISBLANK(N116),0,R116*ROUND(O116,2))</f>
        <v>#DIV/0!</v>
      </c>
      <c r="T116" s="26" t="e">
        <f>ROUND(Q116,2)*R116</f>
        <v>#DIV/0!</v>
      </c>
      <c r="U116" s="96" t="e">
        <f>R116*dagenperjaar2</f>
        <v>#DIV/0!</v>
      </c>
      <c r="V116" s="27" t="e">
        <f>U116*ROUND(Q116,2)</f>
        <v>#DIV/0!</v>
      </c>
    </row>
    <row r="117" spans="1:22" x14ac:dyDescent="0.35">
      <c r="A117" s="93" t="s">
        <v>803</v>
      </c>
      <c r="B117" s="94" t="s">
        <v>40</v>
      </c>
      <c r="C117" s="94" t="s">
        <v>417</v>
      </c>
      <c r="D117" s="94" t="s">
        <v>1029</v>
      </c>
      <c r="E117" s="94" t="s">
        <v>40</v>
      </c>
      <c r="F117" s="95" t="s">
        <v>883</v>
      </c>
      <c r="G117" s="94" t="s">
        <v>535</v>
      </c>
      <c r="H117" s="94" t="s">
        <v>268</v>
      </c>
      <c r="I117" s="94" t="s">
        <v>13</v>
      </c>
      <c r="J117" s="94" t="s">
        <v>218</v>
      </c>
      <c r="K117" s="95" t="s">
        <v>235</v>
      </c>
      <c r="L117" s="96">
        <v>62</v>
      </c>
      <c r="M117" s="96">
        <f>L117*VLOOKUP(I117,dagsoorttabel2,2,FALSE)</f>
        <v>62</v>
      </c>
      <c r="N117" s="97">
        <f>prodnorm42</f>
        <v>0</v>
      </c>
      <c r="O117" s="41">
        <f>dagwerk42</f>
        <v>0</v>
      </c>
      <c r="P117" s="94" t="s">
        <v>107</v>
      </c>
      <c r="Q117" s="26">
        <f>uurtarief42</f>
        <v>0</v>
      </c>
      <c r="R117" s="96" t="e">
        <f>IF(ISBLANK(N117),0,M117/ROUND(N117,4))</f>
        <v>#DIV/0!</v>
      </c>
      <c r="S117" s="96" t="e">
        <f>IF(ISBLANK(N117),0,R117*ROUND(O117,2))</f>
        <v>#DIV/0!</v>
      </c>
      <c r="T117" s="26" t="e">
        <f>ROUND(Q117,2)*R117</f>
        <v>#DIV/0!</v>
      </c>
      <c r="U117" s="96" t="e">
        <f>R117*dagenperjaar2</f>
        <v>#DIV/0!</v>
      </c>
      <c r="V117" s="27" t="e">
        <f>U117*ROUND(Q117,2)</f>
        <v>#DIV/0!</v>
      </c>
    </row>
    <row r="118" spans="1:22" x14ac:dyDescent="0.35">
      <c r="A118" s="93" t="s">
        <v>803</v>
      </c>
      <c r="B118" s="94" t="s">
        <v>40</v>
      </c>
      <c r="C118" s="94" t="s">
        <v>417</v>
      </c>
      <c r="D118" s="94" t="s">
        <v>1030</v>
      </c>
      <c r="E118" s="94" t="s">
        <v>40</v>
      </c>
      <c r="F118" s="95" t="s">
        <v>883</v>
      </c>
      <c r="G118" s="94" t="s">
        <v>535</v>
      </c>
      <c r="H118" s="94" t="s">
        <v>268</v>
      </c>
      <c r="I118" s="94" t="s">
        <v>13</v>
      </c>
      <c r="J118" s="94" t="s">
        <v>218</v>
      </c>
      <c r="K118" s="95" t="s">
        <v>235</v>
      </c>
      <c r="L118" s="96">
        <v>283</v>
      </c>
      <c r="M118" s="96">
        <f>L118*VLOOKUP(I118,dagsoorttabel2,2,FALSE)</f>
        <v>283</v>
      </c>
      <c r="N118" s="97">
        <f>prodnorm42</f>
        <v>0</v>
      </c>
      <c r="O118" s="41">
        <f>dagwerk42</f>
        <v>0</v>
      </c>
      <c r="P118" s="94" t="s">
        <v>107</v>
      </c>
      <c r="Q118" s="26">
        <f>uurtarief42</f>
        <v>0</v>
      </c>
      <c r="R118" s="96" t="e">
        <f>IF(ISBLANK(N118),0,M118/ROUND(N118,4))</f>
        <v>#DIV/0!</v>
      </c>
      <c r="S118" s="96" t="e">
        <f>IF(ISBLANK(N118),0,R118*ROUND(O118,2))</f>
        <v>#DIV/0!</v>
      </c>
      <c r="T118" s="26" t="e">
        <f>ROUND(Q118,2)*R118</f>
        <v>#DIV/0!</v>
      </c>
      <c r="U118" s="96" t="e">
        <f>R118*dagenperjaar2</f>
        <v>#DIV/0!</v>
      </c>
      <c r="V118" s="27" t="e">
        <f>U118*ROUND(Q118,2)</f>
        <v>#DIV/0!</v>
      </c>
    </row>
    <row r="119" spans="1:22" ht="29" x14ac:dyDescent="0.35">
      <c r="A119" s="93" t="s">
        <v>803</v>
      </c>
      <c r="B119" s="94" t="s">
        <v>40</v>
      </c>
      <c r="C119" s="94" t="s">
        <v>417</v>
      </c>
      <c r="D119" s="94" t="s">
        <v>1033</v>
      </c>
      <c r="E119" s="94" t="s">
        <v>40</v>
      </c>
      <c r="F119" s="95" t="s">
        <v>1034</v>
      </c>
      <c r="G119" s="94" t="s">
        <v>321</v>
      </c>
      <c r="H119" s="94" t="s">
        <v>270</v>
      </c>
      <c r="I119" s="94" t="s">
        <v>13</v>
      </c>
      <c r="J119" s="94" t="s">
        <v>218</v>
      </c>
      <c r="K119" s="95" t="s">
        <v>243</v>
      </c>
      <c r="L119" s="96">
        <v>11</v>
      </c>
      <c r="M119" s="96">
        <f>L119*VLOOKUP(I119,dagsoorttabel2,2,FALSE)</f>
        <v>11</v>
      </c>
      <c r="N119" s="97">
        <f>prodnorm44</f>
        <v>0</v>
      </c>
      <c r="O119" s="41">
        <f>dagwerk44</f>
        <v>0</v>
      </c>
      <c r="P119" s="94" t="s">
        <v>107</v>
      </c>
      <c r="Q119" s="26">
        <f>uurtarief44</f>
        <v>0</v>
      </c>
      <c r="R119" s="96" t="e">
        <f>IF(ISBLANK(N119),0,M119/ROUND(N119,4))</f>
        <v>#DIV/0!</v>
      </c>
      <c r="S119" s="96" t="e">
        <f>IF(ISBLANK(N119),0,R119*ROUND(O119,2))</f>
        <v>#DIV/0!</v>
      </c>
      <c r="T119" s="26" t="e">
        <f>ROUND(Q119,2)*R119</f>
        <v>#DIV/0!</v>
      </c>
      <c r="U119" s="96" t="e">
        <f>R119*dagenperjaar2</f>
        <v>#DIV/0!</v>
      </c>
      <c r="V119" s="27" t="e">
        <f>U119*ROUND(Q119,2)</f>
        <v>#DIV/0!</v>
      </c>
    </row>
    <row r="120" spans="1:22" ht="29" x14ac:dyDescent="0.35">
      <c r="A120" s="93" t="s">
        <v>803</v>
      </c>
      <c r="B120" s="94" t="s">
        <v>40</v>
      </c>
      <c r="C120" s="94" t="s">
        <v>417</v>
      </c>
      <c r="D120" s="94" t="s">
        <v>1033</v>
      </c>
      <c r="E120" s="94" t="s">
        <v>40</v>
      </c>
      <c r="F120" s="95" t="s">
        <v>1034</v>
      </c>
      <c r="G120" s="94" t="s">
        <v>321</v>
      </c>
      <c r="H120" s="94" t="s">
        <v>271</v>
      </c>
      <c r="I120" s="94" t="s">
        <v>23</v>
      </c>
      <c r="J120" s="94" t="s">
        <v>218</v>
      </c>
      <c r="K120" s="95" t="s">
        <v>272</v>
      </c>
      <c r="L120" s="96">
        <v>11</v>
      </c>
      <c r="M120" s="96">
        <f>L120*VLOOKUP(I120,dagsoorttabel2,2,FALSE)</f>
        <v>33</v>
      </c>
      <c r="N120" s="97">
        <f>prodnorm45</f>
        <v>0</v>
      </c>
      <c r="O120" s="41">
        <f>dagwerk45</f>
        <v>0</v>
      </c>
      <c r="P120" s="94" t="s">
        <v>107</v>
      </c>
      <c r="Q120" s="26">
        <f>uurtarief45</f>
        <v>0</v>
      </c>
      <c r="R120" s="96" t="e">
        <f>IF(ISBLANK(N120),0,M120/ROUND(N120,4))</f>
        <v>#DIV/0!</v>
      </c>
      <c r="S120" s="96" t="e">
        <f>IF(ISBLANK(N120),0,R120*ROUND(O120,2))</f>
        <v>#DIV/0!</v>
      </c>
      <c r="T120" s="26" t="e">
        <f>ROUND(Q120,2)*R120</f>
        <v>#DIV/0!</v>
      </c>
      <c r="U120" s="96" t="e">
        <f>R120*dagenperjaar2</f>
        <v>#DIV/0!</v>
      </c>
      <c r="V120" s="27" t="e">
        <f>U120*ROUND(Q120,2)</f>
        <v>#DIV/0!</v>
      </c>
    </row>
    <row r="121" spans="1:22" ht="29" x14ac:dyDescent="0.35">
      <c r="A121" s="93" t="s">
        <v>803</v>
      </c>
      <c r="B121" s="94" t="s">
        <v>40</v>
      </c>
      <c r="C121" s="94" t="s">
        <v>417</v>
      </c>
      <c r="D121" s="94" t="s">
        <v>1035</v>
      </c>
      <c r="E121" s="94" t="s">
        <v>40</v>
      </c>
      <c r="F121" s="95" t="s">
        <v>1034</v>
      </c>
      <c r="G121" s="94" t="s">
        <v>321</v>
      </c>
      <c r="H121" s="94" t="s">
        <v>270</v>
      </c>
      <c r="I121" s="94" t="s">
        <v>13</v>
      </c>
      <c r="J121" s="94" t="s">
        <v>218</v>
      </c>
      <c r="K121" s="95" t="s">
        <v>243</v>
      </c>
      <c r="L121" s="96">
        <v>7</v>
      </c>
      <c r="M121" s="96">
        <f>L121*VLOOKUP(I121,dagsoorttabel2,2,FALSE)</f>
        <v>7</v>
      </c>
      <c r="N121" s="97">
        <f>prodnorm44</f>
        <v>0</v>
      </c>
      <c r="O121" s="41">
        <f>dagwerk44</f>
        <v>0</v>
      </c>
      <c r="P121" s="94" t="s">
        <v>107</v>
      </c>
      <c r="Q121" s="26">
        <f>uurtarief44</f>
        <v>0</v>
      </c>
      <c r="R121" s="96" t="e">
        <f>IF(ISBLANK(N121),0,M121/ROUND(N121,4))</f>
        <v>#DIV/0!</v>
      </c>
      <c r="S121" s="96" t="e">
        <f>IF(ISBLANK(N121),0,R121*ROUND(O121,2))</f>
        <v>#DIV/0!</v>
      </c>
      <c r="T121" s="26" t="e">
        <f>ROUND(Q121,2)*R121</f>
        <v>#DIV/0!</v>
      </c>
      <c r="U121" s="96" t="e">
        <f>R121*dagenperjaar2</f>
        <v>#DIV/0!</v>
      </c>
      <c r="V121" s="27" t="e">
        <f>U121*ROUND(Q121,2)</f>
        <v>#DIV/0!</v>
      </c>
    </row>
    <row r="122" spans="1:22" ht="29" x14ac:dyDescent="0.35">
      <c r="A122" s="99" t="s">
        <v>803</v>
      </c>
      <c r="B122" s="100" t="s">
        <v>40</v>
      </c>
      <c r="C122" s="100" t="s">
        <v>417</v>
      </c>
      <c r="D122" s="100" t="s">
        <v>1035</v>
      </c>
      <c r="E122" s="100" t="s">
        <v>40</v>
      </c>
      <c r="F122" s="101" t="s">
        <v>1034</v>
      </c>
      <c r="G122" s="100" t="s">
        <v>321</v>
      </c>
      <c r="H122" s="100" t="s">
        <v>271</v>
      </c>
      <c r="I122" s="100" t="s">
        <v>23</v>
      </c>
      <c r="J122" s="100" t="s">
        <v>218</v>
      </c>
      <c r="K122" s="101" t="s">
        <v>272</v>
      </c>
      <c r="L122" s="102">
        <v>7</v>
      </c>
      <c r="M122" s="102">
        <f>L122*VLOOKUP(I122,dagsoorttabel2,2,FALSE)</f>
        <v>21</v>
      </c>
      <c r="N122" s="103">
        <f>prodnorm45</f>
        <v>0</v>
      </c>
      <c r="O122" s="104">
        <f>dagwerk45</f>
        <v>0</v>
      </c>
      <c r="P122" s="100" t="s">
        <v>107</v>
      </c>
      <c r="Q122" s="36">
        <f>uurtarief45</f>
        <v>0</v>
      </c>
      <c r="R122" s="102" t="e">
        <f>IF(ISBLANK(N122),0,M122/ROUND(N122,4))</f>
        <v>#DIV/0!</v>
      </c>
      <c r="S122" s="102" t="e">
        <f>IF(ISBLANK(N122),0,R122*ROUND(O122,2))</f>
        <v>#DIV/0!</v>
      </c>
      <c r="T122" s="36" t="e">
        <f>ROUND(Q122,2)*R122</f>
        <v>#DIV/0!</v>
      </c>
      <c r="U122" s="102" t="e">
        <f>R122*dagenperjaar2</f>
        <v>#DIV/0!</v>
      </c>
      <c r="V122" s="37" t="e">
        <f>U122*ROUND(Q122,2)</f>
        <v>#DIV/0!</v>
      </c>
    </row>
    <row r="123" spans="1:22" x14ac:dyDescent="0.35">
      <c r="A123" s="75" t="s">
        <v>1083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8" t="e">
        <f>IF(_xlfn.SINGLE(object3_urenjaar2)&gt;0,_xlfn.SINGLE(object3_prijsjaar2)/_xlfn.SINGLE(object3_urenjaar2),0)</f>
        <v>#DIV/0!</v>
      </c>
      <c r="R123" s="77" t="e">
        <f>SUM(R42:R122)</f>
        <v>#DIV/0!</v>
      </c>
      <c r="S123" s="77" t="e">
        <f>SUM(S42:S122)</f>
        <v>#DIV/0!</v>
      </c>
      <c r="T123" s="78" t="e">
        <f>SUM(T42:T122)</f>
        <v>#DIV/0!</v>
      </c>
      <c r="U123" s="77" t="e">
        <f>SUM(U42:U122)</f>
        <v>#DIV/0!</v>
      </c>
      <c r="V123" s="78" t="e">
        <f>SUM(V42:V122)</f>
        <v>#DIV/0!</v>
      </c>
    </row>
  </sheetData>
  <sheetProtection algorithmName="SHA-512" hashValue="ZXbrxWFarGjz/Z6PAwmdmMzk6SzYeUQHJzWjGT9NG3tGYlZFa+AxM5+WzzvIPbiIQgbGxm9IeWj4a29ducSBLw==" saltValue="JCwlh55SC9cJz4EGVJm4HQ==" spinCount="100000" sheet="1" objects="1" scenarios="1" autoFilter="0"/>
  <autoFilter ref="A3:V123" xr:uid="{075F3EBC-D8B2-4F04-B273-19ACCE331900}"/>
  <pageMargins left="0.7" right="0.7" top="0.75" bottom="0.75" header="0.3" footer="0.3"/>
  <pageSetup paperSize="9" scale="61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1116-E8C5-4CD5-85B1-A17EC948C4A4}">
  <dimension ref="A1:V125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5" x14ac:dyDescent="0.35"/>
  <cols>
    <col min="1" max="1" width="8.6328125" customWidth="1"/>
    <col min="2" max="3" width="7.6328125" customWidth="1"/>
    <col min="4" max="5" width="10.6328125" customWidth="1"/>
    <col min="6" max="6" width="25.6328125" customWidth="1"/>
    <col min="7" max="7" width="11.6328125" customWidth="1"/>
    <col min="8" max="8" width="7.6328125" customWidth="1"/>
    <col min="9" max="9" width="6.6328125" customWidth="1"/>
    <col min="10" max="10" width="8.6328125" customWidth="1"/>
    <col min="11" max="11" width="40.6328125" customWidth="1"/>
    <col min="12" max="13" width="10.6328125" customWidth="1"/>
    <col min="14" max="15" width="11.6328125" customWidth="1"/>
    <col min="16" max="16" width="9.6328125" customWidth="1"/>
    <col min="17" max="20" width="11.6328125" customWidth="1"/>
    <col min="21" max="21" width="12.6328125" customWidth="1"/>
    <col min="22" max="22" width="14.6328125" customWidth="1"/>
  </cols>
  <sheetData>
    <row r="1" spans="1:22" x14ac:dyDescent="0.35">
      <c r="A1" s="1" t="str">
        <f>CONCATENATE("Bijlage 3.5: ",tabeltype," ruimten feestdag")</f>
        <v>Bijlage 3.5: Invultabel ruimten feestdag</v>
      </c>
    </row>
    <row r="3" spans="1:22" ht="43.5" x14ac:dyDescent="0.35">
      <c r="A3" s="82" t="s">
        <v>298</v>
      </c>
      <c r="B3" s="44" t="s">
        <v>299</v>
      </c>
      <c r="C3" s="44" t="s">
        <v>300</v>
      </c>
      <c r="D3" s="44" t="s">
        <v>301</v>
      </c>
      <c r="E3" s="44" t="s">
        <v>302</v>
      </c>
      <c r="F3" s="44" t="s">
        <v>303</v>
      </c>
      <c r="G3" s="44" t="s">
        <v>304</v>
      </c>
      <c r="H3" s="44" t="s">
        <v>209</v>
      </c>
      <c r="I3" s="44" t="s">
        <v>7</v>
      </c>
      <c r="J3" s="44" t="s">
        <v>305</v>
      </c>
      <c r="K3" s="44" t="s">
        <v>306</v>
      </c>
      <c r="L3" s="44" t="s">
        <v>211</v>
      </c>
      <c r="M3" s="44" t="s">
        <v>212</v>
      </c>
      <c r="N3" s="44" t="s">
        <v>99</v>
      </c>
      <c r="O3" s="44" t="s">
        <v>100</v>
      </c>
      <c r="P3" s="44" t="s">
        <v>101</v>
      </c>
      <c r="Q3" s="44" t="s">
        <v>102</v>
      </c>
      <c r="R3" s="44" t="s">
        <v>213</v>
      </c>
      <c r="S3" s="44" t="s">
        <v>307</v>
      </c>
      <c r="T3" s="44" t="s">
        <v>214</v>
      </c>
      <c r="U3" s="44" t="s">
        <v>215</v>
      </c>
      <c r="V3" s="83" t="s">
        <v>216</v>
      </c>
    </row>
    <row r="4" spans="1:22" x14ac:dyDescent="0.35">
      <c r="A4" s="84" t="s">
        <v>467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74"/>
    </row>
    <row r="5" spans="1:22" ht="29" x14ac:dyDescent="0.35">
      <c r="A5" s="85" t="s">
        <v>468</v>
      </c>
      <c r="B5" s="86" t="s">
        <v>40</v>
      </c>
      <c r="C5" s="86" t="s">
        <v>40</v>
      </c>
      <c r="D5" s="86" t="s">
        <v>40</v>
      </c>
      <c r="E5" s="86" t="s">
        <v>40</v>
      </c>
      <c r="F5" s="87" t="s">
        <v>469</v>
      </c>
      <c r="G5" s="86" t="s">
        <v>40</v>
      </c>
      <c r="H5" s="86" t="s">
        <v>293</v>
      </c>
      <c r="I5" s="86" t="s">
        <v>26</v>
      </c>
      <c r="J5" s="86" t="s">
        <v>259</v>
      </c>
      <c r="K5" s="87" t="s">
        <v>294</v>
      </c>
      <c r="L5" s="88">
        <v>1.25</v>
      </c>
      <c r="M5" s="88">
        <f>L5*VLOOKUP(I5,dagsoorttabel3,2,FALSE)</f>
        <v>1.25</v>
      </c>
      <c r="N5" s="89"/>
      <c r="O5" s="90">
        <f>dagwerk51</f>
        <v>0</v>
      </c>
      <c r="P5" s="86" t="s">
        <v>261</v>
      </c>
      <c r="Q5" s="91">
        <f>uurtarief51</f>
        <v>0</v>
      </c>
      <c r="R5" s="88">
        <f>M5</f>
        <v>1.25</v>
      </c>
      <c r="S5" s="88">
        <f>R5*ROUND(O5,2)</f>
        <v>0</v>
      </c>
      <c r="T5" s="91">
        <f>ROUND(Q5,2)*R5</f>
        <v>0</v>
      </c>
      <c r="U5" s="88">
        <f>R5*dagenperjaar3</f>
        <v>11.25</v>
      </c>
      <c r="V5" s="92">
        <f>U5*ROUND(Q5,2)</f>
        <v>0</v>
      </c>
    </row>
    <row r="6" spans="1:22" x14ac:dyDescent="0.35">
      <c r="A6" s="93" t="s">
        <v>468</v>
      </c>
      <c r="B6" s="94" t="s">
        <v>40</v>
      </c>
      <c r="C6" s="94" t="s">
        <v>470</v>
      </c>
      <c r="D6" s="94" t="s">
        <v>533</v>
      </c>
      <c r="E6" s="94" t="s">
        <v>40</v>
      </c>
      <c r="F6" s="95" t="s">
        <v>534</v>
      </c>
      <c r="G6" s="94" t="s">
        <v>535</v>
      </c>
      <c r="H6" s="94" t="s">
        <v>288</v>
      </c>
      <c r="I6" s="94" t="s">
        <v>26</v>
      </c>
      <c r="J6" s="94" t="s">
        <v>218</v>
      </c>
      <c r="K6" s="95" t="s">
        <v>247</v>
      </c>
      <c r="L6" s="96">
        <v>46</v>
      </c>
      <c r="M6" s="96">
        <f>L6*VLOOKUP(I6,dagsoorttabel3,2,FALSE)</f>
        <v>46</v>
      </c>
      <c r="N6" s="97">
        <f>prodnorm58</f>
        <v>0</v>
      </c>
      <c r="O6" s="41">
        <f>dagwerk58</f>
        <v>0</v>
      </c>
      <c r="P6" s="94" t="s">
        <v>107</v>
      </c>
      <c r="Q6" s="26">
        <f>uurtarief58</f>
        <v>0</v>
      </c>
      <c r="R6" s="96" t="e">
        <f>IF(ISBLANK(N6),0,M6/ROUND(N6,4))</f>
        <v>#DIV/0!</v>
      </c>
      <c r="S6" s="96" t="e">
        <f>IF(ISBLANK(N6),0,R6*ROUND(O6,2))</f>
        <v>#DIV/0!</v>
      </c>
      <c r="T6" s="26" t="e">
        <f>ROUND(Q6,2)*R6</f>
        <v>#DIV/0!</v>
      </c>
      <c r="U6" s="96" t="e">
        <f>R6*dagenperjaar3</f>
        <v>#DIV/0!</v>
      </c>
      <c r="V6" s="27" t="e">
        <f>U6*ROUND(Q6,2)</f>
        <v>#DIV/0!</v>
      </c>
    </row>
    <row r="7" spans="1:22" x14ac:dyDescent="0.35">
      <c r="A7" s="93" t="s">
        <v>468</v>
      </c>
      <c r="B7" s="94" t="s">
        <v>40</v>
      </c>
      <c r="C7" s="94" t="s">
        <v>470</v>
      </c>
      <c r="D7" s="94" t="s">
        <v>537</v>
      </c>
      <c r="E7" s="94" t="s">
        <v>40</v>
      </c>
      <c r="F7" s="95" t="s">
        <v>534</v>
      </c>
      <c r="G7" s="94" t="s">
        <v>535</v>
      </c>
      <c r="H7" s="94" t="s">
        <v>288</v>
      </c>
      <c r="I7" s="94" t="s">
        <v>26</v>
      </c>
      <c r="J7" s="94" t="s">
        <v>218</v>
      </c>
      <c r="K7" s="95" t="s">
        <v>247</v>
      </c>
      <c r="L7" s="96">
        <v>96</v>
      </c>
      <c r="M7" s="96">
        <f>L7*VLOOKUP(I7,dagsoorttabel3,2,FALSE)</f>
        <v>96</v>
      </c>
      <c r="N7" s="97">
        <f>prodnorm58</f>
        <v>0</v>
      </c>
      <c r="O7" s="41">
        <f>dagwerk58</f>
        <v>0</v>
      </c>
      <c r="P7" s="94" t="s">
        <v>107</v>
      </c>
      <c r="Q7" s="26">
        <f>uurtarief58</f>
        <v>0</v>
      </c>
      <c r="R7" s="96" t="e">
        <f>IF(ISBLANK(N7),0,M7/ROUND(N7,4))</f>
        <v>#DIV/0!</v>
      </c>
      <c r="S7" s="96" t="e">
        <f>IF(ISBLANK(N7),0,R7*ROUND(O7,2))</f>
        <v>#DIV/0!</v>
      </c>
      <c r="T7" s="26" t="e">
        <f>ROUND(Q7,2)*R7</f>
        <v>#DIV/0!</v>
      </c>
      <c r="U7" s="96" t="e">
        <f>R7*dagenperjaar3</f>
        <v>#DIV/0!</v>
      </c>
      <c r="V7" s="27" t="e">
        <f>U7*ROUND(Q7,2)</f>
        <v>#DIV/0!</v>
      </c>
    </row>
    <row r="8" spans="1:22" x14ac:dyDescent="0.35">
      <c r="A8" s="93" t="s">
        <v>468</v>
      </c>
      <c r="B8" s="94" t="s">
        <v>40</v>
      </c>
      <c r="C8" s="94" t="s">
        <v>470</v>
      </c>
      <c r="D8" s="94" t="s">
        <v>538</v>
      </c>
      <c r="E8" s="94" t="s">
        <v>40</v>
      </c>
      <c r="F8" s="95" t="s">
        <v>534</v>
      </c>
      <c r="G8" s="94" t="s">
        <v>535</v>
      </c>
      <c r="H8" s="94" t="s">
        <v>288</v>
      </c>
      <c r="I8" s="94" t="s">
        <v>26</v>
      </c>
      <c r="J8" s="94" t="s">
        <v>218</v>
      </c>
      <c r="K8" s="95" t="s">
        <v>247</v>
      </c>
      <c r="L8" s="96">
        <v>56</v>
      </c>
      <c r="M8" s="96">
        <f>L8*VLOOKUP(I8,dagsoorttabel3,2,FALSE)</f>
        <v>56</v>
      </c>
      <c r="N8" s="97">
        <f>prodnorm58</f>
        <v>0</v>
      </c>
      <c r="O8" s="41">
        <f>dagwerk58</f>
        <v>0</v>
      </c>
      <c r="P8" s="94" t="s">
        <v>107</v>
      </c>
      <c r="Q8" s="26">
        <f>uurtarief58</f>
        <v>0</v>
      </c>
      <c r="R8" s="96" t="e">
        <f>IF(ISBLANK(N8),0,M8/ROUND(N8,4))</f>
        <v>#DIV/0!</v>
      </c>
      <c r="S8" s="96" t="e">
        <f>IF(ISBLANK(N8),0,R8*ROUND(O8,2))</f>
        <v>#DIV/0!</v>
      </c>
      <c r="T8" s="26" t="e">
        <f>ROUND(Q8,2)*R8</f>
        <v>#DIV/0!</v>
      </c>
      <c r="U8" s="96" t="e">
        <f>R8*dagenperjaar3</f>
        <v>#DIV/0!</v>
      </c>
      <c r="V8" s="27" t="e">
        <f>U8*ROUND(Q8,2)</f>
        <v>#DIV/0!</v>
      </c>
    </row>
    <row r="9" spans="1:22" x14ac:dyDescent="0.35">
      <c r="A9" s="93" t="s">
        <v>468</v>
      </c>
      <c r="B9" s="94" t="s">
        <v>40</v>
      </c>
      <c r="C9" s="94" t="s">
        <v>543</v>
      </c>
      <c r="D9" s="94" t="s">
        <v>567</v>
      </c>
      <c r="E9" s="94" t="s">
        <v>40</v>
      </c>
      <c r="F9" s="95" t="s">
        <v>568</v>
      </c>
      <c r="G9" s="94" t="s">
        <v>321</v>
      </c>
      <c r="H9" s="94" t="s">
        <v>286</v>
      </c>
      <c r="I9" s="94" t="s">
        <v>26</v>
      </c>
      <c r="J9" s="94" t="s">
        <v>218</v>
      </c>
      <c r="K9" s="95" t="s">
        <v>243</v>
      </c>
      <c r="L9" s="96">
        <v>13</v>
      </c>
      <c r="M9" s="96">
        <f>L9*VLOOKUP(I9,dagsoorttabel3,2,FALSE)</f>
        <v>13</v>
      </c>
      <c r="N9" s="97">
        <f>prodnorm56</f>
        <v>0</v>
      </c>
      <c r="O9" s="41">
        <f>dagwerk56</f>
        <v>0</v>
      </c>
      <c r="P9" s="94" t="s">
        <v>107</v>
      </c>
      <c r="Q9" s="26">
        <f>uurtarief56</f>
        <v>0</v>
      </c>
      <c r="R9" s="96" t="e">
        <f>IF(ISBLANK(N9),0,M9/ROUND(N9,4))</f>
        <v>#DIV/0!</v>
      </c>
      <c r="S9" s="96" t="e">
        <f>IF(ISBLANK(N9),0,R9*ROUND(O9,2))</f>
        <v>#DIV/0!</v>
      </c>
      <c r="T9" s="26" t="e">
        <f>ROUND(Q9,2)*R9</f>
        <v>#DIV/0!</v>
      </c>
      <c r="U9" s="96" t="e">
        <f>R9*dagenperjaar3</f>
        <v>#DIV/0!</v>
      </c>
      <c r="V9" s="27" t="e">
        <f>U9*ROUND(Q9,2)</f>
        <v>#DIV/0!</v>
      </c>
    </row>
    <row r="10" spans="1:22" x14ac:dyDescent="0.35">
      <c r="A10" s="93" t="s">
        <v>468</v>
      </c>
      <c r="B10" s="94" t="s">
        <v>40</v>
      </c>
      <c r="C10" s="94" t="s">
        <v>543</v>
      </c>
      <c r="D10" s="94" t="s">
        <v>567</v>
      </c>
      <c r="E10" s="94" t="s">
        <v>40</v>
      </c>
      <c r="F10" s="95" t="s">
        <v>568</v>
      </c>
      <c r="G10" s="94" t="s">
        <v>321</v>
      </c>
      <c r="H10" s="94" t="s">
        <v>287</v>
      </c>
      <c r="I10" s="94" t="s">
        <v>25</v>
      </c>
      <c r="J10" s="94" t="s">
        <v>218</v>
      </c>
      <c r="K10" s="95" t="s">
        <v>245</v>
      </c>
      <c r="L10" s="96">
        <v>13</v>
      </c>
      <c r="M10" s="96">
        <f>L10*VLOOKUP(I10,dagsoorttabel3,2,FALSE)</f>
        <v>39</v>
      </c>
      <c r="N10" s="97">
        <f>prodnorm57</f>
        <v>0</v>
      </c>
      <c r="O10" s="41">
        <f>dagwerk57</f>
        <v>0</v>
      </c>
      <c r="P10" s="94" t="s">
        <v>107</v>
      </c>
      <c r="Q10" s="26">
        <f>uurtarief57</f>
        <v>0</v>
      </c>
      <c r="R10" s="96" t="e">
        <f>IF(ISBLANK(N10),0,M10/ROUND(N10,4))</f>
        <v>#DIV/0!</v>
      </c>
      <c r="S10" s="96" t="e">
        <f>IF(ISBLANK(N10),0,R10*ROUND(O10,2))</f>
        <v>#DIV/0!</v>
      </c>
      <c r="T10" s="26" t="e">
        <f>ROUND(Q10,2)*R10</f>
        <v>#DIV/0!</v>
      </c>
      <c r="U10" s="96" t="e">
        <f>R10*dagenperjaar3</f>
        <v>#DIV/0!</v>
      </c>
      <c r="V10" s="27" t="e">
        <f>U10*ROUND(Q10,2)</f>
        <v>#DIV/0!</v>
      </c>
    </row>
    <row r="11" spans="1:22" x14ac:dyDescent="0.35">
      <c r="A11" s="93" t="s">
        <v>468</v>
      </c>
      <c r="B11" s="94" t="s">
        <v>40</v>
      </c>
      <c r="C11" s="94" t="s">
        <v>543</v>
      </c>
      <c r="D11" s="94" t="s">
        <v>569</v>
      </c>
      <c r="E11" s="94" t="s">
        <v>40</v>
      </c>
      <c r="F11" s="95" t="s">
        <v>568</v>
      </c>
      <c r="G11" s="94" t="s">
        <v>321</v>
      </c>
      <c r="H11" s="94" t="s">
        <v>286</v>
      </c>
      <c r="I11" s="94" t="s">
        <v>26</v>
      </c>
      <c r="J11" s="94" t="s">
        <v>218</v>
      </c>
      <c r="K11" s="95" t="s">
        <v>243</v>
      </c>
      <c r="L11" s="96">
        <v>13</v>
      </c>
      <c r="M11" s="96">
        <f>L11*VLOOKUP(I11,dagsoorttabel3,2,FALSE)</f>
        <v>13</v>
      </c>
      <c r="N11" s="97">
        <f>prodnorm56</f>
        <v>0</v>
      </c>
      <c r="O11" s="41">
        <f>dagwerk56</f>
        <v>0</v>
      </c>
      <c r="P11" s="94" t="s">
        <v>107</v>
      </c>
      <c r="Q11" s="26">
        <f>uurtarief56</f>
        <v>0</v>
      </c>
      <c r="R11" s="96" t="e">
        <f>IF(ISBLANK(N11),0,M11/ROUND(N11,4))</f>
        <v>#DIV/0!</v>
      </c>
      <c r="S11" s="96" t="e">
        <f>IF(ISBLANK(N11),0,R11*ROUND(O11,2))</f>
        <v>#DIV/0!</v>
      </c>
      <c r="T11" s="26" t="e">
        <f>ROUND(Q11,2)*R11</f>
        <v>#DIV/0!</v>
      </c>
      <c r="U11" s="96" t="e">
        <f>R11*dagenperjaar3</f>
        <v>#DIV/0!</v>
      </c>
      <c r="V11" s="27" t="e">
        <f>U11*ROUND(Q11,2)</f>
        <v>#DIV/0!</v>
      </c>
    </row>
    <row r="12" spans="1:22" x14ac:dyDescent="0.35">
      <c r="A12" s="93" t="s">
        <v>468</v>
      </c>
      <c r="B12" s="94" t="s">
        <v>40</v>
      </c>
      <c r="C12" s="94" t="s">
        <v>543</v>
      </c>
      <c r="D12" s="94" t="s">
        <v>569</v>
      </c>
      <c r="E12" s="94" t="s">
        <v>40</v>
      </c>
      <c r="F12" s="95" t="s">
        <v>568</v>
      </c>
      <c r="G12" s="94" t="s">
        <v>321</v>
      </c>
      <c r="H12" s="94" t="s">
        <v>287</v>
      </c>
      <c r="I12" s="94" t="s">
        <v>25</v>
      </c>
      <c r="J12" s="94" t="s">
        <v>218</v>
      </c>
      <c r="K12" s="95" t="s">
        <v>245</v>
      </c>
      <c r="L12" s="96">
        <v>13</v>
      </c>
      <c r="M12" s="96">
        <f>L12*VLOOKUP(I12,dagsoorttabel3,2,FALSE)</f>
        <v>39</v>
      </c>
      <c r="N12" s="97">
        <f>prodnorm57</f>
        <v>0</v>
      </c>
      <c r="O12" s="41">
        <f>dagwerk57</f>
        <v>0</v>
      </c>
      <c r="P12" s="94" t="s">
        <v>107</v>
      </c>
      <c r="Q12" s="26">
        <f>uurtarief57</f>
        <v>0</v>
      </c>
      <c r="R12" s="96" t="e">
        <f>IF(ISBLANK(N12),0,M12/ROUND(N12,4))</f>
        <v>#DIV/0!</v>
      </c>
      <c r="S12" s="96" t="e">
        <f>IF(ISBLANK(N12),0,R12*ROUND(O12,2))</f>
        <v>#DIV/0!</v>
      </c>
      <c r="T12" s="26" t="e">
        <f>ROUND(Q12,2)*R12</f>
        <v>#DIV/0!</v>
      </c>
      <c r="U12" s="96" t="e">
        <f>R12*dagenperjaar3</f>
        <v>#DIV/0!</v>
      </c>
      <c r="V12" s="27" t="e">
        <f>U12*ROUND(Q12,2)</f>
        <v>#DIV/0!</v>
      </c>
    </row>
    <row r="13" spans="1:22" x14ac:dyDescent="0.35">
      <c r="A13" s="93" t="s">
        <v>468</v>
      </c>
      <c r="B13" s="94" t="s">
        <v>40</v>
      </c>
      <c r="C13" s="94" t="s">
        <v>543</v>
      </c>
      <c r="D13" s="94" t="s">
        <v>570</v>
      </c>
      <c r="E13" s="94" t="s">
        <v>40</v>
      </c>
      <c r="F13" s="95" t="s">
        <v>571</v>
      </c>
      <c r="G13" s="94" t="s">
        <v>321</v>
      </c>
      <c r="H13" s="94" t="s">
        <v>286</v>
      </c>
      <c r="I13" s="94" t="s">
        <v>26</v>
      </c>
      <c r="J13" s="94" t="s">
        <v>218</v>
      </c>
      <c r="K13" s="95" t="s">
        <v>243</v>
      </c>
      <c r="L13" s="96">
        <v>5</v>
      </c>
      <c r="M13" s="96">
        <f>L13*VLOOKUP(I13,dagsoorttabel3,2,FALSE)</f>
        <v>5</v>
      </c>
      <c r="N13" s="97">
        <f>prodnorm56</f>
        <v>0</v>
      </c>
      <c r="O13" s="41">
        <f>dagwerk56</f>
        <v>0</v>
      </c>
      <c r="P13" s="94" t="s">
        <v>107</v>
      </c>
      <c r="Q13" s="26">
        <f>uurtarief56</f>
        <v>0</v>
      </c>
      <c r="R13" s="96" t="e">
        <f>IF(ISBLANK(N13),0,M13/ROUND(N13,4))</f>
        <v>#DIV/0!</v>
      </c>
      <c r="S13" s="96" t="e">
        <f>IF(ISBLANK(N13),0,R13*ROUND(O13,2))</f>
        <v>#DIV/0!</v>
      </c>
      <c r="T13" s="26" t="e">
        <f>ROUND(Q13,2)*R13</f>
        <v>#DIV/0!</v>
      </c>
      <c r="U13" s="96" t="e">
        <f>R13*dagenperjaar3</f>
        <v>#DIV/0!</v>
      </c>
      <c r="V13" s="27" t="e">
        <f>U13*ROUND(Q13,2)</f>
        <v>#DIV/0!</v>
      </c>
    </row>
    <row r="14" spans="1:22" x14ac:dyDescent="0.35">
      <c r="A14" s="93" t="s">
        <v>468</v>
      </c>
      <c r="B14" s="94" t="s">
        <v>40</v>
      </c>
      <c r="C14" s="94" t="s">
        <v>543</v>
      </c>
      <c r="D14" s="94" t="s">
        <v>570</v>
      </c>
      <c r="E14" s="94" t="s">
        <v>40</v>
      </c>
      <c r="F14" s="95" t="s">
        <v>571</v>
      </c>
      <c r="G14" s="94" t="s">
        <v>321</v>
      </c>
      <c r="H14" s="94" t="s">
        <v>287</v>
      </c>
      <c r="I14" s="94" t="s">
        <v>25</v>
      </c>
      <c r="J14" s="94" t="s">
        <v>218</v>
      </c>
      <c r="K14" s="95" t="s">
        <v>245</v>
      </c>
      <c r="L14" s="96">
        <v>5</v>
      </c>
      <c r="M14" s="96">
        <f>L14*VLOOKUP(I14,dagsoorttabel3,2,FALSE)</f>
        <v>15</v>
      </c>
      <c r="N14" s="97">
        <f>prodnorm57</f>
        <v>0</v>
      </c>
      <c r="O14" s="41">
        <f>dagwerk57</f>
        <v>0</v>
      </c>
      <c r="P14" s="94" t="s">
        <v>107</v>
      </c>
      <c r="Q14" s="26">
        <f>uurtarief57</f>
        <v>0</v>
      </c>
      <c r="R14" s="96" t="e">
        <f>IF(ISBLANK(N14),0,M14/ROUND(N14,4))</f>
        <v>#DIV/0!</v>
      </c>
      <c r="S14" s="96" t="e">
        <f>IF(ISBLANK(N14),0,R14*ROUND(O14,2))</f>
        <v>#DIV/0!</v>
      </c>
      <c r="T14" s="26" t="e">
        <f>ROUND(Q14,2)*R14</f>
        <v>#DIV/0!</v>
      </c>
      <c r="U14" s="96" t="e">
        <f>R14*dagenperjaar3</f>
        <v>#DIV/0!</v>
      </c>
      <c r="V14" s="27" t="e">
        <f>U14*ROUND(Q14,2)</f>
        <v>#DIV/0!</v>
      </c>
    </row>
    <row r="15" spans="1:22" x14ac:dyDescent="0.35">
      <c r="A15" s="93" t="s">
        <v>468</v>
      </c>
      <c r="B15" s="94" t="s">
        <v>40</v>
      </c>
      <c r="C15" s="94" t="s">
        <v>543</v>
      </c>
      <c r="D15" s="94" t="s">
        <v>572</v>
      </c>
      <c r="E15" s="94" t="s">
        <v>40</v>
      </c>
      <c r="F15" s="95" t="s">
        <v>573</v>
      </c>
      <c r="G15" s="94" t="s">
        <v>335</v>
      </c>
      <c r="H15" s="94" t="s">
        <v>291</v>
      </c>
      <c r="I15" s="94" t="s">
        <v>26</v>
      </c>
      <c r="J15" s="94" t="s">
        <v>218</v>
      </c>
      <c r="K15" s="95" t="s">
        <v>255</v>
      </c>
      <c r="L15" s="96">
        <v>4</v>
      </c>
      <c r="M15" s="96">
        <f>L15*VLOOKUP(I15,dagsoorttabel3,2,FALSE)</f>
        <v>4</v>
      </c>
      <c r="N15" s="97">
        <f>prodnorm61</f>
        <v>0</v>
      </c>
      <c r="O15" s="41">
        <f>dagwerk61</f>
        <v>0</v>
      </c>
      <c r="P15" s="94" t="s">
        <v>107</v>
      </c>
      <c r="Q15" s="26">
        <f>uurtarief61</f>
        <v>0</v>
      </c>
      <c r="R15" s="96" t="e">
        <f>IF(ISBLANK(N15),0,M15/ROUND(N15,4))</f>
        <v>#DIV/0!</v>
      </c>
      <c r="S15" s="96" t="e">
        <f>IF(ISBLANK(N15),0,R15*ROUND(O15,2))</f>
        <v>#DIV/0!</v>
      </c>
      <c r="T15" s="26" t="e">
        <f>ROUND(Q15,2)*R15</f>
        <v>#DIV/0!</v>
      </c>
      <c r="U15" s="96" t="e">
        <f>R15*dagenperjaar3</f>
        <v>#DIV/0!</v>
      </c>
      <c r="V15" s="27" t="e">
        <f>U15*ROUND(Q15,2)</f>
        <v>#DIV/0!</v>
      </c>
    </row>
    <row r="16" spans="1:22" x14ac:dyDescent="0.35">
      <c r="A16" s="93" t="s">
        <v>468</v>
      </c>
      <c r="B16" s="94" t="s">
        <v>40</v>
      </c>
      <c r="C16" s="94" t="s">
        <v>543</v>
      </c>
      <c r="D16" s="94" t="s">
        <v>576</v>
      </c>
      <c r="E16" s="94" t="s">
        <v>40</v>
      </c>
      <c r="F16" s="95" t="s">
        <v>577</v>
      </c>
      <c r="G16" s="94" t="s">
        <v>535</v>
      </c>
      <c r="H16" s="94" t="s">
        <v>288</v>
      </c>
      <c r="I16" s="94" t="s">
        <v>26</v>
      </c>
      <c r="J16" s="94" t="s">
        <v>218</v>
      </c>
      <c r="K16" s="95" t="s">
        <v>247</v>
      </c>
      <c r="L16" s="96">
        <v>215</v>
      </c>
      <c r="M16" s="96">
        <f>L16*VLOOKUP(I16,dagsoorttabel3,2,FALSE)</f>
        <v>215</v>
      </c>
      <c r="N16" s="97">
        <f>prodnorm58</f>
        <v>0</v>
      </c>
      <c r="O16" s="41">
        <f>dagwerk58</f>
        <v>0</v>
      </c>
      <c r="P16" s="94" t="s">
        <v>107</v>
      </c>
      <c r="Q16" s="26">
        <f>uurtarief58</f>
        <v>0</v>
      </c>
      <c r="R16" s="96" t="e">
        <f>IF(ISBLANK(N16),0,M16/ROUND(N16,4))</f>
        <v>#DIV/0!</v>
      </c>
      <c r="S16" s="96" t="e">
        <f>IF(ISBLANK(N16),0,R16*ROUND(O16,2))</f>
        <v>#DIV/0!</v>
      </c>
      <c r="T16" s="26" t="e">
        <f>ROUND(Q16,2)*R16</f>
        <v>#DIV/0!</v>
      </c>
      <c r="U16" s="96" t="e">
        <f>R16*dagenperjaar3</f>
        <v>#DIV/0!</v>
      </c>
      <c r="V16" s="27" t="e">
        <f>U16*ROUND(Q16,2)</f>
        <v>#DIV/0!</v>
      </c>
    </row>
    <row r="17" spans="1:22" x14ac:dyDescent="0.35">
      <c r="A17" s="93" t="s">
        <v>468</v>
      </c>
      <c r="B17" s="94" t="s">
        <v>40</v>
      </c>
      <c r="C17" s="94" t="s">
        <v>543</v>
      </c>
      <c r="D17" s="94" t="s">
        <v>578</v>
      </c>
      <c r="E17" s="94" t="s">
        <v>40</v>
      </c>
      <c r="F17" s="95" t="s">
        <v>579</v>
      </c>
      <c r="G17" s="94" t="s">
        <v>535</v>
      </c>
      <c r="H17" s="94" t="s">
        <v>284</v>
      </c>
      <c r="I17" s="94" t="s">
        <v>26</v>
      </c>
      <c r="J17" s="94" t="s">
        <v>218</v>
      </c>
      <c r="K17" s="95" t="s">
        <v>235</v>
      </c>
      <c r="L17" s="96">
        <v>1084</v>
      </c>
      <c r="M17" s="96">
        <f>L17*VLOOKUP(I17,dagsoorttabel3,2,FALSE)</f>
        <v>1084</v>
      </c>
      <c r="N17" s="97">
        <f>prodnorm54</f>
        <v>0</v>
      </c>
      <c r="O17" s="41">
        <f>dagwerk54</f>
        <v>0</v>
      </c>
      <c r="P17" s="94" t="s">
        <v>107</v>
      </c>
      <c r="Q17" s="26">
        <f>uurtarief54</f>
        <v>0</v>
      </c>
      <c r="R17" s="96" t="e">
        <f>IF(ISBLANK(N17),0,M17/ROUND(N17,4))</f>
        <v>#DIV/0!</v>
      </c>
      <c r="S17" s="96" t="e">
        <f>IF(ISBLANK(N17),0,R17*ROUND(O17,2))</f>
        <v>#DIV/0!</v>
      </c>
      <c r="T17" s="26" t="e">
        <f>ROUND(Q17,2)*R17</f>
        <v>#DIV/0!</v>
      </c>
      <c r="U17" s="96" t="e">
        <f>R17*dagenperjaar3</f>
        <v>#DIV/0!</v>
      </c>
      <c r="V17" s="27" t="e">
        <f>U17*ROUND(Q17,2)</f>
        <v>#DIV/0!</v>
      </c>
    </row>
    <row r="18" spans="1:22" x14ac:dyDescent="0.35">
      <c r="A18" s="93" t="s">
        <v>468</v>
      </c>
      <c r="B18" s="94" t="s">
        <v>40</v>
      </c>
      <c r="C18" s="94" t="s">
        <v>543</v>
      </c>
      <c r="D18" s="94" t="s">
        <v>580</v>
      </c>
      <c r="E18" s="94" t="s">
        <v>40</v>
      </c>
      <c r="F18" s="95" t="s">
        <v>577</v>
      </c>
      <c r="G18" s="94" t="s">
        <v>535</v>
      </c>
      <c r="H18" s="94" t="s">
        <v>288</v>
      </c>
      <c r="I18" s="94" t="s">
        <v>26</v>
      </c>
      <c r="J18" s="94" t="s">
        <v>218</v>
      </c>
      <c r="K18" s="95" t="s">
        <v>247</v>
      </c>
      <c r="L18" s="96">
        <v>47</v>
      </c>
      <c r="M18" s="96">
        <f>L18*VLOOKUP(I18,dagsoorttabel3,2,FALSE)</f>
        <v>47</v>
      </c>
      <c r="N18" s="97">
        <f>prodnorm58</f>
        <v>0</v>
      </c>
      <c r="O18" s="41">
        <f>dagwerk58</f>
        <v>0</v>
      </c>
      <c r="P18" s="94" t="s">
        <v>107</v>
      </c>
      <c r="Q18" s="26">
        <f>uurtarief58</f>
        <v>0</v>
      </c>
      <c r="R18" s="96" t="e">
        <f>IF(ISBLANK(N18),0,M18/ROUND(N18,4))</f>
        <v>#DIV/0!</v>
      </c>
      <c r="S18" s="96" t="e">
        <f>IF(ISBLANK(N18),0,R18*ROUND(O18,2))</f>
        <v>#DIV/0!</v>
      </c>
      <c r="T18" s="26" t="e">
        <f>ROUND(Q18,2)*R18</f>
        <v>#DIV/0!</v>
      </c>
      <c r="U18" s="96" t="e">
        <f>R18*dagenperjaar3</f>
        <v>#DIV/0!</v>
      </c>
      <c r="V18" s="27" t="e">
        <f>U18*ROUND(Q18,2)</f>
        <v>#DIV/0!</v>
      </c>
    </row>
    <row r="19" spans="1:22" x14ac:dyDescent="0.35">
      <c r="A19" s="93" t="s">
        <v>468</v>
      </c>
      <c r="B19" s="94" t="s">
        <v>40</v>
      </c>
      <c r="C19" s="94" t="s">
        <v>543</v>
      </c>
      <c r="D19" s="94" t="s">
        <v>581</v>
      </c>
      <c r="E19" s="94" t="s">
        <v>40</v>
      </c>
      <c r="F19" s="95" t="s">
        <v>582</v>
      </c>
      <c r="G19" s="94" t="s">
        <v>535</v>
      </c>
      <c r="H19" s="94" t="s">
        <v>284</v>
      </c>
      <c r="I19" s="94" t="s">
        <v>26</v>
      </c>
      <c r="J19" s="94" t="s">
        <v>218</v>
      </c>
      <c r="K19" s="95" t="s">
        <v>235</v>
      </c>
      <c r="L19" s="96">
        <v>78</v>
      </c>
      <c r="M19" s="96">
        <f>L19*VLOOKUP(I19,dagsoorttabel3,2,FALSE)</f>
        <v>78</v>
      </c>
      <c r="N19" s="97">
        <f>prodnorm54</f>
        <v>0</v>
      </c>
      <c r="O19" s="41">
        <f>dagwerk54</f>
        <v>0</v>
      </c>
      <c r="P19" s="94" t="s">
        <v>107</v>
      </c>
      <c r="Q19" s="26">
        <f>uurtarief54</f>
        <v>0</v>
      </c>
      <c r="R19" s="96" t="e">
        <f>IF(ISBLANK(N19),0,M19/ROUND(N19,4))</f>
        <v>#DIV/0!</v>
      </c>
      <c r="S19" s="96" t="e">
        <f>IF(ISBLANK(N19),0,R19*ROUND(O19,2))</f>
        <v>#DIV/0!</v>
      </c>
      <c r="T19" s="26" t="e">
        <f>ROUND(Q19,2)*R19</f>
        <v>#DIV/0!</v>
      </c>
      <c r="U19" s="96" t="e">
        <f>R19*dagenperjaar3</f>
        <v>#DIV/0!</v>
      </c>
      <c r="V19" s="27" t="e">
        <f>U19*ROUND(Q19,2)</f>
        <v>#DIV/0!</v>
      </c>
    </row>
    <row r="20" spans="1:22" x14ac:dyDescent="0.35">
      <c r="A20" s="93" t="s">
        <v>468</v>
      </c>
      <c r="B20" s="94" t="s">
        <v>40</v>
      </c>
      <c r="C20" s="94" t="s">
        <v>543</v>
      </c>
      <c r="D20" s="94" t="s">
        <v>590</v>
      </c>
      <c r="E20" s="94" t="s">
        <v>40</v>
      </c>
      <c r="F20" s="95" t="s">
        <v>582</v>
      </c>
      <c r="G20" s="94" t="s">
        <v>535</v>
      </c>
      <c r="H20" s="94" t="s">
        <v>284</v>
      </c>
      <c r="I20" s="94" t="s">
        <v>26</v>
      </c>
      <c r="J20" s="94" t="s">
        <v>218</v>
      </c>
      <c r="K20" s="95" t="s">
        <v>235</v>
      </c>
      <c r="L20" s="96">
        <v>181</v>
      </c>
      <c r="M20" s="96">
        <f>L20*VLOOKUP(I20,dagsoorttabel3,2,FALSE)</f>
        <v>181</v>
      </c>
      <c r="N20" s="97">
        <f>prodnorm54</f>
        <v>0</v>
      </c>
      <c r="O20" s="41">
        <f>dagwerk54</f>
        <v>0</v>
      </c>
      <c r="P20" s="94" t="s">
        <v>107</v>
      </c>
      <c r="Q20" s="26">
        <f>uurtarief54</f>
        <v>0</v>
      </c>
      <c r="R20" s="96" t="e">
        <f>IF(ISBLANK(N20),0,M20/ROUND(N20,4))</f>
        <v>#DIV/0!</v>
      </c>
      <c r="S20" s="96" t="e">
        <f>IF(ISBLANK(N20),0,R20*ROUND(O20,2))</f>
        <v>#DIV/0!</v>
      </c>
      <c r="T20" s="26" t="e">
        <f>ROUND(Q20,2)*R20</f>
        <v>#DIV/0!</v>
      </c>
      <c r="U20" s="96" t="e">
        <f>R20*dagenperjaar3</f>
        <v>#DIV/0!</v>
      </c>
      <c r="V20" s="27" t="e">
        <f>U20*ROUND(Q20,2)</f>
        <v>#DIV/0!</v>
      </c>
    </row>
    <row r="21" spans="1:22" x14ac:dyDescent="0.35">
      <c r="A21" s="93" t="s">
        <v>468</v>
      </c>
      <c r="B21" s="94" t="s">
        <v>40</v>
      </c>
      <c r="C21" s="94" t="s">
        <v>309</v>
      </c>
      <c r="D21" s="94" t="s">
        <v>601</v>
      </c>
      <c r="E21" s="94" t="s">
        <v>40</v>
      </c>
      <c r="F21" s="95" t="s">
        <v>602</v>
      </c>
      <c r="G21" s="94" t="s">
        <v>603</v>
      </c>
      <c r="H21" s="94" t="s">
        <v>290</v>
      </c>
      <c r="I21" s="94" t="s">
        <v>26</v>
      </c>
      <c r="J21" s="94" t="s">
        <v>218</v>
      </c>
      <c r="K21" s="95" t="s">
        <v>253</v>
      </c>
      <c r="L21" s="96">
        <v>4</v>
      </c>
      <c r="M21" s="96">
        <f>L21*VLOOKUP(I21,dagsoorttabel3,2,FALSE)</f>
        <v>4</v>
      </c>
      <c r="N21" s="97">
        <f>prodnorm60</f>
        <v>0</v>
      </c>
      <c r="O21" s="41">
        <f>dagwerk60</f>
        <v>0</v>
      </c>
      <c r="P21" s="94" t="s">
        <v>107</v>
      </c>
      <c r="Q21" s="26">
        <f>uurtarief60</f>
        <v>0</v>
      </c>
      <c r="R21" s="96" t="e">
        <f>IF(ISBLANK(N21),0,M21/ROUND(N21,4))</f>
        <v>#DIV/0!</v>
      </c>
      <c r="S21" s="96" t="e">
        <f>IF(ISBLANK(N21),0,R21*ROUND(O21,2))</f>
        <v>#DIV/0!</v>
      </c>
      <c r="T21" s="26" t="e">
        <f>ROUND(Q21,2)*R21</f>
        <v>#DIV/0!</v>
      </c>
      <c r="U21" s="96" t="e">
        <f>R21*dagenperjaar3</f>
        <v>#DIV/0!</v>
      </c>
      <c r="V21" s="27" t="e">
        <f>U21*ROUND(Q21,2)</f>
        <v>#DIV/0!</v>
      </c>
    </row>
    <row r="22" spans="1:22" x14ac:dyDescent="0.35">
      <c r="A22" s="93" t="s">
        <v>468</v>
      </c>
      <c r="B22" s="94" t="s">
        <v>40</v>
      </c>
      <c r="C22" s="94" t="s">
        <v>309</v>
      </c>
      <c r="D22" s="94" t="s">
        <v>609</v>
      </c>
      <c r="E22" s="94" t="s">
        <v>40</v>
      </c>
      <c r="F22" s="95" t="s">
        <v>610</v>
      </c>
      <c r="G22" s="94" t="s">
        <v>504</v>
      </c>
      <c r="H22" s="94" t="s">
        <v>292</v>
      </c>
      <c r="I22" s="94" t="s">
        <v>26</v>
      </c>
      <c r="J22" s="94" t="s">
        <v>218</v>
      </c>
      <c r="K22" s="95" t="s">
        <v>257</v>
      </c>
      <c r="L22" s="96">
        <v>11</v>
      </c>
      <c r="M22" s="96">
        <f>L22*VLOOKUP(I22,dagsoorttabel3,2,FALSE)</f>
        <v>11</v>
      </c>
      <c r="N22" s="97">
        <f>prodnorm62</f>
        <v>0</v>
      </c>
      <c r="O22" s="41">
        <f>dagwerk62</f>
        <v>0</v>
      </c>
      <c r="P22" s="94" t="s">
        <v>107</v>
      </c>
      <c r="Q22" s="26">
        <f>uurtarief62</f>
        <v>0</v>
      </c>
      <c r="R22" s="96" t="e">
        <f>IF(ISBLANK(N22),0,M22/ROUND(N22,4))</f>
        <v>#DIV/0!</v>
      </c>
      <c r="S22" s="96" t="e">
        <f>IF(ISBLANK(N22),0,R22*ROUND(O22,2))</f>
        <v>#DIV/0!</v>
      </c>
      <c r="T22" s="26" t="e">
        <f>ROUND(Q22,2)*R22</f>
        <v>#DIV/0!</v>
      </c>
      <c r="U22" s="96" t="e">
        <f>R22*dagenperjaar3</f>
        <v>#DIV/0!</v>
      </c>
      <c r="V22" s="27" t="e">
        <f>U22*ROUND(Q22,2)</f>
        <v>#DIV/0!</v>
      </c>
    </row>
    <row r="23" spans="1:22" x14ac:dyDescent="0.35">
      <c r="A23" s="93" t="s">
        <v>468</v>
      </c>
      <c r="B23" s="94" t="s">
        <v>40</v>
      </c>
      <c r="C23" s="94" t="s">
        <v>309</v>
      </c>
      <c r="D23" s="94" t="s">
        <v>616</v>
      </c>
      <c r="E23" s="94" t="s">
        <v>40</v>
      </c>
      <c r="F23" s="95" t="s">
        <v>617</v>
      </c>
      <c r="G23" s="94" t="s">
        <v>504</v>
      </c>
      <c r="H23" s="94" t="s">
        <v>292</v>
      </c>
      <c r="I23" s="94" t="s">
        <v>26</v>
      </c>
      <c r="J23" s="94" t="s">
        <v>218</v>
      </c>
      <c r="K23" s="95" t="s">
        <v>257</v>
      </c>
      <c r="L23" s="96">
        <v>62.5</v>
      </c>
      <c r="M23" s="96">
        <f>L23*VLOOKUP(I23,dagsoorttabel3,2,FALSE)</f>
        <v>62.5</v>
      </c>
      <c r="N23" s="97">
        <f>prodnorm62</f>
        <v>0</v>
      </c>
      <c r="O23" s="41">
        <f>dagwerk62</f>
        <v>0</v>
      </c>
      <c r="P23" s="94" t="s">
        <v>107</v>
      </c>
      <c r="Q23" s="26">
        <f>uurtarief62</f>
        <v>0</v>
      </c>
      <c r="R23" s="96" t="e">
        <f>IF(ISBLANK(N23),0,M23/ROUND(N23,4))</f>
        <v>#DIV/0!</v>
      </c>
      <c r="S23" s="96" t="e">
        <f>IF(ISBLANK(N23),0,R23*ROUND(O23,2))</f>
        <v>#DIV/0!</v>
      </c>
      <c r="T23" s="26" t="e">
        <f>ROUND(Q23,2)*R23</f>
        <v>#DIV/0!</v>
      </c>
      <c r="U23" s="96" t="e">
        <f>R23*dagenperjaar3</f>
        <v>#DIV/0!</v>
      </c>
      <c r="V23" s="27" t="e">
        <f>U23*ROUND(Q23,2)</f>
        <v>#DIV/0!</v>
      </c>
    </row>
    <row r="24" spans="1:22" x14ac:dyDescent="0.35">
      <c r="A24" s="93" t="s">
        <v>468</v>
      </c>
      <c r="B24" s="94" t="s">
        <v>40</v>
      </c>
      <c r="C24" s="94" t="s">
        <v>309</v>
      </c>
      <c r="D24" s="94" t="s">
        <v>618</v>
      </c>
      <c r="E24" s="94" t="s">
        <v>40</v>
      </c>
      <c r="F24" s="95" t="s">
        <v>619</v>
      </c>
      <c r="G24" s="94" t="s">
        <v>504</v>
      </c>
      <c r="H24" s="94" t="s">
        <v>288</v>
      </c>
      <c r="I24" s="94" t="s">
        <v>26</v>
      </c>
      <c r="J24" s="94" t="s">
        <v>218</v>
      </c>
      <c r="K24" s="95" t="s">
        <v>247</v>
      </c>
      <c r="L24" s="96">
        <v>942</v>
      </c>
      <c r="M24" s="96">
        <f>L24*VLOOKUP(I24,dagsoorttabel3,2,FALSE)</f>
        <v>942</v>
      </c>
      <c r="N24" s="97">
        <f>prodnorm58</f>
        <v>0</v>
      </c>
      <c r="O24" s="41">
        <f>dagwerk58</f>
        <v>0</v>
      </c>
      <c r="P24" s="94" t="s">
        <v>107</v>
      </c>
      <c r="Q24" s="26">
        <f>uurtarief58</f>
        <v>0</v>
      </c>
      <c r="R24" s="96" t="e">
        <f>IF(ISBLANK(N24),0,M24/ROUND(N24,4))</f>
        <v>#DIV/0!</v>
      </c>
      <c r="S24" s="96" t="e">
        <f>IF(ISBLANK(N24),0,R24*ROUND(O24,2))</f>
        <v>#DIV/0!</v>
      </c>
      <c r="T24" s="26" t="e">
        <f>ROUND(Q24,2)*R24</f>
        <v>#DIV/0!</v>
      </c>
      <c r="U24" s="96" t="e">
        <f>R24*dagenperjaar3</f>
        <v>#DIV/0!</v>
      </c>
      <c r="V24" s="27" t="e">
        <f>U24*ROUND(Q24,2)</f>
        <v>#DIV/0!</v>
      </c>
    </row>
    <row r="25" spans="1:22" x14ac:dyDescent="0.35">
      <c r="A25" s="93" t="s">
        <v>468</v>
      </c>
      <c r="B25" s="94" t="s">
        <v>40</v>
      </c>
      <c r="C25" s="94" t="s">
        <v>309</v>
      </c>
      <c r="D25" s="94" t="s">
        <v>620</v>
      </c>
      <c r="E25" s="94" t="s">
        <v>40</v>
      </c>
      <c r="F25" s="95" t="s">
        <v>621</v>
      </c>
      <c r="G25" s="94" t="s">
        <v>504</v>
      </c>
      <c r="H25" s="94" t="s">
        <v>289</v>
      </c>
      <c r="I25" s="94" t="s">
        <v>26</v>
      </c>
      <c r="J25" s="94" t="s">
        <v>218</v>
      </c>
      <c r="K25" s="95" t="s">
        <v>251</v>
      </c>
      <c r="L25" s="96">
        <v>47</v>
      </c>
      <c r="M25" s="96">
        <f>L25*VLOOKUP(I25,dagsoorttabel3,2,FALSE)</f>
        <v>47</v>
      </c>
      <c r="N25" s="97">
        <f>prodnorm59</f>
        <v>0</v>
      </c>
      <c r="O25" s="41">
        <f>dagwerk59</f>
        <v>0</v>
      </c>
      <c r="P25" s="94" t="s">
        <v>107</v>
      </c>
      <c r="Q25" s="26">
        <f>uurtarief59</f>
        <v>0</v>
      </c>
      <c r="R25" s="96" t="e">
        <f>IF(ISBLANK(N25),0,M25/ROUND(N25,4))</f>
        <v>#DIV/0!</v>
      </c>
      <c r="S25" s="96" t="e">
        <f>IF(ISBLANK(N25),0,R25*ROUND(O25,2))</f>
        <v>#DIV/0!</v>
      </c>
      <c r="T25" s="26" t="e">
        <f>ROUND(Q25,2)*R25</f>
        <v>#DIV/0!</v>
      </c>
      <c r="U25" s="96" t="e">
        <f>R25*dagenperjaar3</f>
        <v>#DIV/0!</v>
      </c>
      <c r="V25" s="27" t="e">
        <f>U25*ROUND(Q25,2)</f>
        <v>#DIV/0!</v>
      </c>
    </row>
    <row r="26" spans="1:22" x14ac:dyDescent="0.35">
      <c r="A26" s="93" t="s">
        <v>468</v>
      </c>
      <c r="B26" s="94" t="s">
        <v>40</v>
      </c>
      <c r="C26" s="94" t="s">
        <v>309</v>
      </c>
      <c r="D26" s="94" t="s">
        <v>626</v>
      </c>
      <c r="E26" s="94" t="s">
        <v>40</v>
      </c>
      <c r="F26" s="95" t="s">
        <v>627</v>
      </c>
      <c r="G26" s="94" t="s">
        <v>504</v>
      </c>
      <c r="H26" s="94" t="s">
        <v>288</v>
      </c>
      <c r="I26" s="94" t="s">
        <v>26</v>
      </c>
      <c r="J26" s="94" t="s">
        <v>218</v>
      </c>
      <c r="K26" s="95" t="s">
        <v>247</v>
      </c>
      <c r="L26" s="96">
        <v>120</v>
      </c>
      <c r="M26" s="96">
        <f>L26*VLOOKUP(I26,dagsoorttabel3,2,FALSE)</f>
        <v>120</v>
      </c>
      <c r="N26" s="97">
        <f>prodnorm58</f>
        <v>0</v>
      </c>
      <c r="O26" s="41">
        <f>dagwerk58</f>
        <v>0</v>
      </c>
      <c r="P26" s="94" t="s">
        <v>107</v>
      </c>
      <c r="Q26" s="26">
        <f>uurtarief58</f>
        <v>0</v>
      </c>
      <c r="R26" s="96" t="e">
        <f>IF(ISBLANK(N26),0,M26/ROUND(N26,4))</f>
        <v>#DIV/0!</v>
      </c>
      <c r="S26" s="96" t="e">
        <f>IF(ISBLANK(N26),0,R26*ROUND(O26,2))</f>
        <v>#DIV/0!</v>
      </c>
      <c r="T26" s="26" t="e">
        <f>ROUND(Q26,2)*R26</f>
        <v>#DIV/0!</v>
      </c>
      <c r="U26" s="96" t="e">
        <f>R26*dagenperjaar3</f>
        <v>#DIV/0!</v>
      </c>
      <c r="V26" s="27" t="e">
        <f>U26*ROUND(Q26,2)</f>
        <v>#DIV/0!</v>
      </c>
    </row>
    <row r="27" spans="1:22" ht="29" x14ac:dyDescent="0.35">
      <c r="A27" s="93" t="s">
        <v>468</v>
      </c>
      <c r="B27" s="94" t="s">
        <v>40</v>
      </c>
      <c r="C27" s="94" t="s">
        <v>391</v>
      </c>
      <c r="D27" s="94" t="s">
        <v>651</v>
      </c>
      <c r="E27" s="94" t="s">
        <v>40</v>
      </c>
      <c r="F27" s="95" t="s">
        <v>652</v>
      </c>
      <c r="G27" s="94" t="s">
        <v>321</v>
      </c>
      <c r="H27" s="94" t="s">
        <v>286</v>
      </c>
      <c r="I27" s="94" t="s">
        <v>26</v>
      </c>
      <c r="J27" s="94" t="s">
        <v>218</v>
      </c>
      <c r="K27" s="95" t="s">
        <v>243</v>
      </c>
      <c r="L27" s="96">
        <v>13</v>
      </c>
      <c r="M27" s="96">
        <f>L27*VLOOKUP(I27,dagsoorttabel3,2,FALSE)</f>
        <v>13</v>
      </c>
      <c r="N27" s="97">
        <f>prodnorm56</f>
        <v>0</v>
      </c>
      <c r="O27" s="41">
        <f>dagwerk56</f>
        <v>0</v>
      </c>
      <c r="P27" s="94" t="s">
        <v>107</v>
      </c>
      <c r="Q27" s="26">
        <f>uurtarief56</f>
        <v>0</v>
      </c>
      <c r="R27" s="96" t="e">
        <f>IF(ISBLANK(N27),0,M27/ROUND(N27,4))</f>
        <v>#DIV/0!</v>
      </c>
      <c r="S27" s="96" t="e">
        <f>IF(ISBLANK(N27),0,R27*ROUND(O27,2))</f>
        <v>#DIV/0!</v>
      </c>
      <c r="T27" s="26" t="e">
        <f>ROUND(Q27,2)*R27</f>
        <v>#DIV/0!</v>
      </c>
      <c r="U27" s="96" t="e">
        <f>R27*dagenperjaar3</f>
        <v>#DIV/0!</v>
      </c>
      <c r="V27" s="27" t="e">
        <f>U27*ROUND(Q27,2)</f>
        <v>#DIV/0!</v>
      </c>
    </row>
    <row r="28" spans="1:22" ht="29" x14ac:dyDescent="0.35">
      <c r="A28" s="93" t="s">
        <v>468</v>
      </c>
      <c r="B28" s="94" t="s">
        <v>40</v>
      </c>
      <c r="C28" s="94" t="s">
        <v>391</v>
      </c>
      <c r="D28" s="94" t="s">
        <v>651</v>
      </c>
      <c r="E28" s="94" t="s">
        <v>40</v>
      </c>
      <c r="F28" s="95" t="s">
        <v>652</v>
      </c>
      <c r="G28" s="94" t="s">
        <v>321</v>
      </c>
      <c r="H28" s="94" t="s">
        <v>287</v>
      </c>
      <c r="I28" s="94" t="s">
        <v>25</v>
      </c>
      <c r="J28" s="94" t="s">
        <v>218</v>
      </c>
      <c r="K28" s="95" t="s">
        <v>245</v>
      </c>
      <c r="L28" s="96">
        <v>13</v>
      </c>
      <c r="M28" s="96">
        <f>L28*VLOOKUP(I28,dagsoorttabel3,2,FALSE)</f>
        <v>39</v>
      </c>
      <c r="N28" s="97">
        <f>prodnorm57</f>
        <v>0</v>
      </c>
      <c r="O28" s="41">
        <f>dagwerk57</f>
        <v>0</v>
      </c>
      <c r="P28" s="94" t="s">
        <v>107</v>
      </c>
      <c r="Q28" s="26">
        <f>uurtarief57</f>
        <v>0</v>
      </c>
      <c r="R28" s="96" t="e">
        <f>IF(ISBLANK(N28),0,M28/ROUND(N28,4))</f>
        <v>#DIV/0!</v>
      </c>
      <c r="S28" s="96" t="e">
        <f>IF(ISBLANK(N28),0,R28*ROUND(O28,2))</f>
        <v>#DIV/0!</v>
      </c>
      <c r="T28" s="26" t="e">
        <f>ROUND(Q28,2)*R28</f>
        <v>#DIV/0!</v>
      </c>
      <c r="U28" s="96" t="e">
        <f>R28*dagenperjaar3</f>
        <v>#DIV/0!</v>
      </c>
      <c r="V28" s="27" t="e">
        <f>U28*ROUND(Q28,2)</f>
        <v>#DIV/0!</v>
      </c>
    </row>
    <row r="29" spans="1:22" x14ac:dyDescent="0.35">
      <c r="A29" s="93" t="s">
        <v>468</v>
      </c>
      <c r="B29" s="94" t="s">
        <v>40</v>
      </c>
      <c r="C29" s="94" t="s">
        <v>391</v>
      </c>
      <c r="D29" s="94" t="s">
        <v>653</v>
      </c>
      <c r="E29" s="94" t="s">
        <v>40</v>
      </c>
      <c r="F29" s="95" t="s">
        <v>654</v>
      </c>
      <c r="G29" s="94" t="s">
        <v>504</v>
      </c>
      <c r="H29" s="94" t="s">
        <v>292</v>
      </c>
      <c r="I29" s="94" t="s">
        <v>26</v>
      </c>
      <c r="J29" s="94" t="s">
        <v>218</v>
      </c>
      <c r="K29" s="95" t="s">
        <v>257</v>
      </c>
      <c r="L29" s="96">
        <v>62.5</v>
      </c>
      <c r="M29" s="96">
        <f>L29*VLOOKUP(I29,dagsoorttabel3,2,FALSE)</f>
        <v>62.5</v>
      </c>
      <c r="N29" s="97">
        <f>prodnorm62</f>
        <v>0</v>
      </c>
      <c r="O29" s="41">
        <f>dagwerk62</f>
        <v>0</v>
      </c>
      <c r="P29" s="94" t="s">
        <v>107</v>
      </c>
      <c r="Q29" s="26">
        <f>uurtarief62</f>
        <v>0</v>
      </c>
      <c r="R29" s="96" t="e">
        <f>IF(ISBLANK(N29),0,M29/ROUND(N29,4))</f>
        <v>#DIV/0!</v>
      </c>
      <c r="S29" s="96" t="e">
        <f>IF(ISBLANK(N29),0,R29*ROUND(O29,2))</f>
        <v>#DIV/0!</v>
      </c>
      <c r="T29" s="26" t="e">
        <f>ROUND(Q29,2)*R29</f>
        <v>#DIV/0!</v>
      </c>
      <c r="U29" s="96" t="e">
        <f>R29*dagenperjaar3</f>
        <v>#DIV/0!</v>
      </c>
      <c r="V29" s="27" t="e">
        <f>U29*ROUND(Q29,2)</f>
        <v>#DIV/0!</v>
      </c>
    </row>
    <row r="30" spans="1:22" x14ac:dyDescent="0.35">
      <c r="A30" s="93" t="s">
        <v>468</v>
      </c>
      <c r="B30" s="94" t="s">
        <v>40</v>
      </c>
      <c r="C30" s="94" t="s">
        <v>391</v>
      </c>
      <c r="D30" s="94" t="s">
        <v>660</v>
      </c>
      <c r="E30" s="94" t="s">
        <v>40</v>
      </c>
      <c r="F30" s="95" t="s">
        <v>661</v>
      </c>
      <c r="G30" s="94" t="s">
        <v>535</v>
      </c>
      <c r="H30" s="94" t="s">
        <v>288</v>
      </c>
      <c r="I30" s="94" t="s">
        <v>26</v>
      </c>
      <c r="J30" s="94" t="s">
        <v>218</v>
      </c>
      <c r="K30" s="95" t="s">
        <v>247</v>
      </c>
      <c r="L30" s="96">
        <v>100</v>
      </c>
      <c r="M30" s="96">
        <f>L30*VLOOKUP(I30,dagsoorttabel3,2,FALSE)</f>
        <v>100</v>
      </c>
      <c r="N30" s="97">
        <f>prodnorm58</f>
        <v>0</v>
      </c>
      <c r="O30" s="41">
        <f>dagwerk58</f>
        <v>0</v>
      </c>
      <c r="P30" s="94" t="s">
        <v>107</v>
      </c>
      <c r="Q30" s="26">
        <f>uurtarief58</f>
        <v>0</v>
      </c>
      <c r="R30" s="96" t="e">
        <f>IF(ISBLANK(N30),0,M30/ROUND(N30,4))</f>
        <v>#DIV/0!</v>
      </c>
      <c r="S30" s="96" t="e">
        <f>IF(ISBLANK(N30),0,R30*ROUND(O30,2))</f>
        <v>#DIV/0!</v>
      </c>
      <c r="T30" s="26" t="e">
        <f>ROUND(Q30,2)*R30</f>
        <v>#DIV/0!</v>
      </c>
      <c r="U30" s="96" t="e">
        <f>R30*dagenperjaar3</f>
        <v>#DIV/0!</v>
      </c>
      <c r="V30" s="27" t="e">
        <f>U30*ROUND(Q30,2)</f>
        <v>#DIV/0!</v>
      </c>
    </row>
    <row r="31" spans="1:22" x14ac:dyDescent="0.35">
      <c r="A31" s="93" t="s">
        <v>468</v>
      </c>
      <c r="B31" s="94" t="s">
        <v>40</v>
      </c>
      <c r="C31" s="94" t="s">
        <v>391</v>
      </c>
      <c r="D31" s="94" t="s">
        <v>662</v>
      </c>
      <c r="E31" s="94" t="s">
        <v>40</v>
      </c>
      <c r="F31" s="95" t="s">
        <v>663</v>
      </c>
      <c r="G31" s="94" t="s">
        <v>535</v>
      </c>
      <c r="H31" s="94" t="s">
        <v>292</v>
      </c>
      <c r="I31" s="94" t="s">
        <v>26</v>
      </c>
      <c r="J31" s="94" t="s">
        <v>218</v>
      </c>
      <c r="K31" s="95" t="s">
        <v>257</v>
      </c>
      <c r="L31" s="96">
        <v>11.7</v>
      </c>
      <c r="M31" s="96">
        <f>L31*VLOOKUP(I31,dagsoorttabel3,2,FALSE)</f>
        <v>11.7</v>
      </c>
      <c r="N31" s="97">
        <f>prodnorm62</f>
        <v>0</v>
      </c>
      <c r="O31" s="41">
        <f>dagwerk62</f>
        <v>0</v>
      </c>
      <c r="P31" s="94" t="s">
        <v>107</v>
      </c>
      <c r="Q31" s="26">
        <f>uurtarief62</f>
        <v>0</v>
      </c>
      <c r="R31" s="96" t="e">
        <f>IF(ISBLANK(N31),0,M31/ROUND(N31,4))</f>
        <v>#DIV/0!</v>
      </c>
      <c r="S31" s="96" t="e">
        <f>IF(ISBLANK(N31),0,R31*ROUND(O31,2))</f>
        <v>#DIV/0!</v>
      </c>
      <c r="T31" s="26" t="e">
        <f>ROUND(Q31,2)*R31</f>
        <v>#DIV/0!</v>
      </c>
      <c r="U31" s="96" t="e">
        <f>R31*dagenperjaar3</f>
        <v>#DIV/0!</v>
      </c>
      <c r="V31" s="27" t="e">
        <f>U31*ROUND(Q31,2)</f>
        <v>#DIV/0!</v>
      </c>
    </row>
    <row r="32" spans="1:22" ht="29" x14ac:dyDescent="0.35">
      <c r="A32" s="93" t="s">
        <v>468</v>
      </c>
      <c r="B32" s="94" t="s">
        <v>40</v>
      </c>
      <c r="C32" s="94" t="s">
        <v>391</v>
      </c>
      <c r="D32" s="94" t="s">
        <v>667</v>
      </c>
      <c r="E32" s="94" t="s">
        <v>40</v>
      </c>
      <c r="F32" s="95" t="s">
        <v>668</v>
      </c>
      <c r="G32" s="94" t="s">
        <v>321</v>
      </c>
      <c r="H32" s="94" t="s">
        <v>286</v>
      </c>
      <c r="I32" s="94" t="s">
        <v>26</v>
      </c>
      <c r="J32" s="94" t="s">
        <v>218</v>
      </c>
      <c r="K32" s="95" t="s">
        <v>243</v>
      </c>
      <c r="L32" s="96">
        <v>9</v>
      </c>
      <c r="M32" s="96">
        <f>L32*VLOOKUP(I32,dagsoorttabel3,2,FALSE)</f>
        <v>9</v>
      </c>
      <c r="N32" s="97">
        <f>prodnorm56</f>
        <v>0</v>
      </c>
      <c r="O32" s="41">
        <f>dagwerk56</f>
        <v>0</v>
      </c>
      <c r="P32" s="94" t="s">
        <v>107</v>
      </c>
      <c r="Q32" s="26">
        <f>uurtarief56</f>
        <v>0</v>
      </c>
      <c r="R32" s="96" t="e">
        <f>IF(ISBLANK(N32),0,M32/ROUND(N32,4))</f>
        <v>#DIV/0!</v>
      </c>
      <c r="S32" s="96" t="e">
        <f>IF(ISBLANK(N32),0,R32*ROUND(O32,2))</f>
        <v>#DIV/0!</v>
      </c>
      <c r="T32" s="26" t="e">
        <f>ROUND(Q32,2)*R32</f>
        <v>#DIV/0!</v>
      </c>
      <c r="U32" s="96" t="e">
        <f>R32*dagenperjaar3</f>
        <v>#DIV/0!</v>
      </c>
      <c r="V32" s="27" t="e">
        <f>U32*ROUND(Q32,2)</f>
        <v>#DIV/0!</v>
      </c>
    </row>
    <row r="33" spans="1:22" ht="29" x14ac:dyDescent="0.35">
      <c r="A33" s="93" t="s">
        <v>468</v>
      </c>
      <c r="B33" s="94" t="s">
        <v>40</v>
      </c>
      <c r="C33" s="94" t="s">
        <v>391</v>
      </c>
      <c r="D33" s="94" t="s">
        <v>667</v>
      </c>
      <c r="E33" s="94" t="s">
        <v>40</v>
      </c>
      <c r="F33" s="95" t="s">
        <v>668</v>
      </c>
      <c r="G33" s="94" t="s">
        <v>321</v>
      </c>
      <c r="H33" s="94" t="s">
        <v>287</v>
      </c>
      <c r="I33" s="94" t="s">
        <v>25</v>
      </c>
      <c r="J33" s="94" t="s">
        <v>218</v>
      </c>
      <c r="K33" s="95" t="s">
        <v>245</v>
      </c>
      <c r="L33" s="96">
        <v>9</v>
      </c>
      <c r="M33" s="96">
        <f>L33*VLOOKUP(I33,dagsoorttabel3,2,FALSE)</f>
        <v>27</v>
      </c>
      <c r="N33" s="97">
        <f>prodnorm57</f>
        <v>0</v>
      </c>
      <c r="O33" s="41">
        <f>dagwerk57</f>
        <v>0</v>
      </c>
      <c r="P33" s="94" t="s">
        <v>107</v>
      </c>
      <c r="Q33" s="26">
        <f>uurtarief57</f>
        <v>0</v>
      </c>
      <c r="R33" s="96" t="e">
        <f>IF(ISBLANK(N33),0,M33/ROUND(N33,4))</f>
        <v>#DIV/0!</v>
      </c>
      <c r="S33" s="96" t="e">
        <f>IF(ISBLANK(N33),0,R33*ROUND(O33,2))</f>
        <v>#DIV/0!</v>
      </c>
      <c r="T33" s="26" t="e">
        <f>ROUND(Q33,2)*R33</f>
        <v>#DIV/0!</v>
      </c>
      <c r="U33" s="96" t="e">
        <f>R33*dagenperjaar3</f>
        <v>#DIV/0!</v>
      </c>
      <c r="V33" s="27" t="e">
        <f>U33*ROUND(Q33,2)</f>
        <v>#DIV/0!</v>
      </c>
    </row>
    <row r="34" spans="1:22" x14ac:dyDescent="0.35">
      <c r="A34" s="93" t="s">
        <v>468</v>
      </c>
      <c r="B34" s="94" t="s">
        <v>40</v>
      </c>
      <c r="C34" s="94" t="s">
        <v>391</v>
      </c>
      <c r="D34" s="94" t="s">
        <v>672</v>
      </c>
      <c r="E34" s="94" t="s">
        <v>40</v>
      </c>
      <c r="F34" s="95" t="s">
        <v>411</v>
      </c>
      <c r="G34" s="94" t="s">
        <v>535</v>
      </c>
      <c r="H34" s="94" t="s">
        <v>288</v>
      </c>
      <c r="I34" s="94" t="s">
        <v>26</v>
      </c>
      <c r="J34" s="94" t="s">
        <v>218</v>
      </c>
      <c r="K34" s="95" t="s">
        <v>247</v>
      </c>
      <c r="L34" s="96">
        <v>7</v>
      </c>
      <c r="M34" s="96">
        <f>L34*VLOOKUP(I34,dagsoorttabel3,2,FALSE)</f>
        <v>7</v>
      </c>
      <c r="N34" s="97">
        <f>prodnorm58</f>
        <v>0</v>
      </c>
      <c r="O34" s="41">
        <f>dagwerk58</f>
        <v>0</v>
      </c>
      <c r="P34" s="94" t="s">
        <v>107</v>
      </c>
      <c r="Q34" s="26">
        <f>uurtarief58</f>
        <v>0</v>
      </c>
      <c r="R34" s="96" t="e">
        <f>IF(ISBLANK(N34),0,M34/ROUND(N34,4))</f>
        <v>#DIV/0!</v>
      </c>
      <c r="S34" s="96" t="e">
        <f>IF(ISBLANK(N34),0,R34*ROUND(O34,2))</f>
        <v>#DIV/0!</v>
      </c>
      <c r="T34" s="26" t="e">
        <f>ROUND(Q34,2)*R34</f>
        <v>#DIV/0!</v>
      </c>
      <c r="U34" s="96" t="e">
        <f>R34*dagenperjaar3</f>
        <v>#DIV/0!</v>
      </c>
      <c r="V34" s="27" t="e">
        <f>U34*ROUND(Q34,2)</f>
        <v>#DIV/0!</v>
      </c>
    </row>
    <row r="35" spans="1:22" x14ac:dyDescent="0.35">
      <c r="A35" s="93" t="s">
        <v>468</v>
      </c>
      <c r="B35" s="94" t="s">
        <v>40</v>
      </c>
      <c r="C35" s="94" t="s">
        <v>391</v>
      </c>
      <c r="D35" s="94" t="s">
        <v>694</v>
      </c>
      <c r="E35" s="94" t="s">
        <v>40</v>
      </c>
      <c r="F35" s="95" t="s">
        <v>577</v>
      </c>
      <c r="G35" s="94" t="s">
        <v>535</v>
      </c>
      <c r="H35" s="94" t="s">
        <v>284</v>
      </c>
      <c r="I35" s="94" t="s">
        <v>26</v>
      </c>
      <c r="J35" s="94" t="s">
        <v>218</v>
      </c>
      <c r="K35" s="95" t="s">
        <v>235</v>
      </c>
      <c r="L35" s="96">
        <v>42</v>
      </c>
      <c r="M35" s="96">
        <f>L35*VLOOKUP(I35,dagsoorttabel3,2,FALSE)</f>
        <v>42</v>
      </c>
      <c r="N35" s="97">
        <f>prodnorm54</f>
        <v>0</v>
      </c>
      <c r="O35" s="41">
        <f>dagwerk54</f>
        <v>0</v>
      </c>
      <c r="P35" s="94" t="s">
        <v>107</v>
      </c>
      <c r="Q35" s="26">
        <f>uurtarief54</f>
        <v>0</v>
      </c>
      <c r="R35" s="96" t="e">
        <f>IF(ISBLANK(N35),0,M35/ROUND(N35,4))</f>
        <v>#DIV/0!</v>
      </c>
      <c r="S35" s="96" t="e">
        <f>IF(ISBLANK(N35),0,R35*ROUND(O35,2))</f>
        <v>#DIV/0!</v>
      </c>
      <c r="T35" s="26" t="e">
        <f>ROUND(Q35,2)*R35</f>
        <v>#DIV/0!</v>
      </c>
      <c r="U35" s="96" t="e">
        <f>R35*dagenperjaar3</f>
        <v>#DIV/0!</v>
      </c>
      <c r="V35" s="27" t="e">
        <f>U35*ROUND(Q35,2)</f>
        <v>#DIV/0!</v>
      </c>
    </row>
    <row r="36" spans="1:22" x14ac:dyDescent="0.35">
      <c r="A36" s="93" t="s">
        <v>468</v>
      </c>
      <c r="B36" s="94" t="s">
        <v>40</v>
      </c>
      <c r="C36" s="94" t="s">
        <v>391</v>
      </c>
      <c r="D36" s="94" t="s">
        <v>695</v>
      </c>
      <c r="E36" s="94" t="s">
        <v>40</v>
      </c>
      <c r="F36" s="95" t="s">
        <v>696</v>
      </c>
      <c r="G36" s="94" t="s">
        <v>535</v>
      </c>
      <c r="H36" s="94" t="s">
        <v>284</v>
      </c>
      <c r="I36" s="94" t="s">
        <v>26</v>
      </c>
      <c r="J36" s="94" t="s">
        <v>218</v>
      </c>
      <c r="K36" s="95" t="s">
        <v>235</v>
      </c>
      <c r="L36" s="96">
        <v>37</v>
      </c>
      <c r="M36" s="96">
        <f>L36*VLOOKUP(I36,dagsoorttabel3,2,FALSE)</f>
        <v>37</v>
      </c>
      <c r="N36" s="97">
        <f>prodnorm54</f>
        <v>0</v>
      </c>
      <c r="O36" s="41">
        <f>dagwerk54</f>
        <v>0</v>
      </c>
      <c r="P36" s="94" t="s">
        <v>107</v>
      </c>
      <c r="Q36" s="26">
        <f>uurtarief54</f>
        <v>0</v>
      </c>
      <c r="R36" s="96" t="e">
        <f>IF(ISBLANK(N36),0,M36/ROUND(N36,4))</f>
        <v>#DIV/0!</v>
      </c>
      <c r="S36" s="96" t="e">
        <f>IF(ISBLANK(N36),0,R36*ROUND(O36,2))</f>
        <v>#DIV/0!</v>
      </c>
      <c r="T36" s="26" t="e">
        <f>ROUND(Q36,2)*R36</f>
        <v>#DIV/0!</v>
      </c>
      <c r="U36" s="96" t="e">
        <f>R36*dagenperjaar3</f>
        <v>#DIV/0!</v>
      </c>
      <c r="V36" s="27" t="e">
        <f>U36*ROUND(Q36,2)</f>
        <v>#DIV/0!</v>
      </c>
    </row>
    <row r="37" spans="1:22" x14ac:dyDescent="0.35">
      <c r="A37" s="93" t="s">
        <v>468</v>
      </c>
      <c r="B37" s="94" t="s">
        <v>40</v>
      </c>
      <c r="C37" s="94" t="s">
        <v>391</v>
      </c>
      <c r="D37" s="94" t="s">
        <v>697</v>
      </c>
      <c r="E37" s="94" t="s">
        <v>40</v>
      </c>
      <c r="F37" s="95" t="s">
        <v>698</v>
      </c>
      <c r="G37" s="94" t="s">
        <v>535</v>
      </c>
      <c r="H37" s="94" t="s">
        <v>284</v>
      </c>
      <c r="I37" s="94" t="s">
        <v>26</v>
      </c>
      <c r="J37" s="94" t="s">
        <v>218</v>
      </c>
      <c r="K37" s="95" t="s">
        <v>235</v>
      </c>
      <c r="L37" s="96">
        <v>142</v>
      </c>
      <c r="M37" s="96">
        <f>L37*VLOOKUP(I37,dagsoorttabel3,2,FALSE)</f>
        <v>142</v>
      </c>
      <c r="N37" s="97">
        <f>prodnorm54</f>
        <v>0</v>
      </c>
      <c r="O37" s="41">
        <f>dagwerk54</f>
        <v>0</v>
      </c>
      <c r="P37" s="94" t="s">
        <v>107</v>
      </c>
      <c r="Q37" s="26">
        <f>uurtarief54</f>
        <v>0</v>
      </c>
      <c r="R37" s="96" t="e">
        <f>IF(ISBLANK(N37),0,M37/ROUND(N37,4))</f>
        <v>#DIV/0!</v>
      </c>
      <c r="S37" s="96" t="e">
        <f>IF(ISBLANK(N37),0,R37*ROUND(O37,2))</f>
        <v>#DIV/0!</v>
      </c>
      <c r="T37" s="26" t="e">
        <f>ROUND(Q37,2)*R37</f>
        <v>#DIV/0!</v>
      </c>
      <c r="U37" s="96" t="e">
        <f>R37*dagenperjaar3</f>
        <v>#DIV/0!</v>
      </c>
      <c r="V37" s="27" t="e">
        <f>U37*ROUND(Q37,2)</f>
        <v>#DIV/0!</v>
      </c>
    </row>
    <row r="38" spans="1:22" ht="29" x14ac:dyDescent="0.35">
      <c r="A38" s="93" t="s">
        <v>468</v>
      </c>
      <c r="B38" s="94" t="s">
        <v>40</v>
      </c>
      <c r="C38" s="94" t="s">
        <v>391</v>
      </c>
      <c r="D38" s="94" t="s">
        <v>699</v>
      </c>
      <c r="E38" s="94" t="s">
        <v>40</v>
      </c>
      <c r="F38" s="95" t="s">
        <v>700</v>
      </c>
      <c r="G38" s="94" t="s">
        <v>535</v>
      </c>
      <c r="H38" s="94" t="s">
        <v>284</v>
      </c>
      <c r="I38" s="94" t="s">
        <v>26</v>
      </c>
      <c r="J38" s="94" t="s">
        <v>218</v>
      </c>
      <c r="K38" s="95" t="s">
        <v>235</v>
      </c>
      <c r="L38" s="96">
        <v>116</v>
      </c>
      <c r="M38" s="96">
        <f>L38*VLOOKUP(I38,dagsoorttabel3,2,FALSE)</f>
        <v>116</v>
      </c>
      <c r="N38" s="97">
        <f>prodnorm54</f>
        <v>0</v>
      </c>
      <c r="O38" s="41">
        <f>dagwerk54</f>
        <v>0</v>
      </c>
      <c r="P38" s="94" t="s">
        <v>107</v>
      </c>
      <c r="Q38" s="26">
        <f>uurtarief54</f>
        <v>0</v>
      </c>
      <c r="R38" s="96" t="e">
        <f>IF(ISBLANK(N38),0,M38/ROUND(N38,4))</f>
        <v>#DIV/0!</v>
      </c>
      <c r="S38" s="96" t="e">
        <f>IF(ISBLANK(N38),0,R38*ROUND(O38,2))</f>
        <v>#DIV/0!</v>
      </c>
      <c r="T38" s="26" t="e">
        <f>ROUND(Q38,2)*R38</f>
        <v>#DIV/0!</v>
      </c>
      <c r="U38" s="96" t="e">
        <f>R38*dagenperjaar3</f>
        <v>#DIV/0!</v>
      </c>
      <c r="V38" s="27" t="e">
        <f>U38*ROUND(Q38,2)</f>
        <v>#DIV/0!</v>
      </c>
    </row>
    <row r="39" spans="1:22" x14ac:dyDescent="0.35">
      <c r="A39" s="93" t="s">
        <v>468</v>
      </c>
      <c r="B39" s="94" t="s">
        <v>40</v>
      </c>
      <c r="C39" s="94" t="s">
        <v>391</v>
      </c>
      <c r="D39" s="94" t="s">
        <v>705</v>
      </c>
      <c r="E39" s="94" t="s">
        <v>40</v>
      </c>
      <c r="F39" s="95" t="s">
        <v>706</v>
      </c>
      <c r="G39" s="94" t="s">
        <v>535</v>
      </c>
      <c r="H39" s="94" t="s">
        <v>284</v>
      </c>
      <c r="I39" s="94" t="s">
        <v>26</v>
      </c>
      <c r="J39" s="94" t="s">
        <v>218</v>
      </c>
      <c r="K39" s="95" t="s">
        <v>235</v>
      </c>
      <c r="L39" s="96">
        <v>12</v>
      </c>
      <c r="M39" s="96">
        <f>L39*VLOOKUP(I39,dagsoorttabel3,2,FALSE)</f>
        <v>12</v>
      </c>
      <c r="N39" s="97">
        <f>prodnorm54</f>
        <v>0</v>
      </c>
      <c r="O39" s="41">
        <f>dagwerk54</f>
        <v>0</v>
      </c>
      <c r="P39" s="94" t="s">
        <v>107</v>
      </c>
      <c r="Q39" s="26">
        <f>uurtarief54</f>
        <v>0</v>
      </c>
      <c r="R39" s="96" t="e">
        <f>IF(ISBLANK(N39),0,M39/ROUND(N39,4))</f>
        <v>#DIV/0!</v>
      </c>
      <c r="S39" s="96" t="e">
        <f>IF(ISBLANK(N39),0,R39*ROUND(O39,2))</f>
        <v>#DIV/0!</v>
      </c>
      <c r="T39" s="26" t="e">
        <f>ROUND(Q39,2)*R39</f>
        <v>#DIV/0!</v>
      </c>
      <c r="U39" s="96" t="e">
        <f>R39*dagenperjaar3</f>
        <v>#DIV/0!</v>
      </c>
      <c r="V39" s="27" t="e">
        <f>U39*ROUND(Q39,2)</f>
        <v>#DIV/0!</v>
      </c>
    </row>
    <row r="40" spans="1:22" x14ac:dyDescent="0.35">
      <c r="A40" s="93" t="s">
        <v>468</v>
      </c>
      <c r="B40" s="94" t="s">
        <v>40</v>
      </c>
      <c r="C40" s="94" t="s">
        <v>391</v>
      </c>
      <c r="D40" s="94" t="s">
        <v>707</v>
      </c>
      <c r="E40" s="94" t="s">
        <v>40</v>
      </c>
      <c r="F40" s="95" t="s">
        <v>706</v>
      </c>
      <c r="G40" s="94" t="s">
        <v>535</v>
      </c>
      <c r="H40" s="94" t="s">
        <v>284</v>
      </c>
      <c r="I40" s="94" t="s">
        <v>26</v>
      </c>
      <c r="J40" s="94" t="s">
        <v>218</v>
      </c>
      <c r="K40" s="95" t="s">
        <v>235</v>
      </c>
      <c r="L40" s="96">
        <v>12</v>
      </c>
      <c r="M40" s="96">
        <f>L40*VLOOKUP(I40,dagsoorttabel3,2,FALSE)</f>
        <v>12</v>
      </c>
      <c r="N40" s="97">
        <f>prodnorm54</f>
        <v>0</v>
      </c>
      <c r="O40" s="41">
        <f>dagwerk54</f>
        <v>0</v>
      </c>
      <c r="P40" s="94" t="s">
        <v>107</v>
      </c>
      <c r="Q40" s="26">
        <f>uurtarief54</f>
        <v>0</v>
      </c>
      <c r="R40" s="96" t="e">
        <f>IF(ISBLANK(N40),0,M40/ROUND(N40,4))</f>
        <v>#DIV/0!</v>
      </c>
      <c r="S40" s="96" t="e">
        <f>IF(ISBLANK(N40),0,R40*ROUND(O40,2))</f>
        <v>#DIV/0!</v>
      </c>
      <c r="T40" s="26" t="e">
        <f>ROUND(Q40,2)*R40</f>
        <v>#DIV/0!</v>
      </c>
      <c r="U40" s="96" t="e">
        <f>R40*dagenperjaar3</f>
        <v>#DIV/0!</v>
      </c>
      <c r="V40" s="27" t="e">
        <f>U40*ROUND(Q40,2)</f>
        <v>#DIV/0!</v>
      </c>
    </row>
    <row r="41" spans="1:22" x14ac:dyDescent="0.35">
      <c r="A41" s="99" t="s">
        <v>468</v>
      </c>
      <c r="B41" s="100" t="s">
        <v>40</v>
      </c>
      <c r="C41" s="100" t="s">
        <v>729</v>
      </c>
      <c r="D41" s="100" t="s">
        <v>736</v>
      </c>
      <c r="E41" s="100" t="s">
        <v>40</v>
      </c>
      <c r="F41" s="101" t="s">
        <v>411</v>
      </c>
      <c r="G41" s="100" t="s">
        <v>335</v>
      </c>
      <c r="H41" s="100" t="s">
        <v>288</v>
      </c>
      <c r="I41" s="100" t="s">
        <v>26</v>
      </c>
      <c r="J41" s="100" t="s">
        <v>218</v>
      </c>
      <c r="K41" s="101" t="s">
        <v>247</v>
      </c>
      <c r="L41" s="102">
        <v>15</v>
      </c>
      <c r="M41" s="102">
        <f>L41*VLOOKUP(I41,dagsoorttabel3,2,FALSE)</f>
        <v>15</v>
      </c>
      <c r="N41" s="103">
        <f>prodnorm58</f>
        <v>0</v>
      </c>
      <c r="O41" s="104">
        <f>dagwerk58</f>
        <v>0</v>
      </c>
      <c r="P41" s="100" t="s">
        <v>107</v>
      </c>
      <c r="Q41" s="36">
        <f>uurtarief58</f>
        <v>0</v>
      </c>
      <c r="R41" s="102" t="e">
        <f>IF(ISBLANK(N41),0,M41/ROUND(N41,4))</f>
        <v>#DIV/0!</v>
      </c>
      <c r="S41" s="102" t="e">
        <f>IF(ISBLANK(N41),0,R41*ROUND(O41,2))</f>
        <v>#DIV/0!</v>
      </c>
      <c r="T41" s="36" t="e">
        <f>ROUND(Q41,2)*R41</f>
        <v>#DIV/0!</v>
      </c>
      <c r="U41" s="102" t="e">
        <f>R41*dagenperjaar3</f>
        <v>#DIV/0!</v>
      </c>
      <c r="V41" s="37" t="e">
        <f>U41*ROUND(Q41,2)</f>
        <v>#DIV/0!</v>
      </c>
    </row>
    <row r="42" spans="1:22" x14ac:dyDescent="0.35">
      <c r="A42" s="106" t="s">
        <v>1084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8" t="e">
        <f>IF(_xlfn.SINGLE(object2_urenjaar3)&gt;0,_xlfn.SINGLE(object2_prijsjaar3)/_xlfn.SINGLE(object2_urenjaar3),0)</f>
        <v>#DIV/0!</v>
      </c>
      <c r="R42" s="77" t="e">
        <f>SUM(R5:R41)</f>
        <v>#DIV/0!</v>
      </c>
      <c r="S42" s="77" t="e">
        <f>SUM(S5:S41)</f>
        <v>#DIV/0!</v>
      </c>
      <c r="T42" s="78" t="e">
        <f>SUM(T5:T41)</f>
        <v>#DIV/0!</v>
      </c>
      <c r="U42" s="77" t="e">
        <f>SUM(U5:U41)</f>
        <v>#DIV/0!</v>
      </c>
      <c r="V42" s="79" t="e">
        <f>SUM(V5:V41)</f>
        <v>#DIV/0!</v>
      </c>
    </row>
    <row r="43" spans="1:22" x14ac:dyDescent="0.35">
      <c r="A43" s="84" t="s">
        <v>802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74"/>
    </row>
    <row r="44" spans="1:22" x14ac:dyDescent="0.35">
      <c r="A44" s="85" t="s">
        <v>803</v>
      </c>
      <c r="B44" s="86" t="s">
        <v>40</v>
      </c>
      <c r="C44" s="86" t="s">
        <v>470</v>
      </c>
      <c r="D44" s="86" t="s">
        <v>820</v>
      </c>
      <c r="E44" s="86" t="s">
        <v>40</v>
      </c>
      <c r="F44" s="87" t="s">
        <v>821</v>
      </c>
      <c r="G44" s="86" t="s">
        <v>321</v>
      </c>
      <c r="H44" s="86" t="s">
        <v>285</v>
      </c>
      <c r="I44" s="86" t="s">
        <v>26</v>
      </c>
      <c r="J44" s="86" t="s">
        <v>218</v>
      </c>
      <c r="K44" s="87" t="s">
        <v>241</v>
      </c>
      <c r="L44" s="88">
        <v>35</v>
      </c>
      <c r="M44" s="88">
        <f>L44*VLOOKUP(I44,dagsoorttabel3,2,FALSE)</f>
        <v>35</v>
      </c>
      <c r="N44" s="89">
        <f>prodnorm55</f>
        <v>0</v>
      </c>
      <c r="O44" s="90">
        <f>dagwerk55</f>
        <v>0</v>
      </c>
      <c r="P44" s="86" t="s">
        <v>107</v>
      </c>
      <c r="Q44" s="91">
        <f>uurtarief55</f>
        <v>0</v>
      </c>
      <c r="R44" s="88" t="e">
        <f>IF(ISBLANK(N44),0,M44/ROUND(N44,4))</f>
        <v>#DIV/0!</v>
      </c>
      <c r="S44" s="88" t="e">
        <f>IF(ISBLANK(N44),0,R44*ROUND(O44,2))</f>
        <v>#DIV/0!</v>
      </c>
      <c r="T44" s="91" t="e">
        <f>ROUND(Q44,2)*R44</f>
        <v>#DIV/0!</v>
      </c>
      <c r="U44" s="88" t="e">
        <f>R44*dagenperjaar3</f>
        <v>#DIV/0!</v>
      </c>
      <c r="V44" s="92" t="e">
        <f>U44*ROUND(Q44,2)</f>
        <v>#DIV/0!</v>
      </c>
    </row>
    <row r="45" spans="1:22" x14ac:dyDescent="0.35">
      <c r="A45" s="93" t="s">
        <v>803</v>
      </c>
      <c r="B45" s="94" t="s">
        <v>40</v>
      </c>
      <c r="C45" s="94" t="s">
        <v>470</v>
      </c>
      <c r="D45" s="94" t="s">
        <v>822</v>
      </c>
      <c r="E45" s="94" t="s">
        <v>40</v>
      </c>
      <c r="F45" s="95" t="s">
        <v>823</v>
      </c>
      <c r="G45" s="94" t="s">
        <v>321</v>
      </c>
      <c r="H45" s="94" t="s">
        <v>285</v>
      </c>
      <c r="I45" s="94" t="s">
        <v>26</v>
      </c>
      <c r="J45" s="94" t="s">
        <v>218</v>
      </c>
      <c r="K45" s="95" t="s">
        <v>241</v>
      </c>
      <c r="L45" s="96">
        <v>35</v>
      </c>
      <c r="M45" s="96">
        <f>L45*VLOOKUP(I45,dagsoorttabel3,2,FALSE)</f>
        <v>35</v>
      </c>
      <c r="N45" s="97">
        <f>prodnorm55</f>
        <v>0</v>
      </c>
      <c r="O45" s="41">
        <f>dagwerk55</f>
        <v>0</v>
      </c>
      <c r="P45" s="94" t="s">
        <v>107</v>
      </c>
      <c r="Q45" s="26">
        <f>uurtarief55</f>
        <v>0</v>
      </c>
      <c r="R45" s="96" t="e">
        <f>IF(ISBLANK(N45),0,M45/ROUND(N45,4))</f>
        <v>#DIV/0!</v>
      </c>
      <c r="S45" s="96" t="e">
        <f>IF(ISBLANK(N45),0,R45*ROUND(O45,2))</f>
        <v>#DIV/0!</v>
      </c>
      <c r="T45" s="26" t="e">
        <f>ROUND(Q45,2)*R45</f>
        <v>#DIV/0!</v>
      </c>
      <c r="U45" s="96" t="e">
        <f>R45*dagenperjaar3</f>
        <v>#DIV/0!</v>
      </c>
      <c r="V45" s="27" t="e">
        <f>U45*ROUND(Q45,2)</f>
        <v>#DIV/0!</v>
      </c>
    </row>
    <row r="46" spans="1:22" x14ac:dyDescent="0.35">
      <c r="A46" s="93" t="s">
        <v>803</v>
      </c>
      <c r="B46" s="94" t="s">
        <v>40</v>
      </c>
      <c r="C46" s="94" t="s">
        <v>470</v>
      </c>
      <c r="D46" s="94" t="s">
        <v>840</v>
      </c>
      <c r="E46" s="94" t="s">
        <v>40</v>
      </c>
      <c r="F46" s="95" t="s">
        <v>325</v>
      </c>
      <c r="G46" s="94" t="s">
        <v>841</v>
      </c>
      <c r="H46" s="94" t="s">
        <v>292</v>
      </c>
      <c r="I46" s="94" t="s">
        <v>26</v>
      </c>
      <c r="J46" s="94" t="s">
        <v>218</v>
      </c>
      <c r="K46" s="95" t="s">
        <v>257</v>
      </c>
      <c r="L46" s="96">
        <v>3.6</v>
      </c>
      <c r="M46" s="96">
        <f>L46*VLOOKUP(I46,dagsoorttabel3,2,FALSE)</f>
        <v>3.6</v>
      </c>
      <c r="N46" s="97">
        <f>prodnorm62</f>
        <v>0</v>
      </c>
      <c r="O46" s="41">
        <f>dagwerk62</f>
        <v>0</v>
      </c>
      <c r="P46" s="94" t="s">
        <v>107</v>
      </c>
      <c r="Q46" s="26">
        <f>uurtarief62</f>
        <v>0</v>
      </c>
      <c r="R46" s="96" t="e">
        <f>IF(ISBLANK(N46),0,M46/ROUND(N46,4))</f>
        <v>#DIV/0!</v>
      </c>
      <c r="S46" s="96" t="e">
        <f>IF(ISBLANK(N46),0,R46*ROUND(O46,2))</f>
        <v>#DIV/0!</v>
      </c>
      <c r="T46" s="26" t="e">
        <f>ROUND(Q46,2)*R46</f>
        <v>#DIV/0!</v>
      </c>
      <c r="U46" s="96" t="e">
        <f>R46*dagenperjaar3</f>
        <v>#DIV/0!</v>
      </c>
      <c r="V46" s="27" t="e">
        <f>U46*ROUND(Q46,2)</f>
        <v>#DIV/0!</v>
      </c>
    </row>
    <row r="47" spans="1:22" x14ac:dyDescent="0.35">
      <c r="A47" s="93" t="s">
        <v>803</v>
      </c>
      <c r="B47" s="94" t="s">
        <v>40</v>
      </c>
      <c r="C47" s="94" t="s">
        <v>309</v>
      </c>
      <c r="D47" s="94" t="s">
        <v>877</v>
      </c>
      <c r="E47" s="94" t="s">
        <v>40</v>
      </c>
      <c r="F47" s="95" t="s">
        <v>878</v>
      </c>
      <c r="G47" s="94" t="s">
        <v>879</v>
      </c>
      <c r="H47" s="94" t="s">
        <v>290</v>
      </c>
      <c r="I47" s="94" t="s">
        <v>26</v>
      </c>
      <c r="J47" s="94" t="s">
        <v>218</v>
      </c>
      <c r="K47" s="95" t="s">
        <v>253</v>
      </c>
      <c r="L47" s="96">
        <v>55</v>
      </c>
      <c r="M47" s="96">
        <f>L47*VLOOKUP(I47,dagsoorttabel3,2,FALSE)</f>
        <v>55</v>
      </c>
      <c r="N47" s="97">
        <f>prodnorm60</f>
        <v>0</v>
      </c>
      <c r="O47" s="41">
        <f>dagwerk60</f>
        <v>0</v>
      </c>
      <c r="P47" s="94" t="s">
        <v>107</v>
      </c>
      <c r="Q47" s="26">
        <f>uurtarief60</f>
        <v>0</v>
      </c>
      <c r="R47" s="96" t="e">
        <f>IF(ISBLANK(N47),0,M47/ROUND(N47,4))</f>
        <v>#DIV/0!</v>
      </c>
      <c r="S47" s="96" t="e">
        <f>IF(ISBLANK(N47),0,R47*ROUND(O47,2))</f>
        <v>#DIV/0!</v>
      </c>
      <c r="T47" s="26" t="e">
        <f>ROUND(Q47,2)*R47</f>
        <v>#DIV/0!</v>
      </c>
      <c r="U47" s="96" t="e">
        <f>R47*dagenperjaar3</f>
        <v>#DIV/0!</v>
      </c>
      <c r="V47" s="27" t="e">
        <f>U47*ROUND(Q47,2)</f>
        <v>#DIV/0!</v>
      </c>
    </row>
    <row r="48" spans="1:22" x14ac:dyDescent="0.35">
      <c r="A48" s="93" t="s">
        <v>803</v>
      </c>
      <c r="B48" s="94" t="s">
        <v>40</v>
      </c>
      <c r="C48" s="94" t="s">
        <v>309</v>
      </c>
      <c r="D48" s="94" t="s">
        <v>882</v>
      </c>
      <c r="E48" s="94" t="s">
        <v>40</v>
      </c>
      <c r="F48" s="95" t="s">
        <v>883</v>
      </c>
      <c r="G48" s="94" t="s">
        <v>535</v>
      </c>
      <c r="H48" s="94" t="s">
        <v>284</v>
      </c>
      <c r="I48" s="94" t="s">
        <v>26</v>
      </c>
      <c r="J48" s="94" t="s">
        <v>218</v>
      </c>
      <c r="K48" s="95" t="s">
        <v>235</v>
      </c>
      <c r="L48" s="96">
        <v>90</v>
      </c>
      <c r="M48" s="96">
        <f>L48*VLOOKUP(I48,dagsoorttabel3,2,FALSE)</f>
        <v>90</v>
      </c>
      <c r="N48" s="97">
        <f>prodnorm54</f>
        <v>0</v>
      </c>
      <c r="O48" s="41">
        <f>dagwerk54</f>
        <v>0</v>
      </c>
      <c r="P48" s="94" t="s">
        <v>107</v>
      </c>
      <c r="Q48" s="26">
        <f>uurtarief54</f>
        <v>0</v>
      </c>
      <c r="R48" s="96" t="e">
        <f>IF(ISBLANK(N48),0,M48/ROUND(N48,4))</f>
        <v>#DIV/0!</v>
      </c>
      <c r="S48" s="96" t="e">
        <f>IF(ISBLANK(N48),0,R48*ROUND(O48,2))</f>
        <v>#DIV/0!</v>
      </c>
      <c r="T48" s="26" t="e">
        <f>ROUND(Q48,2)*R48</f>
        <v>#DIV/0!</v>
      </c>
      <c r="U48" s="96" t="e">
        <f>R48*dagenperjaar3</f>
        <v>#DIV/0!</v>
      </c>
      <c r="V48" s="27" t="e">
        <f>U48*ROUND(Q48,2)</f>
        <v>#DIV/0!</v>
      </c>
    </row>
    <row r="49" spans="1:22" x14ac:dyDescent="0.35">
      <c r="A49" s="93" t="s">
        <v>803</v>
      </c>
      <c r="B49" s="94" t="s">
        <v>40</v>
      </c>
      <c r="C49" s="94" t="s">
        <v>309</v>
      </c>
      <c r="D49" s="94" t="s">
        <v>884</v>
      </c>
      <c r="E49" s="94" t="s">
        <v>40</v>
      </c>
      <c r="F49" s="95" t="s">
        <v>883</v>
      </c>
      <c r="G49" s="94" t="s">
        <v>535</v>
      </c>
      <c r="H49" s="94" t="s">
        <v>284</v>
      </c>
      <c r="I49" s="94" t="s">
        <v>26</v>
      </c>
      <c r="J49" s="94" t="s">
        <v>218</v>
      </c>
      <c r="K49" s="95" t="s">
        <v>235</v>
      </c>
      <c r="L49" s="96">
        <v>33</v>
      </c>
      <c r="M49" s="96">
        <f>L49*VLOOKUP(I49,dagsoorttabel3,2,FALSE)</f>
        <v>33</v>
      </c>
      <c r="N49" s="97">
        <f>prodnorm54</f>
        <v>0</v>
      </c>
      <c r="O49" s="41">
        <f>dagwerk54</f>
        <v>0</v>
      </c>
      <c r="P49" s="94" t="s">
        <v>107</v>
      </c>
      <c r="Q49" s="26">
        <f>uurtarief54</f>
        <v>0</v>
      </c>
      <c r="R49" s="96" t="e">
        <f>IF(ISBLANK(N49),0,M49/ROUND(N49,4))</f>
        <v>#DIV/0!</v>
      </c>
      <c r="S49" s="96" t="e">
        <f>IF(ISBLANK(N49),0,R49*ROUND(O49,2))</f>
        <v>#DIV/0!</v>
      </c>
      <c r="T49" s="26" t="e">
        <f>ROUND(Q49,2)*R49</f>
        <v>#DIV/0!</v>
      </c>
      <c r="U49" s="96" t="e">
        <f>R49*dagenperjaar3</f>
        <v>#DIV/0!</v>
      </c>
      <c r="V49" s="27" t="e">
        <f>U49*ROUND(Q49,2)</f>
        <v>#DIV/0!</v>
      </c>
    </row>
    <row r="50" spans="1:22" x14ac:dyDescent="0.35">
      <c r="A50" s="93" t="s">
        <v>803</v>
      </c>
      <c r="B50" s="94" t="s">
        <v>40</v>
      </c>
      <c r="C50" s="94" t="s">
        <v>309</v>
      </c>
      <c r="D50" s="94" t="s">
        <v>885</v>
      </c>
      <c r="E50" s="94" t="s">
        <v>40</v>
      </c>
      <c r="F50" s="95" t="s">
        <v>883</v>
      </c>
      <c r="G50" s="94" t="s">
        <v>535</v>
      </c>
      <c r="H50" s="94" t="s">
        <v>284</v>
      </c>
      <c r="I50" s="94" t="s">
        <v>26</v>
      </c>
      <c r="J50" s="94" t="s">
        <v>218</v>
      </c>
      <c r="K50" s="95" t="s">
        <v>235</v>
      </c>
      <c r="L50" s="96">
        <v>32</v>
      </c>
      <c r="M50" s="96">
        <f>L50*VLOOKUP(I50,dagsoorttabel3,2,FALSE)</f>
        <v>32</v>
      </c>
      <c r="N50" s="97">
        <f>prodnorm54</f>
        <v>0</v>
      </c>
      <c r="O50" s="41">
        <f>dagwerk54</f>
        <v>0</v>
      </c>
      <c r="P50" s="94" t="s">
        <v>107</v>
      </c>
      <c r="Q50" s="26">
        <f>uurtarief54</f>
        <v>0</v>
      </c>
      <c r="R50" s="96" t="e">
        <f>IF(ISBLANK(N50),0,M50/ROUND(N50,4))</f>
        <v>#DIV/0!</v>
      </c>
      <c r="S50" s="96" t="e">
        <f>IF(ISBLANK(N50),0,R50*ROUND(O50,2))</f>
        <v>#DIV/0!</v>
      </c>
      <c r="T50" s="26" t="e">
        <f>ROUND(Q50,2)*R50</f>
        <v>#DIV/0!</v>
      </c>
      <c r="U50" s="96" t="e">
        <f>R50*dagenperjaar3</f>
        <v>#DIV/0!</v>
      </c>
      <c r="V50" s="27" t="e">
        <f>U50*ROUND(Q50,2)</f>
        <v>#DIV/0!</v>
      </c>
    </row>
    <row r="51" spans="1:22" x14ac:dyDescent="0.35">
      <c r="A51" s="93" t="s">
        <v>803</v>
      </c>
      <c r="B51" s="94" t="s">
        <v>40</v>
      </c>
      <c r="C51" s="94" t="s">
        <v>309</v>
      </c>
      <c r="D51" s="94" t="s">
        <v>886</v>
      </c>
      <c r="E51" s="94" t="s">
        <v>40</v>
      </c>
      <c r="F51" s="95" t="s">
        <v>883</v>
      </c>
      <c r="G51" s="94" t="s">
        <v>535</v>
      </c>
      <c r="H51" s="94" t="s">
        <v>284</v>
      </c>
      <c r="I51" s="94" t="s">
        <v>26</v>
      </c>
      <c r="J51" s="94" t="s">
        <v>218</v>
      </c>
      <c r="K51" s="95" t="s">
        <v>235</v>
      </c>
      <c r="L51" s="96">
        <v>32</v>
      </c>
      <c r="M51" s="96">
        <f>L51*VLOOKUP(I51,dagsoorttabel3,2,FALSE)</f>
        <v>32</v>
      </c>
      <c r="N51" s="97">
        <f>prodnorm54</f>
        <v>0</v>
      </c>
      <c r="O51" s="41">
        <f>dagwerk54</f>
        <v>0</v>
      </c>
      <c r="P51" s="94" t="s">
        <v>107</v>
      </c>
      <c r="Q51" s="26">
        <f>uurtarief54</f>
        <v>0</v>
      </c>
      <c r="R51" s="96" t="e">
        <f>IF(ISBLANK(N51),0,M51/ROUND(N51,4))</f>
        <v>#DIV/0!</v>
      </c>
      <c r="S51" s="96" t="e">
        <f>IF(ISBLANK(N51),0,R51*ROUND(O51,2))</f>
        <v>#DIV/0!</v>
      </c>
      <c r="T51" s="26" t="e">
        <f>ROUND(Q51,2)*R51</f>
        <v>#DIV/0!</v>
      </c>
      <c r="U51" s="96" t="e">
        <f>R51*dagenperjaar3</f>
        <v>#DIV/0!</v>
      </c>
      <c r="V51" s="27" t="e">
        <f>U51*ROUND(Q51,2)</f>
        <v>#DIV/0!</v>
      </c>
    </row>
    <row r="52" spans="1:22" x14ac:dyDescent="0.35">
      <c r="A52" s="93" t="s">
        <v>803</v>
      </c>
      <c r="B52" s="94" t="s">
        <v>40</v>
      </c>
      <c r="C52" s="94" t="s">
        <v>309</v>
      </c>
      <c r="D52" s="94" t="s">
        <v>887</v>
      </c>
      <c r="E52" s="94" t="s">
        <v>40</v>
      </c>
      <c r="F52" s="95" t="s">
        <v>883</v>
      </c>
      <c r="G52" s="94" t="s">
        <v>535</v>
      </c>
      <c r="H52" s="94" t="s">
        <v>284</v>
      </c>
      <c r="I52" s="94" t="s">
        <v>26</v>
      </c>
      <c r="J52" s="94" t="s">
        <v>218</v>
      </c>
      <c r="K52" s="95" t="s">
        <v>235</v>
      </c>
      <c r="L52" s="96">
        <v>33</v>
      </c>
      <c r="M52" s="96">
        <f>L52*VLOOKUP(I52,dagsoorttabel3,2,FALSE)</f>
        <v>33</v>
      </c>
      <c r="N52" s="97">
        <f>prodnorm54</f>
        <v>0</v>
      </c>
      <c r="O52" s="41">
        <f>dagwerk54</f>
        <v>0</v>
      </c>
      <c r="P52" s="94" t="s">
        <v>107</v>
      </c>
      <c r="Q52" s="26">
        <f>uurtarief54</f>
        <v>0</v>
      </c>
      <c r="R52" s="96" t="e">
        <f>IF(ISBLANK(N52),0,M52/ROUND(N52,4))</f>
        <v>#DIV/0!</v>
      </c>
      <c r="S52" s="96" t="e">
        <f>IF(ISBLANK(N52),0,R52*ROUND(O52,2))</f>
        <v>#DIV/0!</v>
      </c>
      <c r="T52" s="26" t="e">
        <f>ROUND(Q52,2)*R52</f>
        <v>#DIV/0!</v>
      </c>
      <c r="U52" s="96" t="e">
        <f>R52*dagenperjaar3</f>
        <v>#DIV/0!</v>
      </c>
      <c r="V52" s="27" t="e">
        <f>U52*ROUND(Q52,2)</f>
        <v>#DIV/0!</v>
      </c>
    </row>
    <row r="53" spans="1:22" x14ac:dyDescent="0.35">
      <c r="A53" s="93" t="s">
        <v>803</v>
      </c>
      <c r="B53" s="94" t="s">
        <v>40</v>
      </c>
      <c r="C53" s="94" t="s">
        <v>309</v>
      </c>
      <c r="D53" s="94" t="s">
        <v>888</v>
      </c>
      <c r="E53" s="94" t="s">
        <v>40</v>
      </c>
      <c r="F53" s="95" t="s">
        <v>883</v>
      </c>
      <c r="G53" s="94" t="s">
        <v>535</v>
      </c>
      <c r="H53" s="94" t="s">
        <v>284</v>
      </c>
      <c r="I53" s="94" t="s">
        <v>26</v>
      </c>
      <c r="J53" s="94" t="s">
        <v>218</v>
      </c>
      <c r="K53" s="95" t="s">
        <v>235</v>
      </c>
      <c r="L53" s="96">
        <v>100</v>
      </c>
      <c r="M53" s="96">
        <f>L53*VLOOKUP(I53,dagsoorttabel3,2,FALSE)</f>
        <v>100</v>
      </c>
      <c r="N53" s="97">
        <f>prodnorm54</f>
        <v>0</v>
      </c>
      <c r="O53" s="41">
        <f>dagwerk54</f>
        <v>0</v>
      </c>
      <c r="P53" s="94" t="s">
        <v>107</v>
      </c>
      <c r="Q53" s="26">
        <f>uurtarief54</f>
        <v>0</v>
      </c>
      <c r="R53" s="96" t="e">
        <f>IF(ISBLANK(N53),0,M53/ROUND(N53,4))</f>
        <v>#DIV/0!</v>
      </c>
      <c r="S53" s="96" t="e">
        <f>IF(ISBLANK(N53),0,R53*ROUND(O53,2))</f>
        <v>#DIV/0!</v>
      </c>
      <c r="T53" s="26" t="e">
        <f>ROUND(Q53,2)*R53</f>
        <v>#DIV/0!</v>
      </c>
      <c r="U53" s="96" t="e">
        <f>R53*dagenperjaar3</f>
        <v>#DIV/0!</v>
      </c>
      <c r="V53" s="27" t="e">
        <f>U53*ROUND(Q53,2)</f>
        <v>#DIV/0!</v>
      </c>
    </row>
    <row r="54" spans="1:22" x14ac:dyDescent="0.35">
      <c r="A54" s="93" t="s">
        <v>803</v>
      </c>
      <c r="B54" s="94" t="s">
        <v>40</v>
      </c>
      <c r="C54" s="94" t="s">
        <v>309</v>
      </c>
      <c r="D54" s="94" t="s">
        <v>889</v>
      </c>
      <c r="E54" s="94" t="s">
        <v>40</v>
      </c>
      <c r="F54" s="95" t="s">
        <v>883</v>
      </c>
      <c r="G54" s="94" t="s">
        <v>535</v>
      </c>
      <c r="H54" s="94" t="s">
        <v>284</v>
      </c>
      <c r="I54" s="94" t="s">
        <v>26</v>
      </c>
      <c r="J54" s="94" t="s">
        <v>218</v>
      </c>
      <c r="K54" s="95" t="s">
        <v>235</v>
      </c>
      <c r="L54" s="96">
        <v>59</v>
      </c>
      <c r="M54" s="96">
        <f>L54*VLOOKUP(I54,dagsoorttabel3,2,FALSE)</f>
        <v>59</v>
      </c>
      <c r="N54" s="97">
        <f>prodnorm54</f>
        <v>0</v>
      </c>
      <c r="O54" s="41">
        <f>dagwerk54</f>
        <v>0</v>
      </c>
      <c r="P54" s="94" t="s">
        <v>107</v>
      </c>
      <c r="Q54" s="26">
        <f>uurtarief54</f>
        <v>0</v>
      </c>
      <c r="R54" s="96" t="e">
        <f>IF(ISBLANK(N54),0,M54/ROUND(N54,4))</f>
        <v>#DIV/0!</v>
      </c>
      <c r="S54" s="96" t="e">
        <f>IF(ISBLANK(N54),0,R54*ROUND(O54,2))</f>
        <v>#DIV/0!</v>
      </c>
      <c r="T54" s="26" t="e">
        <f>ROUND(Q54,2)*R54</f>
        <v>#DIV/0!</v>
      </c>
      <c r="U54" s="96" t="e">
        <f>R54*dagenperjaar3</f>
        <v>#DIV/0!</v>
      </c>
      <c r="V54" s="27" t="e">
        <f>U54*ROUND(Q54,2)</f>
        <v>#DIV/0!</v>
      </c>
    </row>
    <row r="55" spans="1:22" x14ac:dyDescent="0.35">
      <c r="A55" s="93" t="s">
        <v>803</v>
      </c>
      <c r="B55" s="94" t="s">
        <v>40</v>
      </c>
      <c r="C55" s="94" t="s">
        <v>309</v>
      </c>
      <c r="D55" s="94" t="s">
        <v>891</v>
      </c>
      <c r="E55" s="94" t="s">
        <v>40</v>
      </c>
      <c r="F55" s="95" t="s">
        <v>892</v>
      </c>
      <c r="G55" s="94" t="s">
        <v>535</v>
      </c>
      <c r="H55" s="94" t="s">
        <v>284</v>
      </c>
      <c r="I55" s="94" t="s">
        <v>26</v>
      </c>
      <c r="J55" s="94" t="s">
        <v>218</v>
      </c>
      <c r="K55" s="95" t="s">
        <v>235</v>
      </c>
      <c r="L55" s="96">
        <v>77</v>
      </c>
      <c r="M55" s="96">
        <f>L55*VLOOKUP(I55,dagsoorttabel3,2,FALSE)</f>
        <v>77</v>
      </c>
      <c r="N55" s="97">
        <f>prodnorm54</f>
        <v>0</v>
      </c>
      <c r="O55" s="41">
        <f>dagwerk54</f>
        <v>0</v>
      </c>
      <c r="P55" s="94" t="s">
        <v>107</v>
      </c>
      <c r="Q55" s="26">
        <f>uurtarief54</f>
        <v>0</v>
      </c>
      <c r="R55" s="96" t="e">
        <f>IF(ISBLANK(N55),0,M55/ROUND(N55,4))</f>
        <v>#DIV/0!</v>
      </c>
      <c r="S55" s="96" t="e">
        <f>IF(ISBLANK(N55),0,R55*ROUND(O55,2))</f>
        <v>#DIV/0!</v>
      </c>
      <c r="T55" s="26" t="e">
        <f>ROUND(Q55,2)*R55</f>
        <v>#DIV/0!</v>
      </c>
      <c r="U55" s="96" t="e">
        <f>R55*dagenperjaar3</f>
        <v>#DIV/0!</v>
      </c>
      <c r="V55" s="27" t="e">
        <f>U55*ROUND(Q55,2)</f>
        <v>#DIV/0!</v>
      </c>
    </row>
    <row r="56" spans="1:22" x14ac:dyDescent="0.35">
      <c r="A56" s="93" t="s">
        <v>803</v>
      </c>
      <c r="B56" s="94" t="s">
        <v>40</v>
      </c>
      <c r="C56" s="94" t="s">
        <v>309</v>
      </c>
      <c r="D56" s="94" t="s">
        <v>893</v>
      </c>
      <c r="E56" s="94" t="s">
        <v>40</v>
      </c>
      <c r="F56" s="95" t="s">
        <v>894</v>
      </c>
      <c r="G56" s="94" t="s">
        <v>535</v>
      </c>
      <c r="H56" s="94" t="s">
        <v>284</v>
      </c>
      <c r="I56" s="94" t="s">
        <v>26</v>
      </c>
      <c r="J56" s="94" t="s">
        <v>218</v>
      </c>
      <c r="K56" s="95" t="s">
        <v>235</v>
      </c>
      <c r="L56" s="96">
        <v>77</v>
      </c>
      <c r="M56" s="96">
        <f>L56*VLOOKUP(I56,dagsoorttabel3,2,FALSE)</f>
        <v>77</v>
      </c>
      <c r="N56" s="97">
        <f>prodnorm54</f>
        <v>0</v>
      </c>
      <c r="O56" s="41">
        <f>dagwerk54</f>
        <v>0</v>
      </c>
      <c r="P56" s="94" t="s">
        <v>107</v>
      </c>
      <c r="Q56" s="26">
        <f>uurtarief54</f>
        <v>0</v>
      </c>
      <c r="R56" s="96" t="e">
        <f>IF(ISBLANK(N56),0,M56/ROUND(N56,4))</f>
        <v>#DIV/0!</v>
      </c>
      <c r="S56" s="96" t="e">
        <f>IF(ISBLANK(N56),0,R56*ROUND(O56,2))</f>
        <v>#DIV/0!</v>
      </c>
      <c r="T56" s="26" t="e">
        <f>ROUND(Q56,2)*R56</f>
        <v>#DIV/0!</v>
      </c>
      <c r="U56" s="96" t="e">
        <f>R56*dagenperjaar3</f>
        <v>#DIV/0!</v>
      </c>
      <c r="V56" s="27" t="e">
        <f>U56*ROUND(Q56,2)</f>
        <v>#DIV/0!</v>
      </c>
    </row>
    <row r="57" spans="1:22" x14ac:dyDescent="0.35">
      <c r="A57" s="93" t="s">
        <v>803</v>
      </c>
      <c r="B57" s="94" t="s">
        <v>40</v>
      </c>
      <c r="C57" s="94" t="s">
        <v>309</v>
      </c>
      <c r="D57" s="94" t="s">
        <v>895</v>
      </c>
      <c r="E57" s="94" t="s">
        <v>40</v>
      </c>
      <c r="F57" s="95" t="s">
        <v>883</v>
      </c>
      <c r="G57" s="94" t="s">
        <v>535</v>
      </c>
      <c r="H57" s="94" t="s">
        <v>284</v>
      </c>
      <c r="I57" s="94" t="s">
        <v>26</v>
      </c>
      <c r="J57" s="94" t="s">
        <v>218</v>
      </c>
      <c r="K57" s="95" t="s">
        <v>235</v>
      </c>
      <c r="L57" s="96">
        <v>60</v>
      </c>
      <c r="M57" s="96">
        <f>L57*VLOOKUP(I57,dagsoorttabel3,2,FALSE)</f>
        <v>60</v>
      </c>
      <c r="N57" s="97">
        <f>prodnorm54</f>
        <v>0</v>
      </c>
      <c r="O57" s="41">
        <f>dagwerk54</f>
        <v>0</v>
      </c>
      <c r="P57" s="94" t="s">
        <v>107</v>
      </c>
      <c r="Q57" s="26">
        <f>uurtarief54</f>
        <v>0</v>
      </c>
      <c r="R57" s="96" t="e">
        <f>IF(ISBLANK(N57),0,M57/ROUND(N57,4))</f>
        <v>#DIV/0!</v>
      </c>
      <c r="S57" s="96" t="e">
        <f>IF(ISBLANK(N57),0,R57*ROUND(O57,2))</f>
        <v>#DIV/0!</v>
      </c>
      <c r="T57" s="26" t="e">
        <f>ROUND(Q57,2)*R57</f>
        <v>#DIV/0!</v>
      </c>
      <c r="U57" s="96" t="e">
        <f>R57*dagenperjaar3</f>
        <v>#DIV/0!</v>
      </c>
      <c r="V57" s="27" t="e">
        <f>U57*ROUND(Q57,2)</f>
        <v>#DIV/0!</v>
      </c>
    </row>
    <row r="58" spans="1:22" x14ac:dyDescent="0.35">
      <c r="A58" s="93" t="s">
        <v>803</v>
      </c>
      <c r="B58" s="94" t="s">
        <v>40</v>
      </c>
      <c r="C58" s="94" t="s">
        <v>309</v>
      </c>
      <c r="D58" s="94" t="s">
        <v>899</v>
      </c>
      <c r="E58" s="94" t="s">
        <v>40</v>
      </c>
      <c r="F58" s="95" t="s">
        <v>883</v>
      </c>
      <c r="G58" s="94" t="s">
        <v>535</v>
      </c>
      <c r="H58" s="94" t="s">
        <v>284</v>
      </c>
      <c r="I58" s="94" t="s">
        <v>26</v>
      </c>
      <c r="J58" s="94" t="s">
        <v>218</v>
      </c>
      <c r="K58" s="95" t="s">
        <v>235</v>
      </c>
      <c r="L58" s="96">
        <v>100</v>
      </c>
      <c r="M58" s="96">
        <f>L58*VLOOKUP(I58,dagsoorttabel3,2,FALSE)</f>
        <v>100</v>
      </c>
      <c r="N58" s="97">
        <f>prodnorm54</f>
        <v>0</v>
      </c>
      <c r="O58" s="41">
        <f>dagwerk54</f>
        <v>0</v>
      </c>
      <c r="P58" s="94" t="s">
        <v>107</v>
      </c>
      <c r="Q58" s="26">
        <f>uurtarief54</f>
        <v>0</v>
      </c>
      <c r="R58" s="96" t="e">
        <f>IF(ISBLANK(N58),0,M58/ROUND(N58,4))</f>
        <v>#DIV/0!</v>
      </c>
      <c r="S58" s="96" t="e">
        <f>IF(ISBLANK(N58),0,R58*ROUND(O58,2))</f>
        <v>#DIV/0!</v>
      </c>
      <c r="T58" s="26" t="e">
        <f>ROUND(Q58,2)*R58</f>
        <v>#DIV/0!</v>
      </c>
      <c r="U58" s="96" t="e">
        <f>R58*dagenperjaar3</f>
        <v>#DIV/0!</v>
      </c>
      <c r="V58" s="27" t="e">
        <f>U58*ROUND(Q58,2)</f>
        <v>#DIV/0!</v>
      </c>
    </row>
    <row r="59" spans="1:22" x14ac:dyDescent="0.35">
      <c r="A59" s="93" t="s">
        <v>803</v>
      </c>
      <c r="B59" s="94" t="s">
        <v>40</v>
      </c>
      <c r="C59" s="94" t="s">
        <v>309</v>
      </c>
      <c r="D59" s="94" t="s">
        <v>900</v>
      </c>
      <c r="E59" s="94" t="s">
        <v>40</v>
      </c>
      <c r="F59" s="95" t="s">
        <v>883</v>
      </c>
      <c r="G59" s="94" t="s">
        <v>535</v>
      </c>
      <c r="H59" s="94" t="s">
        <v>284</v>
      </c>
      <c r="I59" s="94" t="s">
        <v>26</v>
      </c>
      <c r="J59" s="94" t="s">
        <v>218</v>
      </c>
      <c r="K59" s="95" t="s">
        <v>235</v>
      </c>
      <c r="L59" s="96">
        <v>84</v>
      </c>
      <c r="M59" s="96">
        <f>L59*VLOOKUP(I59,dagsoorttabel3,2,FALSE)</f>
        <v>84</v>
      </c>
      <c r="N59" s="97">
        <f>prodnorm54</f>
        <v>0</v>
      </c>
      <c r="O59" s="41">
        <f>dagwerk54</f>
        <v>0</v>
      </c>
      <c r="P59" s="94" t="s">
        <v>107</v>
      </c>
      <c r="Q59" s="26">
        <f>uurtarief54</f>
        <v>0</v>
      </c>
      <c r="R59" s="96" t="e">
        <f>IF(ISBLANK(N59),0,M59/ROUND(N59,4))</f>
        <v>#DIV/0!</v>
      </c>
      <c r="S59" s="96" t="e">
        <f>IF(ISBLANK(N59),0,R59*ROUND(O59,2))</f>
        <v>#DIV/0!</v>
      </c>
      <c r="T59" s="26" t="e">
        <f>ROUND(Q59,2)*R59</f>
        <v>#DIV/0!</v>
      </c>
      <c r="U59" s="96" t="e">
        <f>R59*dagenperjaar3</f>
        <v>#DIV/0!</v>
      </c>
      <c r="V59" s="27" t="e">
        <f>U59*ROUND(Q59,2)</f>
        <v>#DIV/0!</v>
      </c>
    </row>
    <row r="60" spans="1:22" x14ac:dyDescent="0.35">
      <c r="A60" s="93" t="s">
        <v>803</v>
      </c>
      <c r="B60" s="94" t="s">
        <v>40</v>
      </c>
      <c r="C60" s="94" t="s">
        <v>309</v>
      </c>
      <c r="D60" s="94" t="s">
        <v>901</v>
      </c>
      <c r="E60" s="94" t="s">
        <v>40</v>
      </c>
      <c r="F60" s="95" t="s">
        <v>883</v>
      </c>
      <c r="G60" s="94" t="s">
        <v>535</v>
      </c>
      <c r="H60" s="94" t="s">
        <v>284</v>
      </c>
      <c r="I60" s="94" t="s">
        <v>26</v>
      </c>
      <c r="J60" s="94" t="s">
        <v>218</v>
      </c>
      <c r="K60" s="95" t="s">
        <v>235</v>
      </c>
      <c r="L60" s="96">
        <v>84</v>
      </c>
      <c r="M60" s="96">
        <f>L60*VLOOKUP(I60,dagsoorttabel3,2,FALSE)</f>
        <v>84</v>
      </c>
      <c r="N60" s="97">
        <f>prodnorm54</f>
        <v>0</v>
      </c>
      <c r="O60" s="41">
        <f>dagwerk54</f>
        <v>0</v>
      </c>
      <c r="P60" s="94" t="s">
        <v>107</v>
      </c>
      <c r="Q60" s="26">
        <f>uurtarief54</f>
        <v>0</v>
      </c>
      <c r="R60" s="96" t="e">
        <f>IF(ISBLANK(N60),0,M60/ROUND(N60,4))</f>
        <v>#DIV/0!</v>
      </c>
      <c r="S60" s="96" t="e">
        <f>IF(ISBLANK(N60),0,R60*ROUND(O60,2))</f>
        <v>#DIV/0!</v>
      </c>
      <c r="T60" s="26" t="e">
        <f>ROUND(Q60,2)*R60</f>
        <v>#DIV/0!</v>
      </c>
      <c r="U60" s="96" t="e">
        <f>R60*dagenperjaar3</f>
        <v>#DIV/0!</v>
      </c>
      <c r="V60" s="27" t="e">
        <f>U60*ROUND(Q60,2)</f>
        <v>#DIV/0!</v>
      </c>
    </row>
    <row r="61" spans="1:22" x14ac:dyDescent="0.35">
      <c r="A61" s="93" t="s">
        <v>803</v>
      </c>
      <c r="B61" s="94" t="s">
        <v>40</v>
      </c>
      <c r="C61" s="94" t="s">
        <v>309</v>
      </c>
      <c r="D61" s="94" t="s">
        <v>906</v>
      </c>
      <c r="E61" s="94" t="s">
        <v>40</v>
      </c>
      <c r="F61" s="95" t="s">
        <v>907</v>
      </c>
      <c r="G61" s="94" t="s">
        <v>908</v>
      </c>
      <c r="H61" s="94" t="s">
        <v>292</v>
      </c>
      <c r="I61" s="94" t="s">
        <v>26</v>
      </c>
      <c r="J61" s="94" t="s">
        <v>218</v>
      </c>
      <c r="K61" s="95" t="s">
        <v>257</v>
      </c>
      <c r="L61" s="96">
        <v>221</v>
      </c>
      <c r="M61" s="96">
        <f>L61*VLOOKUP(I61,dagsoorttabel3,2,FALSE)</f>
        <v>221</v>
      </c>
      <c r="N61" s="97">
        <f>prodnorm62</f>
        <v>0</v>
      </c>
      <c r="O61" s="41">
        <f>dagwerk62</f>
        <v>0</v>
      </c>
      <c r="P61" s="94" t="s">
        <v>107</v>
      </c>
      <c r="Q61" s="26">
        <f>uurtarief62</f>
        <v>0</v>
      </c>
      <c r="R61" s="96" t="e">
        <f>IF(ISBLANK(N61),0,M61/ROUND(N61,4))</f>
        <v>#DIV/0!</v>
      </c>
      <c r="S61" s="96" t="e">
        <f>IF(ISBLANK(N61),0,R61*ROUND(O61,2))</f>
        <v>#DIV/0!</v>
      </c>
      <c r="T61" s="26" t="e">
        <f>ROUND(Q61,2)*R61</f>
        <v>#DIV/0!</v>
      </c>
      <c r="U61" s="96" t="e">
        <f>R61*dagenperjaar3</f>
        <v>#DIV/0!</v>
      </c>
      <c r="V61" s="27" t="e">
        <f>U61*ROUND(Q61,2)</f>
        <v>#DIV/0!</v>
      </c>
    </row>
    <row r="62" spans="1:22" x14ac:dyDescent="0.35">
      <c r="A62" s="93" t="s">
        <v>803</v>
      </c>
      <c r="B62" s="94" t="s">
        <v>40</v>
      </c>
      <c r="C62" s="94" t="s">
        <v>309</v>
      </c>
      <c r="D62" s="94" t="s">
        <v>913</v>
      </c>
      <c r="E62" s="94" t="s">
        <v>40</v>
      </c>
      <c r="F62" s="95" t="s">
        <v>883</v>
      </c>
      <c r="G62" s="94" t="s">
        <v>535</v>
      </c>
      <c r="H62" s="94" t="s">
        <v>284</v>
      </c>
      <c r="I62" s="94" t="s">
        <v>26</v>
      </c>
      <c r="J62" s="94" t="s">
        <v>218</v>
      </c>
      <c r="K62" s="95" t="s">
        <v>235</v>
      </c>
      <c r="L62" s="96">
        <v>60</v>
      </c>
      <c r="M62" s="96">
        <f>L62*VLOOKUP(I62,dagsoorttabel3,2,FALSE)</f>
        <v>60</v>
      </c>
      <c r="N62" s="97">
        <f>prodnorm54</f>
        <v>0</v>
      </c>
      <c r="O62" s="41">
        <f>dagwerk54</f>
        <v>0</v>
      </c>
      <c r="P62" s="94" t="s">
        <v>107</v>
      </c>
      <c r="Q62" s="26">
        <f>uurtarief54</f>
        <v>0</v>
      </c>
      <c r="R62" s="96" t="e">
        <f>IF(ISBLANK(N62),0,M62/ROUND(N62,4))</f>
        <v>#DIV/0!</v>
      </c>
      <c r="S62" s="96" t="e">
        <f>IF(ISBLANK(N62),0,R62*ROUND(O62,2))</f>
        <v>#DIV/0!</v>
      </c>
      <c r="T62" s="26" t="e">
        <f>ROUND(Q62,2)*R62</f>
        <v>#DIV/0!</v>
      </c>
      <c r="U62" s="96" t="e">
        <f>R62*dagenperjaar3</f>
        <v>#DIV/0!</v>
      </c>
      <c r="V62" s="27" t="e">
        <f>U62*ROUND(Q62,2)</f>
        <v>#DIV/0!</v>
      </c>
    </row>
    <row r="63" spans="1:22" x14ac:dyDescent="0.35">
      <c r="A63" s="93" t="s">
        <v>803</v>
      </c>
      <c r="B63" s="94" t="s">
        <v>40</v>
      </c>
      <c r="C63" s="94" t="s">
        <v>309</v>
      </c>
      <c r="D63" s="94" t="s">
        <v>914</v>
      </c>
      <c r="E63" s="94" t="s">
        <v>40</v>
      </c>
      <c r="F63" s="95" t="s">
        <v>915</v>
      </c>
      <c r="G63" s="94" t="s">
        <v>916</v>
      </c>
      <c r="H63" s="94" t="s">
        <v>288</v>
      </c>
      <c r="I63" s="94" t="s">
        <v>26</v>
      </c>
      <c r="J63" s="94" t="s">
        <v>218</v>
      </c>
      <c r="K63" s="95" t="s">
        <v>247</v>
      </c>
      <c r="L63" s="96">
        <v>88</v>
      </c>
      <c r="M63" s="96">
        <f>L63*VLOOKUP(I63,dagsoorttabel3,2,FALSE)</f>
        <v>88</v>
      </c>
      <c r="N63" s="97">
        <f>prodnorm58</f>
        <v>0</v>
      </c>
      <c r="O63" s="41">
        <f>dagwerk58</f>
        <v>0</v>
      </c>
      <c r="P63" s="94" t="s">
        <v>107</v>
      </c>
      <c r="Q63" s="26">
        <f>uurtarief58</f>
        <v>0</v>
      </c>
      <c r="R63" s="96" t="e">
        <f>IF(ISBLANK(N63),0,M63/ROUND(N63,4))</f>
        <v>#DIV/0!</v>
      </c>
      <c r="S63" s="96" t="e">
        <f>IF(ISBLANK(N63),0,R63*ROUND(O63,2))</f>
        <v>#DIV/0!</v>
      </c>
      <c r="T63" s="26" t="e">
        <f>ROUND(Q63,2)*R63</f>
        <v>#DIV/0!</v>
      </c>
      <c r="U63" s="96" t="e">
        <f>R63*dagenperjaar3</f>
        <v>#DIV/0!</v>
      </c>
      <c r="V63" s="27" t="e">
        <f>U63*ROUND(Q63,2)</f>
        <v>#DIV/0!</v>
      </c>
    </row>
    <row r="64" spans="1:22" x14ac:dyDescent="0.35">
      <c r="A64" s="93" t="s">
        <v>803</v>
      </c>
      <c r="B64" s="94" t="s">
        <v>40</v>
      </c>
      <c r="C64" s="94" t="s">
        <v>309</v>
      </c>
      <c r="D64" s="94" t="s">
        <v>917</v>
      </c>
      <c r="E64" s="94" t="s">
        <v>40</v>
      </c>
      <c r="F64" s="95" t="s">
        <v>918</v>
      </c>
      <c r="G64" s="94" t="s">
        <v>535</v>
      </c>
      <c r="H64" s="94" t="s">
        <v>284</v>
      </c>
      <c r="I64" s="94" t="s">
        <v>26</v>
      </c>
      <c r="J64" s="94" t="s">
        <v>218</v>
      </c>
      <c r="K64" s="95" t="s">
        <v>235</v>
      </c>
      <c r="L64" s="96">
        <v>30</v>
      </c>
      <c r="M64" s="96">
        <f>L64*VLOOKUP(I64,dagsoorttabel3,2,FALSE)</f>
        <v>30</v>
      </c>
      <c r="N64" s="97">
        <f>prodnorm54</f>
        <v>0</v>
      </c>
      <c r="O64" s="41">
        <f>dagwerk54</f>
        <v>0</v>
      </c>
      <c r="P64" s="94" t="s">
        <v>107</v>
      </c>
      <c r="Q64" s="26">
        <f>uurtarief54</f>
        <v>0</v>
      </c>
      <c r="R64" s="96" t="e">
        <f>IF(ISBLANK(N64),0,M64/ROUND(N64,4))</f>
        <v>#DIV/0!</v>
      </c>
      <c r="S64" s="96" t="e">
        <f>IF(ISBLANK(N64),0,R64*ROUND(O64,2))</f>
        <v>#DIV/0!</v>
      </c>
      <c r="T64" s="26" t="e">
        <f>ROUND(Q64,2)*R64</f>
        <v>#DIV/0!</v>
      </c>
      <c r="U64" s="96" t="e">
        <f>R64*dagenperjaar3</f>
        <v>#DIV/0!</v>
      </c>
      <c r="V64" s="27" t="e">
        <f>U64*ROUND(Q64,2)</f>
        <v>#DIV/0!</v>
      </c>
    </row>
    <row r="65" spans="1:22" x14ac:dyDescent="0.35">
      <c r="A65" s="93" t="s">
        <v>803</v>
      </c>
      <c r="B65" s="94" t="s">
        <v>40</v>
      </c>
      <c r="C65" s="94" t="s">
        <v>309</v>
      </c>
      <c r="D65" s="94" t="s">
        <v>919</v>
      </c>
      <c r="E65" s="94" t="s">
        <v>40</v>
      </c>
      <c r="F65" s="95" t="s">
        <v>571</v>
      </c>
      <c r="G65" s="94" t="s">
        <v>321</v>
      </c>
      <c r="H65" s="94" t="s">
        <v>286</v>
      </c>
      <c r="I65" s="94" t="s">
        <v>26</v>
      </c>
      <c r="J65" s="94" t="s">
        <v>218</v>
      </c>
      <c r="K65" s="95" t="s">
        <v>243</v>
      </c>
      <c r="L65" s="96">
        <v>5</v>
      </c>
      <c r="M65" s="96">
        <f>L65*VLOOKUP(I65,dagsoorttabel3,2,FALSE)</f>
        <v>5</v>
      </c>
      <c r="N65" s="97">
        <f>prodnorm56</f>
        <v>0</v>
      </c>
      <c r="O65" s="41">
        <f>dagwerk56</f>
        <v>0</v>
      </c>
      <c r="P65" s="94" t="s">
        <v>107</v>
      </c>
      <c r="Q65" s="26">
        <f>uurtarief56</f>
        <v>0</v>
      </c>
      <c r="R65" s="96" t="e">
        <f>IF(ISBLANK(N65),0,M65/ROUND(N65,4))</f>
        <v>#DIV/0!</v>
      </c>
      <c r="S65" s="96" t="e">
        <f>IF(ISBLANK(N65),0,R65*ROUND(O65,2))</f>
        <v>#DIV/0!</v>
      </c>
      <c r="T65" s="26" t="e">
        <f>ROUND(Q65,2)*R65</f>
        <v>#DIV/0!</v>
      </c>
      <c r="U65" s="96" t="e">
        <f>R65*dagenperjaar3</f>
        <v>#DIV/0!</v>
      </c>
      <c r="V65" s="27" t="e">
        <f>U65*ROUND(Q65,2)</f>
        <v>#DIV/0!</v>
      </c>
    </row>
    <row r="66" spans="1:22" x14ac:dyDescent="0.35">
      <c r="A66" s="93" t="s">
        <v>803</v>
      </c>
      <c r="B66" s="94" t="s">
        <v>40</v>
      </c>
      <c r="C66" s="94" t="s">
        <v>309</v>
      </c>
      <c r="D66" s="94" t="s">
        <v>919</v>
      </c>
      <c r="E66" s="94" t="s">
        <v>40</v>
      </c>
      <c r="F66" s="95" t="s">
        <v>571</v>
      </c>
      <c r="G66" s="94" t="s">
        <v>321</v>
      </c>
      <c r="H66" s="94" t="s">
        <v>287</v>
      </c>
      <c r="I66" s="94" t="s">
        <v>25</v>
      </c>
      <c r="J66" s="94" t="s">
        <v>218</v>
      </c>
      <c r="K66" s="95" t="s">
        <v>245</v>
      </c>
      <c r="L66" s="96">
        <v>5</v>
      </c>
      <c r="M66" s="96">
        <f>L66*VLOOKUP(I66,dagsoorttabel3,2,FALSE)</f>
        <v>15</v>
      </c>
      <c r="N66" s="97">
        <f>prodnorm57</f>
        <v>0</v>
      </c>
      <c r="O66" s="41">
        <f>dagwerk57</f>
        <v>0</v>
      </c>
      <c r="P66" s="94" t="s">
        <v>107</v>
      </c>
      <c r="Q66" s="26">
        <f>uurtarief57</f>
        <v>0</v>
      </c>
      <c r="R66" s="96" t="e">
        <f>IF(ISBLANK(N66),0,M66/ROUND(N66,4))</f>
        <v>#DIV/0!</v>
      </c>
      <c r="S66" s="96" t="e">
        <f>IF(ISBLANK(N66),0,R66*ROUND(O66,2))</f>
        <v>#DIV/0!</v>
      </c>
      <c r="T66" s="26" t="e">
        <f>ROUND(Q66,2)*R66</f>
        <v>#DIV/0!</v>
      </c>
      <c r="U66" s="96" t="e">
        <f>R66*dagenperjaar3</f>
        <v>#DIV/0!</v>
      </c>
      <c r="V66" s="27" t="e">
        <f>U66*ROUND(Q66,2)</f>
        <v>#DIV/0!</v>
      </c>
    </row>
    <row r="67" spans="1:22" x14ac:dyDescent="0.35">
      <c r="A67" s="93" t="s">
        <v>803</v>
      </c>
      <c r="B67" s="94" t="s">
        <v>40</v>
      </c>
      <c r="C67" s="94" t="s">
        <v>309</v>
      </c>
      <c r="D67" s="94" t="s">
        <v>921</v>
      </c>
      <c r="E67" s="94" t="s">
        <v>40</v>
      </c>
      <c r="F67" s="95" t="s">
        <v>568</v>
      </c>
      <c r="G67" s="94" t="s">
        <v>321</v>
      </c>
      <c r="H67" s="94" t="s">
        <v>286</v>
      </c>
      <c r="I67" s="94" t="s">
        <v>26</v>
      </c>
      <c r="J67" s="94" t="s">
        <v>218</v>
      </c>
      <c r="K67" s="95" t="s">
        <v>243</v>
      </c>
      <c r="L67" s="96">
        <v>18</v>
      </c>
      <c r="M67" s="96">
        <f>L67*VLOOKUP(I67,dagsoorttabel3,2,FALSE)</f>
        <v>18</v>
      </c>
      <c r="N67" s="97">
        <f>prodnorm56</f>
        <v>0</v>
      </c>
      <c r="O67" s="41">
        <f>dagwerk56</f>
        <v>0</v>
      </c>
      <c r="P67" s="94" t="s">
        <v>107</v>
      </c>
      <c r="Q67" s="26">
        <f>uurtarief56</f>
        <v>0</v>
      </c>
      <c r="R67" s="96" t="e">
        <f>IF(ISBLANK(N67),0,M67/ROUND(N67,4))</f>
        <v>#DIV/0!</v>
      </c>
      <c r="S67" s="96" t="e">
        <f>IF(ISBLANK(N67),0,R67*ROUND(O67,2))</f>
        <v>#DIV/0!</v>
      </c>
      <c r="T67" s="26" t="e">
        <f>ROUND(Q67,2)*R67</f>
        <v>#DIV/0!</v>
      </c>
      <c r="U67" s="96" t="e">
        <f>R67*dagenperjaar3</f>
        <v>#DIV/0!</v>
      </c>
      <c r="V67" s="27" t="e">
        <f>U67*ROUND(Q67,2)</f>
        <v>#DIV/0!</v>
      </c>
    </row>
    <row r="68" spans="1:22" x14ac:dyDescent="0.35">
      <c r="A68" s="93" t="s">
        <v>803</v>
      </c>
      <c r="B68" s="94" t="s">
        <v>40</v>
      </c>
      <c r="C68" s="94" t="s">
        <v>309</v>
      </c>
      <c r="D68" s="94" t="s">
        <v>921</v>
      </c>
      <c r="E68" s="94" t="s">
        <v>40</v>
      </c>
      <c r="F68" s="95" t="s">
        <v>568</v>
      </c>
      <c r="G68" s="94" t="s">
        <v>321</v>
      </c>
      <c r="H68" s="94" t="s">
        <v>287</v>
      </c>
      <c r="I68" s="94" t="s">
        <v>25</v>
      </c>
      <c r="J68" s="94" t="s">
        <v>218</v>
      </c>
      <c r="K68" s="95" t="s">
        <v>245</v>
      </c>
      <c r="L68" s="96">
        <v>18</v>
      </c>
      <c r="M68" s="96">
        <f>L68*VLOOKUP(I68,dagsoorttabel3,2,FALSE)</f>
        <v>54</v>
      </c>
      <c r="N68" s="97">
        <f>prodnorm57</f>
        <v>0</v>
      </c>
      <c r="O68" s="41">
        <f>dagwerk57</f>
        <v>0</v>
      </c>
      <c r="P68" s="94" t="s">
        <v>107</v>
      </c>
      <c r="Q68" s="26">
        <f>uurtarief57</f>
        <v>0</v>
      </c>
      <c r="R68" s="96" t="e">
        <f>IF(ISBLANK(N68),0,M68/ROUND(N68,4))</f>
        <v>#DIV/0!</v>
      </c>
      <c r="S68" s="96" t="e">
        <f>IF(ISBLANK(N68),0,R68*ROUND(O68,2))</f>
        <v>#DIV/0!</v>
      </c>
      <c r="T68" s="26" t="e">
        <f>ROUND(Q68,2)*R68</f>
        <v>#DIV/0!</v>
      </c>
      <c r="U68" s="96" t="e">
        <f>R68*dagenperjaar3</f>
        <v>#DIV/0!</v>
      </c>
      <c r="V68" s="27" t="e">
        <f>U68*ROUND(Q68,2)</f>
        <v>#DIV/0!</v>
      </c>
    </row>
    <row r="69" spans="1:22" x14ac:dyDescent="0.35">
      <c r="A69" s="93" t="s">
        <v>803</v>
      </c>
      <c r="B69" s="94" t="s">
        <v>40</v>
      </c>
      <c r="C69" s="94" t="s">
        <v>309</v>
      </c>
      <c r="D69" s="94" t="s">
        <v>927</v>
      </c>
      <c r="E69" s="94" t="s">
        <v>40</v>
      </c>
      <c r="F69" s="95" t="s">
        <v>883</v>
      </c>
      <c r="G69" s="94" t="s">
        <v>535</v>
      </c>
      <c r="H69" s="94" t="s">
        <v>284</v>
      </c>
      <c r="I69" s="94" t="s">
        <v>26</v>
      </c>
      <c r="J69" s="94" t="s">
        <v>218</v>
      </c>
      <c r="K69" s="95" t="s">
        <v>235</v>
      </c>
      <c r="L69" s="96">
        <v>91</v>
      </c>
      <c r="M69" s="96">
        <f>L69*VLOOKUP(I69,dagsoorttabel3,2,FALSE)</f>
        <v>91</v>
      </c>
      <c r="N69" s="97">
        <f>prodnorm54</f>
        <v>0</v>
      </c>
      <c r="O69" s="41">
        <f>dagwerk54</f>
        <v>0</v>
      </c>
      <c r="P69" s="94" t="s">
        <v>107</v>
      </c>
      <c r="Q69" s="26">
        <f>uurtarief54</f>
        <v>0</v>
      </c>
      <c r="R69" s="96" t="e">
        <f>IF(ISBLANK(N69),0,M69/ROUND(N69,4))</f>
        <v>#DIV/0!</v>
      </c>
      <c r="S69" s="96" t="e">
        <f>IF(ISBLANK(N69),0,R69*ROUND(O69,2))</f>
        <v>#DIV/0!</v>
      </c>
      <c r="T69" s="26" t="e">
        <f>ROUND(Q69,2)*R69</f>
        <v>#DIV/0!</v>
      </c>
      <c r="U69" s="96" t="e">
        <f>R69*dagenperjaar3</f>
        <v>#DIV/0!</v>
      </c>
      <c r="V69" s="27" t="e">
        <f>U69*ROUND(Q69,2)</f>
        <v>#DIV/0!</v>
      </c>
    </row>
    <row r="70" spans="1:22" x14ac:dyDescent="0.35">
      <c r="A70" s="93" t="s">
        <v>803</v>
      </c>
      <c r="B70" s="94" t="s">
        <v>40</v>
      </c>
      <c r="C70" s="94" t="s">
        <v>309</v>
      </c>
      <c r="D70" s="94" t="s">
        <v>930</v>
      </c>
      <c r="E70" s="94" t="s">
        <v>40</v>
      </c>
      <c r="F70" s="95" t="s">
        <v>883</v>
      </c>
      <c r="G70" s="94" t="s">
        <v>535</v>
      </c>
      <c r="H70" s="94" t="s">
        <v>284</v>
      </c>
      <c r="I70" s="94" t="s">
        <v>26</v>
      </c>
      <c r="J70" s="94" t="s">
        <v>218</v>
      </c>
      <c r="K70" s="95" t="s">
        <v>235</v>
      </c>
      <c r="L70" s="96">
        <v>33</v>
      </c>
      <c r="M70" s="96">
        <f>L70*VLOOKUP(I70,dagsoorttabel3,2,FALSE)</f>
        <v>33</v>
      </c>
      <c r="N70" s="97">
        <f>prodnorm54</f>
        <v>0</v>
      </c>
      <c r="O70" s="41">
        <f>dagwerk54</f>
        <v>0</v>
      </c>
      <c r="P70" s="94" t="s">
        <v>107</v>
      </c>
      <c r="Q70" s="26">
        <f>uurtarief54</f>
        <v>0</v>
      </c>
      <c r="R70" s="96" t="e">
        <f>IF(ISBLANK(N70),0,M70/ROUND(N70,4))</f>
        <v>#DIV/0!</v>
      </c>
      <c r="S70" s="96" t="e">
        <f>IF(ISBLANK(N70),0,R70*ROUND(O70,2))</f>
        <v>#DIV/0!</v>
      </c>
      <c r="T70" s="26" t="e">
        <f>ROUND(Q70,2)*R70</f>
        <v>#DIV/0!</v>
      </c>
      <c r="U70" s="96" t="e">
        <f>R70*dagenperjaar3</f>
        <v>#DIV/0!</v>
      </c>
      <c r="V70" s="27" t="e">
        <f>U70*ROUND(Q70,2)</f>
        <v>#DIV/0!</v>
      </c>
    </row>
    <row r="71" spans="1:22" x14ac:dyDescent="0.35">
      <c r="A71" s="93" t="s">
        <v>803</v>
      </c>
      <c r="B71" s="94" t="s">
        <v>40</v>
      </c>
      <c r="C71" s="94" t="s">
        <v>309</v>
      </c>
      <c r="D71" s="94" t="s">
        <v>931</v>
      </c>
      <c r="E71" s="94" t="s">
        <v>40</v>
      </c>
      <c r="F71" s="95" t="s">
        <v>883</v>
      </c>
      <c r="G71" s="94" t="s">
        <v>535</v>
      </c>
      <c r="H71" s="94" t="s">
        <v>284</v>
      </c>
      <c r="I71" s="94" t="s">
        <v>26</v>
      </c>
      <c r="J71" s="94" t="s">
        <v>218</v>
      </c>
      <c r="K71" s="95" t="s">
        <v>235</v>
      </c>
      <c r="L71" s="96">
        <v>32</v>
      </c>
      <c r="M71" s="96">
        <f>L71*VLOOKUP(I71,dagsoorttabel3,2,FALSE)</f>
        <v>32</v>
      </c>
      <c r="N71" s="97">
        <f>prodnorm54</f>
        <v>0</v>
      </c>
      <c r="O71" s="41">
        <f>dagwerk54</f>
        <v>0</v>
      </c>
      <c r="P71" s="94" t="s">
        <v>107</v>
      </c>
      <c r="Q71" s="26">
        <f>uurtarief54</f>
        <v>0</v>
      </c>
      <c r="R71" s="96" t="e">
        <f>IF(ISBLANK(N71),0,M71/ROUND(N71,4))</f>
        <v>#DIV/0!</v>
      </c>
      <c r="S71" s="96" t="e">
        <f>IF(ISBLANK(N71),0,R71*ROUND(O71,2))</f>
        <v>#DIV/0!</v>
      </c>
      <c r="T71" s="26" t="e">
        <f>ROUND(Q71,2)*R71</f>
        <v>#DIV/0!</v>
      </c>
      <c r="U71" s="96" t="e">
        <f>R71*dagenperjaar3</f>
        <v>#DIV/0!</v>
      </c>
      <c r="V71" s="27" t="e">
        <f>U71*ROUND(Q71,2)</f>
        <v>#DIV/0!</v>
      </c>
    </row>
    <row r="72" spans="1:22" x14ac:dyDescent="0.35">
      <c r="A72" s="93" t="s">
        <v>803</v>
      </c>
      <c r="B72" s="94" t="s">
        <v>40</v>
      </c>
      <c r="C72" s="94" t="s">
        <v>309</v>
      </c>
      <c r="D72" s="94" t="s">
        <v>932</v>
      </c>
      <c r="E72" s="94" t="s">
        <v>40</v>
      </c>
      <c r="F72" s="95" t="s">
        <v>883</v>
      </c>
      <c r="G72" s="94" t="s">
        <v>535</v>
      </c>
      <c r="H72" s="94" t="s">
        <v>284</v>
      </c>
      <c r="I72" s="94" t="s">
        <v>26</v>
      </c>
      <c r="J72" s="94" t="s">
        <v>218</v>
      </c>
      <c r="K72" s="95" t="s">
        <v>235</v>
      </c>
      <c r="L72" s="96">
        <v>32</v>
      </c>
      <c r="M72" s="96">
        <f>L72*VLOOKUP(I72,dagsoorttabel3,2,FALSE)</f>
        <v>32</v>
      </c>
      <c r="N72" s="97">
        <f>prodnorm54</f>
        <v>0</v>
      </c>
      <c r="O72" s="41">
        <f>dagwerk54</f>
        <v>0</v>
      </c>
      <c r="P72" s="94" t="s">
        <v>107</v>
      </c>
      <c r="Q72" s="26">
        <f>uurtarief54</f>
        <v>0</v>
      </c>
      <c r="R72" s="96" t="e">
        <f>IF(ISBLANK(N72),0,M72/ROUND(N72,4))</f>
        <v>#DIV/0!</v>
      </c>
      <c r="S72" s="96" t="e">
        <f>IF(ISBLANK(N72),0,R72*ROUND(O72,2))</f>
        <v>#DIV/0!</v>
      </c>
      <c r="T72" s="26" t="e">
        <f>ROUND(Q72,2)*R72</f>
        <v>#DIV/0!</v>
      </c>
      <c r="U72" s="96" t="e">
        <f>R72*dagenperjaar3</f>
        <v>#DIV/0!</v>
      </c>
      <c r="V72" s="27" t="e">
        <f>U72*ROUND(Q72,2)</f>
        <v>#DIV/0!</v>
      </c>
    </row>
    <row r="73" spans="1:22" x14ac:dyDescent="0.35">
      <c r="A73" s="93" t="s">
        <v>803</v>
      </c>
      <c r="B73" s="94" t="s">
        <v>40</v>
      </c>
      <c r="C73" s="94" t="s">
        <v>309</v>
      </c>
      <c r="D73" s="94" t="s">
        <v>933</v>
      </c>
      <c r="E73" s="94" t="s">
        <v>40</v>
      </c>
      <c r="F73" s="95" t="s">
        <v>883</v>
      </c>
      <c r="G73" s="94" t="s">
        <v>535</v>
      </c>
      <c r="H73" s="94" t="s">
        <v>284</v>
      </c>
      <c r="I73" s="94" t="s">
        <v>26</v>
      </c>
      <c r="J73" s="94" t="s">
        <v>218</v>
      </c>
      <c r="K73" s="95" t="s">
        <v>235</v>
      </c>
      <c r="L73" s="96">
        <v>32</v>
      </c>
      <c r="M73" s="96">
        <f>L73*VLOOKUP(I73,dagsoorttabel3,2,FALSE)</f>
        <v>32</v>
      </c>
      <c r="N73" s="97">
        <f>prodnorm54</f>
        <v>0</v>
      </c>
      <c r="O73" s="41">
        <f>dagwerk54</f>
        <v>0</v>
      </c>
      <c r="P73" s="94" t="s">
        <v>107</v>
      </c>
      <c r="Q73" s="26">
        <f>uurtarief54</f>
        <v>0</v>
      </c>
      <c r="R73" s="96" t="e">
        <f>IF(ISBLANK(N73),0,M73/ROUND(N73,4))</f>
        <v>#DIV/0!</v>
      </c>
      <c r="S73" s="96" t="e">
        <f>IF(ISBLANK(N73),0,R73*ROUND(O73,2))</f>
        <v>#DIV/0!</v>
      </c>
      <c r="T73" s="26" t="e">
        <f>ROUND(Q73,2)*R73</f>
        <v>#DIV/0!</v>
      </c>
      <c r="U73" s="96" t="e">
        <f>R73*dagenperjaar3</f>
        <v>#DIV/0!</v>
      </c>
      <c r="V73" s="27" t="e">
        <f>U73*ROUND(Q73,2)</f>
        <v>#DIV/0!</v>
      </c>
    </row>
    <row r="74" spans="1:22" x14ac:dyDescent="0.35">
      <c r="A74" s="93" t="s">
        <v>803</v>
      </c>
      <c r="B74" s="94" t="s">
        <v>40</v>
      </c>
      <c r="C74" s="94" t="s">
        <v>309</v>
      </c>
      <c r="D74" s="94" t="s">
        <v>934</v>
      </c>
      <c r="E74" s="94" t="s">
        <v>40</v>
      </c>
      <c r="F74" s="95" t="s">
        <v>883</v>
      </c>
      <c r="G74" s="94" t="s">
        <v>535</v>
      </c>
      <c r="H74" s="94" t="s">
        <v>284</v>
      </c>
      <c r="I74" s="94" t="s">
        <v>26</v>
      </c>
      <c r="J74" s="94" t="s">
        <v>218</v>
      </c>
      <c r="K74" s="95" t="s">
        <v>235</v>
      </c>
      <c r="L74" s="96">
        <v>100</v>
      </c>
      <c r="M74" s="96">
        <f>L74*VLOOKUP(I74,dagsoorttabel3,2,FALSE)</f>
        <v>100</v>
      </c>
      <c r="N74" s="97">
        <f>prodnorm54</f>
        <v>0</v>
      </c>
      <c r="O74" s="41">
        <f>dagwerk54</f>
        <v>0</v>
      </c>
      <c r="P74" s="94" t="s">
        <v>107</v>
      </c>
      <c r="Q74" s="26">
        <f>uurtarief54</f>
        <v>0</v>
      </c>
      <c r="R74" s="96" t="e">
        <f>IF(ISBLANK(N74),0,M74/ROUND(N74,4))</f>
        <v>#DIV/0!</v>
      </c>
      <c r="S74" s="96" t="e">
        <f>IF(ISBLANK(N74),0,R74*ROUND(O74,2))</f>
        <v>#DIV/0!</v>
      </c>
      <c r="T74" s="26" t="e">
        <f>ROUND(Q74,2)*R74</f>
        <v>#DIV/0!</v>
      </c>
      <c r="U74" s="96" t="e">
        <f>R74*dagenperjaar3</f>
        <v>#DIV/0!</v>
      </c>
      <c r="V74" s="27" t="e">
        <f>U74*ROUND(Q74,2)</f>
        <v>#DIV/0!</v>
      </c>
    </row>
    <row r="75" spans="1:22" x14ac:dyDescent="0.35">
      <c r="A75" s="93" t="s">
        <v>803</v>
      </c>
      <c r="B75" s="94" t="s">
        <v>40</v>
      </c>
      <c r="C75" s="94" t="s">
        <v>309</v>
      </c>
      <c r="D75" s="94" t="s">
        <v>935</v>
      </c>
      <c r="E75" s="94" t="s">
        <v>40</v>
      </c>
      <c r="F75" s="95" t="s">
        <v>883</v>
      </c>
      <c r="G75" s="94" t="s">
        <v>535</v>
      </c>
      <c r="H75" s="94" t="s">
        <v>284</v>
      </c>
      <c r="I75" s="94" t="s">
        <v>26</v>
      </c>
      <c r="J75" s="94" t="s">
        <v>218</v>
      </c>
      <c r="K75" s="95" t="s">
        <v>235</v>
      </c>
      <c r="L75" s="96">
        <v>226</v>
      </c>
      <c r="M75" s="96">
        <f>L75*VLOOKUP(I75,dagsoorttabel3,2,FALSE)</f>
        <v>226</v>
      </c>
      <c r="N75" s="97">
        <f>prodnorm54</f>
        <v>0</v>
      </c>
      <c r="O75" s="41">
        <f>dagwerk54</f>
        <v>0</v>
      </c>
      <c r="P75" s="94" t="s">
        <v>107</v>
      </c>
      <c r="Q75" s="26">
        <f>uurtarief54</f>
        <v>0</v>
      </c>
      <c r="R75" s="96" t="e">
        <f>IF(ISBLANK(N75),0,M75/ROUND(N75,4))</f>
        <v>#DIV/0!</v>
      </c>
      <c r="S75" s="96" t="e">
        <f>IF(ISBLANK(N75),0,R75*ROUND(O75,2))</f>
        <v>#DIV/0!</v>
      </c>
      <c r="T75" s="26" t="e">
        <f>ROUND(Q75,2)*R75</f>
        <v>#DIV/0!</v>
      </c>
      <c r="U75" s="96" t="e">
        <f>R75*dagenperjaar3</f>
        <v>#DIV/0!</v>
      </c>
      <c r="V75" s="27" t="e">
        <f>U75*ROUND(Q75,2)</f>
        <v>#DIV/0!</v>
      </c>
    </row>
    <row r="76" spans="1:22" x14ac:dyDescent="0.35">
      <c r="A76" s="93" t="s">
        <v>803</v>
      </c>
      <c r="B76" s="94" t="s">
        <v>40</v>
      </c>
      <c r="C76" s="94" t="s">
        <v>309</v>
      </c>
      <c r="D76" s="94" t="s">
        <v>936</v>
      </c>
      <c r="E76" s="94" t="s">
        <v>40</v>
      </c>
      <c r="F76" s="95" t="s">
        <v>883</v>
      </c>
      <c r="G76" s="94" t="s">
        <v>535</v>
      </c>
      <c r="H76" s="94" t="s">
        <v>284</v>
      </c>
      <c r="I76" s="94" t="s">
        <v>26</v>
      </c>
      <c r="J76" s="94" t="s">
        <v>218</v>
      </c>
      <c r="K76" s="95" t="s">
        <v>235</v>
      </c>
      <c r="L76" s="96">
        <v>60</v>
      </c>
      <c r="M76" s="96">
        <f>L76*VLOOKUP(I76,dagsoorttabel3,2,FALSE)</f>
        <v>60</v>
      </c>
      <c r="N76" s="97">
        <f>prodnorm54</f>
        <v>0</v>
      </c>
      <c r="O76" s="41">
        <f>dagwerk54</f>
        <v>0</v>
      </c>
      <c r="P76" s="94" t="s">
        <v>107</v>
      </c>
      <c r="Q76" s="26">
        <f>uurtarief54</f>
        <v>0</v>
      </c>
      <c r="R76" s="96" t="e">
        <f>IF(ISBLANK(N76),0,M76/ROUND(N76,4))</f>
        <v>#DIV/0!</v>
      </c>
      <c r="S76" s="96" t="e">
        <f>IF(ISBLANK(N76),0,R76*ROUND(O76,2))</f>
        <v>#DIV/0!</v>
      </c>
      <c r="T76" s="26" t="e">
        <f>ROUND(Q76,2)*R76</f>
        <v>#DIV/0!</v>
      </c>
      <c r="U76" s="96" t="e">
        <f>R76*dagenperjaar3</f>
        <v>#DIV/0!</v>
      </c>
      <c r="V76" s="27" t="e">
        <f>U76*ROUND(Q76,2)</f>
        <v>#DIV/0!</v>
      </c>
    </row>
    <row r="77" spans="1:22" x14ac:dyDescent="0.35">
      <c r="A77" s="93" t="s">
        <v>803</v>
      </c>
      <c r="B77" s="94" t="s">
        <v>40</v>
      </c>
      <c r="C77" s="94" t="s">
        <v>309</v>
      </c>
      <c r="D77" s="94" t="s">
        <v>937</v>
      </c>
      <c r="E77" s="94" t="s">
        <v>40</v>
      </c>
      <c r="F77" s="95" t="s">
        <v>883</v>
      </c>
      <c r="G77" s="94" t="s">
        <v>535</v>
      </c>
      <c r="H77" s="94" t="s">
        <v>284</v>
      </c>
      <c r="I77" s="94" t="s">
        <v>26</v>
      </c>
      <c r="J77" s="94" t="s">
        <v>218</v>
      </c>
      <c r="K77" s="95" t="s">
        <v>235</v>
      </c>
      <c r="L77" s="96">
        <v>60</v>
      </c>
      <c r="M77" s="96">
        <f>L77*VLOOKUP(I77,dagsoorttabel3,2,FALSE)</f>
        <v>60</v>
      </c>
      <c r="N77" s="97">
        <f>prodnorm54</f>
        <v>0</v>
      </c>
      <c r="O77" s="41">
        <f>dagwerk54</f>
        <v>0</v>
      </c>
      <c r="P77" s="94" t="s">
        <v>107</v>
      </c>
      <c r="Q77" s="26">
        <f>uurtarief54</f>
        <v>0</v>
      </c>
      <c r="R77" s="96" t="e">
        <f>IF(ISBLANK(N77),0,M77/ROUND(N77,4))</f>
        <v>#DIV/0!</v>
      </c>
      <c r="S77" s="96" t="e">
        <f>IF(ISBLANK(N77),0,R77*ROUND(O77,2))</f>
        <v>#DIV/0!</v>
      </c>
      <c r="T77" s="26" t="e">
        <f>ROUND(Q77,2)*R77</f>
        <v>#DIV/0!</v>
      </c>
      <c r="U77" s="96" t="e">
        <f>R77*dagenperjaar3</f>
        <v>#DIV/0!</v>
      </c>
      <c r="V77" s="27" t="e">
        <f>U77*ROUND(Q77,2)</f>
        <v>#DIV/0!</v>
      </c>
    </row>
    <row r="78" spans="1:22" x14ac:dyDescent="0.35">
      <c r="A78" s="93" t="s">
        <v>803</v>
      </c>
      <c r="B78" s="94" t="s">
        <v>40</v>
      </c>
      <c r="C78" s="94" t="s">
        <v>309</v>
      </c>
      <c r="D78" s="94" t="s">
        <v>938</v>
      </c>
      <c r="E78" s="94" t="s">
        <v>40</v>
      </c>
      <c r="F78" s="95" t="s">
        <v>883</v>
      </c>
      <c r="G78" s="94" t="s">
        <v>535</v>
      </c>
      <c r="H78" s="94" t="s">
        <v>284</v>
      </c>
      <c r="I78" s="94" t="s">
        <v>26</v>
      </c>
      <c r="J78" s="94" t="s">
        <v>218</v>
      </c>
      <c r="K78" s="95" t="s">
        <v>235</v>
      </c>
      <c r="L78" s="96">
        <v>60</v>
      </c>
      <c r="M78" s="96">
        <f>L78*VLOOKUP(I78,dagsoorttabel3,2,FALSE)</f>
        <v>60</v>
      </c>
      <c r="N78" s="97">
        <f>prodnorm54</f>
        <v>0</v>
      </c>
      <c r="O78" s="41">
        <f>dagwerk54</f>
        <v>0</v>
      </c>
      <c r="P78" s="94" t="s">
        <v>107</v>
      </c>
      <c r="Q78" s="26">
        <f>uurtarief54</f>
        <v>0</v>
      </c>
      <c r="R78" s="96" t="e">
        <f>IF(ISBLANK(N78),0,M78/ROUND(N78,4))</f>
        <v>#DIV/0!</v>
      </c>
      <c r="S78" s="96" t="e">
        <f>IF(ISBLANK(N78),0,R78*ROUND(O78,2))</f>
        <v>#DIV/0!</v>
      </c>
      <c r="T78" s="26" t="e">
        <f>ROUND(Q78,2)*R78</f>
        <v>#DIV/0!</v>
      </c>
      <c r="U78" s="96" t="e">
        <f>R78*dagenperjaar3</f>
        <v>#DIV/0!</v>
      </c>
      <c r="V78" s="27" t="e">
        <f>U78*ROUND(Q78,2)</f>
        <v>#DIV/0!</v>
      </c>
    </row>
    <row r="79" spans="1:22" x14ac:dyDescent="0.35">
      <c r="A79" s="93" t="s">
        <v>803</v>
      </c>
      <c r="B79" s="94" t="s">
        <v>40</v>
      </c>
      <c r="C79" s="94" t="s">
        <v>309</v>
      </c>
      <c r="D79" s="94" t="s">
        <v>939</v>
      </c>
      <c r="E79" s="94" t="s">
        <v>40</v>
      </c>
      <c r="F79" s="95" t="s">
        <v>883</v>
      </c>
      <c r="G79" s="94" t="s">
        <v>535</v>
      </c>
      <c r="H79" s="94" t="s">
        <v>284</v>
      </c>
      <c r="I79" s="94" t="s">
        <v>26</v>
      </c>
      <c r="J79" s="94" t="s">
        <v>218</v>
      </c>
      <c r="K79" s="95" t="s">
        <v>235</v>
      </c>
      <c r="L79" s="96">
        <v>100</v>
      </c>
      <c r="M79" s="96">
        <f>L79*VLOOKUP(I79,dagsoorttabel3,2,FALSE)</f>
        <v>100</v>
      </c>
      <c r="N79" s="97">
        <f>prodnorm54</f>
        <v>0</v>
      </c>
      <c r="O79" s="41">
        <f>dagwerk54</f>
        <v>0</v>
      </c>
      <c r="P79" s="94" t="s">
        <v>107</v>
      </c>
      <c r="Q79" s="26">
        <f>uurtarief54</f>
        <v>0</v>
      </c>
      <c r="R79" s="96" t="e">
        <f>IF(ISBLANK(N79),0,M79/ROUND(N79,4))</f>
        <v>#DIV/0!</v>
      </c>
      <c r="S79" s="96" t="e">
        <f>IF(ISBLANK(N79),0,R79*ROUND(O79,2))</f>
        <v>#DIV/0!</v>
      </c>
      <c r="T79" s="26" t="e">
        <f>ROUND(Q79,2)*R79</f>
        <v>#DIV/0!</v>
      </c>
      <c r="U79" s="96" t="e">
        <f>R79*dagenperjaar3</f>
        <v>#DIV/0!</v>
      </c>
      <c r="V79" s="27" t="e">
        <f>U79*ROUND(Q79,2)</f>
        <v>#DIV/0!</v>
      </c>
    </row>
    <row r="80" spans="1:22" x14ac:dyDescent="0.35">
      <c r="A80" s="93" t="s">
        <v>803</v>
      </c>
      <c r="B80" s="94" t="s">
        <v>40</v>
      </c>
      <c r="C80" s="94" t="s">
        <v>309</v>
      </c>
      <c r="D80" s="94" t="s">
        <v>940</v>
      </c>
      <c r="E80" s="94" t="s">
        <v>40</v>
      </c>
      <c r="F80" s="95" t="s">
        <v>883</v>
      </c>
      <c r="G80" s="94" t="s">
        <v>535</v>
      </c>
      <c r="H80" s="94" t="s">
        <v>284</v>
      </c>
      <c r="I80" s="94" t="s">
        <v>26</v>
      </c>
      <c r="J80" s="94" t="s">
        <v>218</v>
      </c>
      <c r="K80" s="95" t="s">
        <v>235</v>
      </c>
      <c r="L80" s="96">
        <v>84</v>
      </c>
      <c r="M80" s="96">
        <f>L80*VLOOKUP(I80,dagsoorttabel3,2,FALSE)</f>
        <v>84</v>
      </c>
      <c r="N80" s="97">
        <f>prodnorm54</f>
        <v>0</v>
      </c>
      <c r="O80" s="41">
        <f>dagwerk54</f>
        <v>0</v>
      </c>
      <c r="P80" s="94" t="s">
        <v>107</v>
      </c>
      <c r="Q80" s="26">
        <f>uurtarief54</f>
        <v>0</v>
      </c>
      <c r="R80" s="96" t="e">
        <f>IF(ISBLANK(N80),0,M80/ROUND(N80,4))</f>
        <v>#DIV/0!</v>
      </c>
      <c r="S80" s="96" t="e">
        <f>IF(ISBLANK(N80),0,R80*ROUND(O80,2))</f>
        <v>#DIV/0!</v>
      </c>
      <c r="T80" s="26" t="e">
        <f>ROUND(Q80,2)*R80</f>
        <v>#DIV/0!</v>
      </c>
      <c r="U80" s="96" t="e">
        <f>R80*dagenperjaar3</f>
        <v>#DIV/0!</v>
      </c>
      <c r="V80" s="27" t="e">
        <f>U80*ROUND(Q80,2)</f>
        <v>#DIV/0!</v>
      </c>
    </row>
    <row r="81" spans="1:22" x14ac:dyDescent="0.35">
      <c r="A81" s="93" t="s">
        <v>803</v>
      </c>
      <c r="B81" s="94" t="s">
        <v>40</v>
      </c>
      <c r="C81" s="94" t="s">
        <v>309</v>
      </c>
      <c r="D81" s="94" t="s">
        <v>941</v>
      </c>
      <c r="E81" s="94" t="s">
        <v>40</v>
      </c>
      <c r="F81" s="95" t="s">
        <v>883</v>
      </c>
      <c r="G81" s="94" t="s">
        <v>535</v>
      </c>
      <c r="H81" s="94" t="s">
        <v>284</v>
      </c>
      <c r="I81" s="94" t="s">
        <v>26</v>
      </c>
      <c r="J81" s="94" t="s">
        <v>218</v>
      </c>
      <c r="K81" s="95" t="s">
        <v>235</v>
      </c>
      <c r="L81" s="96">
        <v>33</v>
      </c>
      <c r="M81" s="96">
        <f>L81*VLOOKUP(I81,dagsoorttabel3,2,FALSE)</f>
        <v>33</v>
      </c>
      <c r="N81" s="97">
        <f>prodnorm54</f>
        <v>0</v>
      </c>
      <c r="O81" s="41">
        <f>dagwerk54</f>
        <v>0</v>
      </c>
      <c r="P81" s="94" t="s">
        <v>107</v>
      </c>
      <c r="Q81" s="26">
        <f>uurtarief54</f>
        <v>0</v>
      </c>
      <c r="R81" s="96" t="e">
        <f>IF(ISBLANK(N81),0,M81/ROUND(N81,4))</f>
        <v>#DIV/0!</v>
      </c>
      <c r="S81" s="96" t="e">
        <f>IF(ISBLANK(N81),0,R81*ROUND(O81,2))</f>
        <v>#DIV/0!</v>
      </c>
      <c r="T81" s="26" t="e">
        <f>ROUND(Q81,2)*R81</f>
        <v>#DIV/0!</v>
      </c>
      <c r="U81" s="96" t="e">
        <f>R81*dagenperjaar3</f>
        <v>#DIV/0!</v>
      </c>
      <c r="V81" s="27" t="e">
        <f>U81*ROUND(Q81,2)</f>
        <v>#DIV/0!</v>
      </c>
    </row>
    <row r="82" spans="1:22" x14ac:dyDescent="0.35">
      <c r="A82" s="93" t="s">
        <v>803</v>
      </c>
      <c r="B82" s="94" t="s">
        <v>40</v>
      </c>
      <c r="C82" s="94" t="s">
        <v>309</v>
      </c>
      <c r="D82" s="94" t="s">
        <v>942</v>
      </c>
      <c r="E82" s="94" t="s">
        <v>40</v>
      </c>
      <c r="F82" s="95" t="s">
        <v>883</v>
      </c>
      <c r="G82" s="94" t="s">
        <v>535</v>
      </c>
      <c r="H82" s="94" t="s">
        <v>284</v>
      </c>
      <c r="I82" s="94" t="s">
        <v>26</v>
      </c>
      <c r="J82" s="94" t="s">
        <v>218</v>
      </c>
      <c r="K82" s="95" t="s">
        <v>235</v>
      </c>
      <c r="L82" s="96">
        <v>273</v>
      </c>
      <c r="M82" s="96">
        <f>L82*VLOOKUP(I82,dagsoorttabel3,2,FALSE)</f>
        <v>273</v>
      </c>
      <c r="N82" s="97">
        <f>prodnorm54</f>
        <v>0</v>
      </c>
      <c r="O82" s="41">
        <f>dagwerk54</f>
        <v>0</v>
      </c>
      <c r="P82" s="94" t="s">
        <v>107</v>
      </c>
      <c r="Q82" s="26">
        <f>uurtarief54</f>
        <v>0</v>
      </c>
      <c r="R82" s="96" t="e">
        <f>IF(ISBLANK(N82),0,M82/ROUND(N82,4))</f>
        <v>#DIV/0!</v>
      </c>
      <c r="S82" s="96" t="e">
        <f>IF(ISBLANK(N82),0,R82*ROUND(O82,2))</f>
        <v>#DIV/0!</v>
      </c>
      <c r="T82" s="26" t="e">
        <f>ROUND(Q82,2)*R82</f>
        <v>#DIV/0!</v>
      </c>
      <c r="U82" s="96" t="e">
        <f>R82*dagenperjaar3</f>
        <v>#DIV/0!</v>
      </c>
      <c r="V82" s="27" t="e">
        <f>U82*ROUND(Q82,2)</f>
        <v>#DIV/0!</v>
      </c>
    </row>
    <row r="83" spans="1:22" x14ac:dyDescent="0.35">
      <c r="A83" s="93" t="s">
        <v>803</v>
      </c>
      <c r="B83" s="94" t="s">
        <v>40</v>
      </c>
      <c r="C83" s="94" t="s">
        <v>309</v>
      </c>
      <c r="D83" s="94" t="s">
        <v>946</v>
      </c>
      <c r="E83" s="94" t="s">
        <v>40</v>
      </c>
      <c r="F83" s="95" t="s">
        <v>947</v>
      </c>
      <c r="G83" s="94" t="s">
        <v>948</v>
      </c>
      <c r="H83" s="94" t="s">
        <v>288</v>
      </c>
      <c r="I83" s="94" t="s">
        <v>26</v>
      </c>
      <c r="J83" s="94" t="s">
        <v>218</v>
      </c>
      <c r="K83" s="95" t="s">
        <v>247</v>
      </c>
      <c r="L83" s="96">
        <v>14</v>
      </c>
      <c r="M83" s="96">
        <f>L83*VLOOKUP(I83,dagsoorttabel3,2,FALSE)</f>
        <v>14</v>
      </c>
      <c r="N83" s="97">
        <f>prodnorm58</f>
        <v>0</v>
      </c>
      <c r="O83" s="41">
        <f>dagwerk58</f>
        <v>0</v>
      </c>
      <c r="P83" s="94" t="s">
        <v>107</v>
      </c>
      <c r="Q83" s="26">
        <f>uurtarief58</f>
        <v>0</v>
      </c>
      <c r="R83" s="96" t="e">
        <f>IF(ISBLANK(N83),0,M83/ROUND(N83,4))</f>
        <v>#DIV/0!</v>
      </c>
      <c r="S83" s="96" t="e">
        <f>IF(ISBLANK(N83),0,R83*ROUND(O83,2))</f>
        <v>#DIV/0!</v>
      </c>
      <c r="T83" s="26" t="e">
        <f>ROUND(Q83,2)*R83</f>
        <v>#DIV/0!</v>
      </c>
      <c r="U83" s="96" t="e">
        <f>R83*dagenperjaar3</f>
        <v>#DIV/0!</v>
      </c>
      <c r="V83" s="27" t="e">
        <f>U83*ROUND(Q83,2)</f>
        <v>#DIV/0!</v>
      </c>
    </row>
    <row r="84" spans="1:22" x14ac:dyDescent="0.35">
      <c r="A84" s="93" t="s">
        <v>803</v>
      </c>
      <c r="B84" s="94" t="s">
        <v>40</v>
      </c>
      <c r="C84" s="94" t="s">
        <v>309</v>
      </c>
      <c r="D84" s="94" t="s">
        <v>961</v>
      </c>
      <c r="E84" s="94" t="s">
        <v>40</v>
      </c>
      <c r="F84" s="95" t="s">
        <v>568</v>
      </c>
      <c r="G84" s="94" t="s">
        <v>321</v>
      </c>
      <c r="H84" s="94" t="s">
        <v>286</v>
      </c>
      <c r="I84" s="94" t="s">
        <v>26</v>
      </c>
      <c r="J84" s="94" t="s">
        <v>218</v>
      </c>
      <c r="K84" s="95" t="s">
        <v>243</v>
      </c>
      <c r="L84" s="96">
        <v>18</v>
      </c>
      <c r="M84" s="96">
        <f>L84*VLOOKUP(I84,dagsoorttabel3,2,FALSE)</f>
        <v>18</v>
      </c>
      <c r="N84" s="97">
        <f>prodnorm56</f>
        <v>0</v>
      </c>
      <c r="O84" s="41">
        <f>dagwerk56</f>
        <v>0</v>
      </c>
      <c r="P84" s="94" t="s">
        <v>107</v>
      </c>
      <c r="Q84" s="26">
        <f>uurtarief56</f>
        <v>0</v>
      </c>
      <c r="R84" s="96" t="e">
        <f>IF(ISBLANK(N84),0,M84/ROUND(N84,4))</f>
        <v>#DIV/0!</v>
      </c>
      <c r="S84" s="96" t="e">
        <f>IF(ISBLANK(N84),0,R84*ROUND(O84,2))</f>
        <v>#DIV/0!</v>
      </c>
      <c r="T84" s="26" t="e">
        <f>ROUND(Q84,2)*R84</f>
        <v>#DIV/0!</v>
      </c>
      <c r="U84" s="96" t="e">
        <f>R84*dagenperjaar3</f>
        <v>#DIV/0!</v>
      </c>
      <c r="V84" s="27" t="e">
        <f>U84*ROUND(Q84,2)</f>
        <v>#DIV/0!</v>
      </c>
    </row>
    <row r="85" spans="1:22" x14ac:dyDescent="0.35">
      <c r="A85" s="93" t="s">
        <v>803</v>
      </c>
      <c r="B85" s="94" t="s">
        <v>40</v>
      </c>
      <c r="C85" s="94" t="s">
        <v>309</v>
      </c>
      <c r="D85" s="94" t="s">
        <v>961</v>
      </c>
      <c r="E85" s="94" t="s">
        <v>40</v>
      </c>
      <c r="F85" s="95" t="s">
        <v>568</v>
      </c>
      <c r="G85" s="94" t="s">
        <v>321</v>
      </c>
      <c r="H85" s="94" t="s">
        <v>287</v>
      </c>
      <c r="I85" s="94" t="s">
        <v>25</v>
      </c>
      <c r="J85" s="94" t="s">
        <v>218</v>
      </c>
      <c r="K85" s="95" t="s">
        <v>245</v>
      </c>
      <c r="L85" s="96">
        <v>18</v>
      </c>
      <c r="M85" s="96">
        <f>L85*VLOOKUP(I85,dagsoorttabel3,2,FALSE)</f>
        <v>54</v>
      </c>
      <c r="N85" s="97">
        <f>prodnorm57</f>
        <v>0</v>
      </c>
      <c r="O85" s="41">
        <f>dagwerk57</f>
        <v>0</v>
      </c>
      <c r="P85" s="94" t="s">
        <v>107</v>
      </c>
      <c r="Q85" s="26">
        <f>uurtarief57</f>
        <v>0</v>
      </c>
      <c r="R85" s="96" t="e">
        <f>IF(ISBLANK(N85),0,M85/ROUND(N85,4))</f>
        <v>#DIV/0!</v>
      </c>
      <c r="S85" s="96" t="e">
        <f>IF(ISBLANK(N85),0,R85*ROUND(O85,2))</f>
        <v>#DIV/0!</v>
      </c>
      <c r="T85" s="26" t="e">
        <f>ROUND(Q85,2)*R85</f>
        <v>#DIV/0!</v>
      </c>
      <c r="U85" s="96" t="e">
        <f>R85*dagenperjaar3</f>
        <v>#DIV/0!</v>
      </c>
      <c r="V85" s="27" t="e">
        <f>U85*ROUND(Q85,2)</f>
        <v>#DIV/0!</v>
      </c>
    </row>
    <row r="86" spans="1:22" x14ac:dyDescent="0.35">
      <c r="A86" s="93" t="s">
        <v>803</v>
      </c>
      <c r="B86" s="94" t="s">
        <v>40</v>
      </c>
      <c r="C86" s="94" t="s">
        <v>391</v>
      </c>
      <c r="D86" s="94" t="s">
        <v>973</v>
      </c>
      <c r="E86" s="94" t="s">
        <v>40</v>
      </c>
      <c r="F86" s="95" t="s">
        <v>974</v>
      </c>
      <c r="G86" s="94" t="s">
        <v>335</v>
      </c>
      <c r="H86" s="94" t="s">
        <v>283</v>
      </c>
      <c r="I86" s="94" t="s">
        <v>26</v>
      </c>
      <c r="J86" s="94" t="s">
        <v>218</v>
      </c>
      <c r="K86" s="95" t="s">
        <v>229</v>
      </c>
      <c r="L86" s="96">
        <v>34</v>
      </c>
      <c r="M86" s="96">
        <f>L86*VLOOKUP(I86,dagsoorttabel3,2,FALSE)</f>
        <v>34</v>
      </c>
      <c r="N86" s="97">
        <f>prodnorm53</f>
        <v>0</v>
      </c>
      <c r="O86" s="41">
        <f>dagwerk53</f>
        <v>0</v>
      </c>
      <c r="P86" s="94" t="s">
        <v>107</v>
      </c>
      <c r="Q86" s="26">
        <f>uurtarief53</f>
        <v>0</v>
      </c>
      <c r="R86" s="96" t="e">
        <f>IF(ISBLANK(N86),0,M86/ROUND(N86,4))</f>
        <v>#DIV/0!</v>
      </c>
      <c r="S86" s="96" t="e">
        <f>IF(ISBLANK(N86),0,R86*ROUND(O86,2))</f>
        <v>#DIV/0!</v>
      </c>
      <c r="T86" s="26" t="e">
        <f>ROUND(Q86,2)*R86</f>
        <v>#DIV/0!</v>
      </c>
      <c r="U86" s="96" t="e">
        <f>R86*dagenperjaar3</f>
        <v>#DIV/0!</v>
      </c>
      <c r="V86" s="27" t="e">
        <f>U86*ROUND(Q86,2)</f>
        <v>#DIV/0!</v>
      </c>
    </row>
    <row r="87" spans="1:22" x14ac:dyDescent="0.35">
      <c r="A87" s="93" t="s">
        <v>803</v>
      </c>
      <c r="B87" s="94" t="s">
        <v>40</v>
      </c>
      <c r="C87" s="94" t="s">
        <v>391</v>
      </c>
      <c r="D87" s="94" t="s">
        <v>975</v>
      </c>
      <c r="E87" s="94" t="s">
        <v>40</v>
      </c>
      <c r="F87" s="95" t="s">
        <v>974</v>
      </c>
      <c r="G87" s="94" t="s">
        <v>335</v>
      </c>
      <c r="H87" s="94" t="s">
        <v>283</v>
      </c>
      <c r="I87" s="94" t="s">
        <v>26</v>
      </c>
      <c r="J87" s="94" t="s">
        <v>218</v>
      </c>
      <c r="K87" s="95" t="s">
        <v>229</v>
      </c>
      <c r="L87" s="96">
        <v>44</v>
      </c>
      <c r="M87" s="96">
        <f>L87*VLOOKUP(I87,dagsoorttabel3,2,FALSE)</f>
        <v>44</v>
      </c>
      <c r="N87" s="97">
        <f>prodnorm53</f>
        <v>0</v>
      </c>
      <c r="O87" s="41">
        <f>dagwerk53</f>
        <v>0</v>
      </c>
      <c r="P87" s="94" t="s">
        <v>107</v>
      </c>
      <c r="Q87" s="26">
        <f>uurtarief53</f>
        <v>0</v>
      </c>
      <c r="R87" s="96" t="e">
        <f>IF(ISBLANK(N87),0,M87/ROUND(N87,4))</f>
        <v>#DIV/0!</v>
      </c>
      <c r="S87" s="96" t="e">
        <f>IF(ISBLANK(N87),0,R87*ROUND(O87,2))</f>
        <v>#DIV/0!</v>
      </c>
      <c r="T87" s="26" t="e">
        <f>ROUND(Q87,2)*R87</f>
        <v>#DIV/0!</v>
      </c>
      <c r="U87" s="96" t="e">
        <f>R87*dagenperjaar3</f>
        <v>#DIV/0!</v>
      </c>
      <c r="V87" s="27" t="e">
        <f>U87*ROUND(Q87,2)</f>
        <v>#DIV/0!</v>
      </c>
    </row>
    <row r="88" spans="1:22" x14ac:dyDescent="0.35">
      <c r="A88" s="93" t="s">
        <v>803</v>
      </c>
      <c r="B88" s="94" t="s">
        <v>40</v>
      </c>
      <c r="C88" s="94" t="s">
        <v>391</v>
      </c>
      <c r="D88" s="94" t="s">
        <v>978</v>
      </c>
      <c r="E88" s="94" t="s">
        <v>40</v>
      </c>
      <c r="F88" s="95" t="s">
        <v>979</v>
      </c>
      <c r="G88" s="94" t="s">
        <v>335</v>
      </c>
      <c r="H88" s="94" t="s">
        <v>282</v>
      </c>
      <c r="I88" s="94" t="s">
        <v>26</v>
      </c>
      <c r="J88" s="94" t="s">
        <v>218</v>
      </c>
      <c r="K88" s="95" t="s">
        <v>227</v>
      </c>
      <c r="L88" s="96">
        <v>8</v>
      </c>
      <c r="M88" s="96">
        <f>L88*VLOOKUP(I88,dagsoorttabel3,2,FALSE)</f>
        <v>8</v>
      </c>
      <c r="N88" s="97">
        <f>prodnorm52</f>
        <v>0</v>
      </c>
      <c r="O88" s="41">
        <f>dagwerk52</f>
        <v>0</v>
      </c>
      <c r="P88" s="94" t="s">
        <v>107</v>
      </c>
      <c r="Q88" s="26">
        <f>uurtarief52</f>
        <v>0</v>
      </c>
      <c r="R88" s="96" t="e">
        <f>IF(ISBLANK(N88),0,M88/ROUND(N88,4))</f>
        <v>#DIV/0!</v>
      </c>
      <c r="S88" s="96" t="e">
        <f>IF(ISBLANK(N88),0,R88*ROUND(O88,2))</f>
        <v>#DIV/0!</v>
      </c>
      <c r="T88" s="26" t="e">
        <f>ROUND(Q88,2)*R88</f>
        <v>#DIV/0!</v>
      </c>
      <c r="U88" s="96" t="e">
        <f>R88*dagenperjaar3</f>
        <v>#DIV/0!</v>
      </c>
      <c r="V88" s="27" t="e">
        <f>U88*ROUND(Q88,2)</f>
        <v>#DIV/0!</v>
      </c>
    </row>
    <row r="89" spans="1:22" x14ac:dyDescent="0.35">
      <c r="A89" s="93" t="s">
        <v>803</v>
      </c>
      <c r="B89" s="94" t="s">
        <v>40</v>
      </c>
      <c r="C89" s="94" t="s">
        <v>417</v>
      </c>
      <c r="D89" s="94" t="s">
        <v>989</v>
      </c>
      <c r="E89" s="94" t="s">
        <v>40</v>
      </c>
      <c r="F89" s="95" t="s">
        <v>883</v>
      </c>
      <c r="G89" s="94" t="s">
        <v>535</v>
      </c>
      <c r="H89" s="94" t="s">
        <v>284</v>
      </c>
      <c r="I89" s="94" t="s">
        <v>26</v>
      </c>
      <c r="J89" s="94" t="s">
        <v>218</v>
      </c>
      <c r="K89" s="95" t="s">
        <v>235</v>
      </c>
      <c r="L89" s="96">
        <v>88</v>
      </c>
      <c r="M89" s="96">
        <f>L89*VLOOKUP(I89,dagsoorttabel3,2,FALSE)</f>
        <v>88</v>
      </c>
      <c r="N89" s="97">
        <f>prodnorm54</f>
        <v>0</v>
      </c>
      <c r="O89" s="41">
        <f>dagwerk54</f>
        <v>0</v>
      </c>
      <c r="P89" s="94" t="s">
        <v>107</v>
      </c>
      <c r="Q89" s="26">
        <f>uurtarief54</f>
        <v>0</v>
      </c>
      <c r="R89" s="96" t="e">
        <f>IF(ISBLANK(N89),0,M89/ROUND(N89,4))</f>
        <v>#DIV/0!</v>
      </c>
      <c r="S89" s="96" t="e">
        <f>IF(ISBLANK(N89),0,R89*ROUND(O89,2))</f>
        <v>#DIV/0!</v>
      </c>
      <c r="T89" s="26" t="e">
        <f>ROUND(Q89,2)*R89</f>
        <v>#DIV/0!</v>
      </c>
      <c r="U89" s="96" t="e">
        <f>R89*dagenperjaar3</f>
        <v>#DIV/0!</v>
      </c>
      <c r="V89" s="27" t="e">
        <f>U89*ROUND(Q89,2)</f>
        <v>#DIV/0!</v>
      </c>
    </row>
    <row r="90" spans="1:22" x14ac:dyDescent="0.35">
      <c r="A90" s="93" t="s">
        <v>803</v>
      </c>
      <c r="B90" s="94" t="s">
        <v>40</v>
      </c>
      <c r="C90" s="94" t="s">
        <v>417</v>
      </c>
      <c r="D90" s="94" t="s">
        <v>991</v>
      </c>
      <c r="E90" s="94" t="s">
        <v>40</v>
      </c>
      <c r="F90" s="95" t="s">
        <v>883</v>
      </c>
      <c r="G90" s="94" t="s">
        <v>535</v>
      </c>
      <c r="H90" s="94" t="s">
        <v>284</v>
      </c>
      <c r="I90" s="94" t="s">
        <v>26</v>
      </c>
      <c r="J90" s="94" t="s">
        <v>218</v>
      </c>
      <c r="K90" s="95" t="s">
        <v>235</v>
      </c>
      <c r="L90" s="96">
        <v>31</v>
      </c>
      <c r="M90" s="96">
        <f>L90*VLOOKUP(I90,dagsoorttabel3,2,FALSE)</f>
        <v>31</v>
      </c>
      <c r="N90" s="97">
        <f>prodnorm54</f>
        <v>0</v>
      </c>
      <c r="O90" s="41">
        <f>dagwerk54</f>
        <v>0</v>
      </c>
      <c r="P90" s="94" t="s">
        <v>107</v>
      </c>
      <c r="Q90" s="26">
        <f>uurtarief54</f>
        <v>0</v>
      </c>
      <c r="R90" s="96" t="e">
        <f>IF(ISBLANK(N90),0,M90/ROUND(N90,4))</f>
        <v>#DIV/0!</v>
      </c>
      <c r="S90" s="96" t="e">
        <f>IF(ISBLANK(N90),0,R90*ROUND(O90,2))</f>
        <v>#DIV/0!</v>
      </c>
      <c r="T90" s="26" t="e">
        <f>ROUND(Q90,2)*R90</f>
        <v>#DIV/0!</v>
      </c>
      <c r="U90" s="96" t="e">
        <f>R90*dagenperjaar3</f>
        <v>#DIV/0!</v>
      </c>
      <c r="V90" s="27" t="e">
        <f>U90*ROUND(Q90,2)</f>
        <v>#DIV/0!</v>
      </c>
    </row>
    <row r="91" spans="1:22" x14ac:dyDescent="0.35">
      <c r="A91" s="93" t="s">
        <v>803</v>
      </c>
      <c r="B91" s="94" t="s">
        <v>40</v>
      </c>
      <c r="C91" s="94" t="s">
        <v>417</v>
      </c>
      <c r="D91" s="94" t="s">
        <v>992</v>
      </c>
      <c r="E91" s="94" t="s">
        <v>40</v>
      </c>
      <c r="F91" s="95" t="s">
        <v>883</v>
      </c>
      <c r="G91" s="94" t="s">
        <v>535</v>
      </c>
      <c r="H91" s="94" t="s">
        <v>284</v>
      </c>
      <c r="I91" s="94" t="s">
        <v>26</v>
      </c>
      <c r="J91" s="94" t="s">
        <v>218</v>
      </c>
      <c r="K91" s="95" t="s">
        <v>235</v>
      </c>
      <c r="L91" s="96">
        <v>30</v>
      </c>
      <c r="M91" s="96">
        <f>L91*VLOOKUP(I91,dagsoorttabel3,2,FALSE)</f>
        <v>30</v>
      </c>
      <c r="N91" s="97">
        <f>prodnorm54</f>
        <v>0</v>
      </c>
      <c r="O91" s="41">
        <f>dagwerk54</f>
        <v>0</v>
      </c>
      <c r="P91" s="94" t="s">
        <v>107</v>
      </c>
      <c r="Q91" s="26">
        <f>uurtarief54</f>
        <v>0</v>
      </c>
      <c r="R91" s="96" t="e">
        <f>IF(ISBLANK(N91),0,M91/ROUND(N91,4))</f>
        <v>#DIV/0!</v>
      </c>
      <c r="S91" s="96" t="e">
        <f>IF(ISBLANK(N91),0,R91*ROUND(O91,2))</f>
        <v>#DIV/0!</v>
      </c>
      <c r="T91" s="26" t="e">
        <f>ROUND(Q91,2)*R91</f>
        <v>#DIV/0!</v>
      </c>
      <c r="U91" s="96" t="e">
        <f>R91*dagenperjaar3</f>
        <v>#DIV/0!</v>
      </c>
      <c r="V91" s="27" t="e">
        <f>U91*ROUND(Q91,2)</f>
        <v>#DIV/0!</v>
      </c>
    </row>
    <row r="92" spans="1:22" x14ac:dyDescent="0.35">
      <c r="A92" s="93" t="s">
        <v>803</v>
      </c>
      <c r="B92" s="94" t="s">
        <v>40</v>
      </c>
      <c r="C92" s="94" t="s">
        <v>417</v>
      </c>
      <c r="D92" s="94" t="s">
        <v>993</v>
      </c>
      <c r="E92" s="94" t="s">
        <v>40</v>
      </c>
      <c r="F92" s="95" t="s">
        <v>883</v>
      </c>
      <c r="G92" s="94" t="s">
        <v>535</v>
      </c>
      <c r="H92" s="94" t="s">
        <v>284</v>
      </c>
      <c r="I92" s="94" t="s">
        <v>26</v>
      </c>
      <c r="J92" s="94" t="s">
        <v>218</v>
      </c>
      <c r="K92" s="95" t="s">
        <v>235</v>
      </c>
      <c r="L92" s="96">
        <v>30</v>
      </c>
      <c r="M92" s="96">
        <f>L92*VLOOKUP(I92,dagsoorttabel3,2,FALSE)</f>
        <v>30</v>
      </c>
      <c r="N92" s="97">
        <f>prodnorm54</f>
        <v>0</v>
      </c>
      <c r="O92" s="41">
        <f>dagwerk54</f>
        <v>0</v>
      </c>
      <c r="P92" s="94" t="s">
        <v>107</v>
      </c>
      <c r="Q92" s="26">
        <f>uurtarief54</f>
        <v>0</v>
      </c>
      <c r="R92" s="96" t="e">
        <f>IF(ISBLANK(N92),0,M92/ROUND(N92,4))</f>
        <v>#DIV/0!</v>
      </c>
      <c r="S92" s="96" t="e">
        <f>IF(ISBLANK(N92),0,R92*ROUND(O92,2))</f>
        <v>#DIV/0!</v>
      </c>
      <c r="T92" s="26" t="e">
        <f>ROUND(Q92,2)*R92</f>
        <v>#DIV/0!</v>
      </c>
      <c r="U92" s="96" t="e">
        <f>R92*dagenperjaar3</f>
        <v>#DIV/0!</v>
      </c>
      <c r="V92" s="27" t="e">
        <f>U92*ROUND(Q92,2)</f>
        <v>#DIV/0!</v>
      </c>
    </row>
    <row r="93" spans="1:22" x14ac:dyDescent="0.35">
      <c r="A93" s="93" t="s">
        <v>803</v>
      </c>
      <c r="B93" s="94" t="s">
        <v>40</v>
      </c>
      <c r="C93" s="94" t="s">
        <v>417</v>
      </c>
      <c r="D93" s="94" t="s">
        <v>994</v>
      </c>
      <c r="E93" s="94" t="s">
        <v>40</v>
      </c>
      <c r="F93" s="95" t="s">
        <v>883</v>
      </c>
      <c r="G93" s="94" t="s">
        <v>535</v>
      </c>
      <c r="H93" s="94" t="s">
        <v>284</v>
      </c>
      <c r="I93" s="94" t="s">
        <v>26</v>
      </c>
      <c r="J93" s="94" t="s">
        <v>218</v>
      </c>
      <c r="K93" s="95" t="s">
        <v>235</v>
      </c>
      <c r="L93" s="96">
        <v>31</v>
      </c>
      <c r="M93" s="96">
        <f>L93*VLOOKUP(I93,dagsoorttabel3,2,FALSE)</f>
        <v>31</v>
      </c>
      <c r="N93" s="97">
        <f>prodnorm54</f>
        <v>0</v>
      </c>
      <c r="O93" s="41">
        <f>dagwerk54</f>
        <v>0</v>
      </c>
      <c r="P93" s="94" t="s">
        <v>107</v>
      </c>
      <c r="Q93" s="26">
        <f>uurtarief54</f>
        <v>0</v>
      </c>
      <c r="R93" s="96" t="e">
        <f>IF(ISBLANK(N93),0,M93/ROUND(N93,4))</f>
        <v>#DIV/0!</v>
      </c>
      <c r="S93" s="96" t="e">
        <f>IF(ISBLANK(N93),0,R93*ROUND(O93,2))</f>
        <v>#DIV/0!</v>
      </c>
      <c r="T93" s="26" t="e">
        <f>ROUND(Q93,2)*R93</f>
        <v>#DIV/0!</v>
      </c>
      <c r="U93" s="96" t="e">
        <f>R93*dagenperjaar3</f>
        <v>#DIV/0!</v>
      </c>
      <c r="V93" s="27" t="e">
        <f>U93*ROUND(Q93,2)</f>
        <v>#DIV/0!</v>
      </c>
    </row>
    <row r="94" spans="1:22" x14ac:dyDescent="0.35">
      <c r="A94" s="93" t="s">
        <v>803</v>
      </c>
      <c r="B94" s="94" t="s">
        <v>40</v>
      </c>
      <c r="C94" s="94" t="s">
        <v>417</v>
      </c>
      <c r="D94" s="94" t="s">
        <v>995</v>
      </c>
      <c r="E94" s="94" t="s">
        <v>40</v>
      </c>
      <c r="F94" s="95" t="s">
        <v>883</v>
      </c>
      <c r="G94" s="94" t="s">
        <v>535</v>
      </c>
      <c r="H94" s="94" t="s">
        <v>284</v>
      </c>
      <c r="I94" s="94" t="s">
        <v>26</v>
      </c>
      <c r="J94" s="94" t="s">
        <v>218</v>
      </c>
      <c r="K94" s="95" t="s">
        <v>235</v>
      </c>
      <c r="L94" s="96">
        <v>95</v>
      </c>
      <c r="M94" s="96">
        <f>L94*VLOOKUP(I94,dagsoorttabel3,2,FALSE)</f>
        <v>95</v>
      </c>
      <c r="N94" s="97">
        <f>prodnorm54</f>
        <v>0</v>
      </c>
      <c r="O94" s="41">
        <f>dagwerk54</f>
        <v>0</v>
      </c>
      <c r="P94" s="94" t="s">
        <v>107</v>
      </c>
      <c r="Q94" s="26">
        <f>uurtarief54</f>
        <v>0</v>
      </c>
      <c r="R94" s="96" t="e">
        <f>IF(ISBLANK(N94),0,M94/ROUND(N94,4))</f>
        <v>#DIV/0!</v>
      </c>
      <c r="S94" s="96" t="e">
        <f>IF(ISBLANK(N94),0,R94*ROUND(O94,2))</f>
        <v>#DIV/0!</v>
      </c>
      <c r="T94" s="26" t="e">
        <f>ROUND(Q94,2)*R94</f>
        <v>#DIV/0!</v>
      </c>
      <c r="U94" s="96" t="e">
        <f>R94*dagenperjaar3</f>
        <v>#DIV/0!</v>
      </c>
      <c r="V94" s="27" t="e">
        <f>U94*ROUND(Q94,2)</f>
        <v>#DIV/0!</v>
      </c>
    </row>
    <row r="95" spans="1:22" x14ac:dyDescent="0.35">
      <c r="A95" s="93" t="s">
        <v>803</v>
      </c>
      <c r="B95" s="94" t="s">
        <v>40</v>
      </c>
      <c r="C95" s="94" t="s">
        <v>417</v>
      </c>
      <c r="D95" s="94" t="s">
        <v>996</v>
      </c>
      <c r="E95" s="94" t="s">
        <v>40</v>
      </c>
      <c r="F95" s="95" t="s">
        <v>883</v>
      </c>
      <c r="G95" s="94" t="s">
        <v>535</v>
      </c>
      <c r="H95" s="94" t="s">
        <v>284</v>
      </c>
      <c r="I95" s="94" t="s">
        <v>26</v>
      </c>
      <c r="J95" s="94" t="s">
        <v>218</v>
      </c>
      <c r="K95" s="95" t="s">
        <v>235</v>
      </c>
      <c r="L95" s="96">
        <v>123</v>
      </c>
      <c r="M95" s="96">
        <f>L95*VLOOKUP(I95,dagsoorttabel3,2,FALSE)</f>
        <v>123</v>
      </c>
      <c r="N95" s="97">
        <f>prodnorm54</f>
        <v>0</v>
      </c>
      <c r="O95" s="41">
        <f>dagwerk54</f>
        <v>0</v>
      </c>
      <c r="P95" s="94" t="s">
        <v>107</v>
      </c>
      <c r="Q95" s="26">
        <f>uurtarief54</f>
        <v>0</v>
      </c>
      <c r="R95" s="96" t="e">
        <f>IF(ISBLANK(N95),0,M95/ROUND(N95,4))</f>
        <v>#DIV/0!</v>
      </c>
      <c r="S95" s="96" t="e">
        <f>IF(ISBLANK(N95),0,R95*ROUND(O95,2))</f>
        <v>#DIV/0!</v>
      </c>
      <c r="T95" s="26" t="e">
        <f>ROUND(Q95,2)*R95</f>
        <v>#DIV/0!</v>
      </c>
      <c r="U95" s="96" t="e">
        <f>R95*dagenperjaar3</f>
        <v>#DIV/0!</v>
      </c>
      <c r="V95" s="27" t="e">
        <f>U95*ROUND(Q95,2)</f>
        <v>#DIV/0!</v>
      </c>
    </row>
    <row r="96" spans="1:22" x14ac:dyDescent="0.35">
      <c r="A96" s="93" t="s">
        <v>803</v>
      </c>
      <c r="B96" s="94" t="s">
        <v>40</v>
      </c>
      <c r="C96" s="94" t="s">
        <v>417</v>
      </c>
      <c r="D96" s="94" t="s">
        <v>997</v>
      </c>
      <c r="E96" s="94" t="s">
        <v>40</v>
      </c>
      <c r="F96" s="95" t="s">
        <v>883</v>
      </c>
      <c r="G96" s="94" t="s">
        <v>535</v>
      </c>
      <c r="H96" s="94" t="s">
        <v>284</v>
      </c>
      <c r="I96" s="94" t="s">
        <v>26</v>
      </c>
      <c r="J96" s="94" t="s">
        <v>218</v>
      </c>
      <c r="K96" s="95" t="s">
        <v>235</v>
      </c>
      <c r="L96" s="96">
        <v>123</v>
      </c>
      <c r="M96" s="96">
        <f>L96*VLOOKUP(I96,dagsoorttabel3,2,FALSE)</f>
        <v>123</v>
      </c>
      <c r="N96" s="97">
        <f>prodnorm54</f>
        <v>0</v>
      </c>
      <c r="O96" s="41">
        <f>dagwerk54</f>
        <v>0</v>
      </c>
      <c r="P96" s="94" t="s">
        <v>107</v>
      </c>
      <c r="Q96" s="26">
        <f>uurtarief54</f>
        <v>0</v>
      </c>
      <c r="R96" s="96" t="e">
        <f>IF(ISBLANK(N96),0,M96/ROUND(N96,4))</f>
        <v>#DIV/0!</v>
      </c>
      <c r="S96" s="96" t="e">
        <f>IF(ISBLANK(N96),0,R96*ROUND(O96,2))</f>
        <v>#DIV/0!</v>
      </c>
      <c r="T96" s="26" t="e">
        <f>ROUND(Q96,2)*R96</f>
        <v>#DIV/0!</v>
      </c>
      <c r="U96" s="96" t="e">
        <f>R96*dagenperjaar3</f>
        <v>#DIV/0!</v>
      </c>
      <c r="V96" s="27" t="e">
        <f>U96*ROUND(Q96,2)</f>
        <v>#DIV/0!</v>
      </c>
    </row>
    <row r="97" spans="1:22" x14ac:dyDescent="0.35">
      <c r="A97" s="93" t="s">
        <v>803</v>
      </c>
      <c r="B97" s="94" t="s">
        <v>40</v>
      </c>
      <c r="C97" s="94" t="s">
        <v>417</v>
      </c>
      <c r="D97" s="94" t="s">
        <v>998</v>
      </c>
      <c r="E97" s="94" t="s">
        <v>40</v>
      </c>
      <c r="F97" s="95" t="s">
        <v>883</v>
      </c>
      <c r="G97" s="94" t="s">
        <v>535</v>
      </c>
      <c r="H97" s="94" t="s">
        <v>284</v>
      </c>
      <c r="I97" s="94" t="s">
        <v>26</v>
      </c>
      <c r="J97" s="94" t="s">
        <v>218</v>
      </c>
      <c r="K97" s="95" t="s">
        <v>235</v>
      </c>
      <c r="L97" s="96">
        <v>121</v>
      </c>
      <c r="M97" s="96">
        <f>L97*VLOOKUP(I97,dagsoorttabel3,2,FALSE)</f>
        <v>121</v>
      </c>
      <c r="N97" s="97">
        <f>prodnorm54</f>
        <v>0</v>
      </c>
      <c r="O97" s="41">
        <f>dagwerk54</f>
        <v>0</v>
      </c>
      <c r="P97" s="94" t="s">
        <v>107</v>
      </c>
      <c r="Q97" s="26">
        <f>uurtarief54</f>
        <v>0</v>
      </c>
      <c r="R97" s="96" t="e">
        <f>IF(ISBLANK(N97),0,M97/ROUND(N97,4))</f>
        <v>#DIV/0!</v>
      </c>
      <c r="S97" s="96" t="e">
        <f>IF(ISBLANK(N97),0,R97*ROUND(O97,2))</f>
        <v>#DIV/0!</v>
      </c>
      <c r="T97" s="26" t="e">
        <f>ROUND(Q97,2)*R97</f>
        <v>#DIV/0!</v>
      </c>
      <c r="U97" s="96" t="e">
        <f>R97*dagenperjaar3</f>
        <v>#DIV/0!</v>
      </c>
      <c r="V97" s="27" t="e">
        <f>U97*ROUND(Q97,2)</f>
        <v>#DIV/0!</v>
      </c>
    </row>
    <row r="98" spans="1:22" x14ac:dyDescent="0.35">
      <c r="A98" s="93" t="s">
        <v>803</v>
      </c>
      <c r="B98" s="94" t="s">
        <v>40</v>
      </c>
      <c r="C98" s="94" t="s">
        <v>417</v>
      </c>
      <c r="D98" s="94" t="s">
        <v>999</v>
      </c>
      <c r="E98" s="94" t="s">
        <v>40</v>
      </c>
      <c r="F98" s="95" t="s">
        <v>883</v>
      </c>
      <c r="G98" s="94" t="s">
        <v>535</v>
      </c>
      <c r="H98" s="94" t="s">
        <v>284</v>
      </c>
      <c r="I98" s="94" t="s">
        <v>26</v>
      </c>
      <c r="J98" s="94" t="s">
        <v>218</v>
      </c>
      <c r="K98" s="95" t="s">
        <v>235</v>
      </c>
      <c r="L98" s="96">
        <v>122</v>
      </c>
      <c r="M98" s="96">
        <f>L98*VLOOKUP(I98,dagsoorttabel3,2,FALSE)</f>
        <v>122</v>
      </c>
      <c r="N98" s="97">
        <f>prodnorm54</f>
        <v>0</v>
      </c>
      <c r="O98" s="41">
        <f>dagwerk54</f>
        <v>0</v>
      </c>
      <c r="P98" s="94" t="s">
        <v>107</v>
      </c>
      <c r="Q98" s="26">
        <f>uurtarief54</f>
        <v>0</v>
      </c>
      <c r="R98" s="96" t="e">
        <f>IF(ISBLANK(N98),0,M98/ROUND(N98,4))</f>
        <v>#DIV/0!</v>
      </c>
      <c r="S98" s="96" t="e">
        <f>IF(ISBLANK(N98),0,R98*ROUND(O98,2))</f>
        <v>#DIV/0!</v>
      </c>
      <c r="T98" s="26" t="e">
        <f>ROUND(Q98,2)*R98</f>
        <v>#DIV/0!</v>
      </c>
      <c r="U98" s="96" t="e">
        <f>R98*dagenperjaar3</f>
        <v>#DIV/0!</v>
      </c>
      <c r="V98" s="27" t="e">
        <f>U98*ROUND(Q98,2)</f>
        <v>#DIV/0!</v>
      </c>
    </row>
    <row r="99" spans="1:22" x14ac:dyDescent="0.35">
      <c r="A99" s="93" t="s">
        <v>803</v>
      </c>
      <c r="B99" s="94" t="s">
        <v>40</v>
      </c>
      <c r="C99" s="94" t="s">
        <v>417</v>
      </c>
      <c r="D99" s="94" t="s">
        <v>1000</v>
      </c>
      <c r="E99" s="94" t="s">
        <v>40</v>
      </c>
      <c r="F99" s="95" t="s">
        <v>883</v>
      </c>
      <c r="G99" s="94" t="s">
        <v>535</v>
      </c>
      <c r="H99" s="94" t="s">
        <v>284</v>
      </c>
      <c r="I99" s="94" t="s">
        <v>26</v>
      </c>
      <c r="J99" s="94" t="s">
        <v>218</v>
      </c>
      <c r="K99" s="95" t="s">
        <v>235</v>
      </c>
      <c r="L99" s="96">
        <v>95</v>
      </c>
      <c r="M99" s="96">
        <f>L99*VLOOKUP(I99,dagsoorttabel3,2,FALSE)</f>
        <v>95</v>
      </c>
      <c r="N99" s="97">
        <f>prodnorm54</f>
        <v>0</v>
      </c>
      <c r="O99" s="41">
        <f>dagwerk54</f>
        <v>0</v>
      </c>
      <c r="P99" s="94" t="s">
        <v>107</v>
      </c>
      <c r="Q99" s="26">
        <f>uurtarief54</f>
        <v>0</v>
      </c>
      <c r="R99" s="96" t="e">
        <f>IF(ISBLANK(N99),0,M99/ROUND(N99,4))</f>
        <v>#DIV/0!</v>
      </c>
      <c r="S99" s="96" t="e">
        <f>IF(ISBLANK(N99),0,R99*ROUND(O99,2))</f>
        <v>#DIV/0!</v>
      </c>
      <c r="T99" s="26" t="e">
        <f>ROUND(Q99,2)*R99</f>
        <v>#DIV/0!</v>
      </c>
      <c r="U99" s="96" t="e">
        <f>R99*dagenperjaar3</f>
        <v>#DIV/0!</v>
      </c>
      <c r="V99" s="27" t="e">
        <f>U99*ROUND(Q99,2)</f>
        <v>#DIV/0!</v>
      </c>
    </row>
    <row r="100" spans="1:22" x14ac:dyDescent="0.35">
      <c r="A100" s="93" t="s">
        <v>803</v>
      </c>
      <c r="B100" s="94" t="s">
        <v>40</v>
      </c>
      <c r="C100" s="94" t="s">
        <v>417</v>
      </c>
      <c r="D100" s="94" t="s">
        <v>1001</v>
      </c>
      <c r="E100" s="94" t="s">
        <v>40</v>
      </c>
      <c r="F100" s="95" t="s">
        <v>883</v>
      </c>
      <c r="G100" s="94" t="s">
        <v>535</v>
      </c>
      <c r="H100" s="94" t="s">
        <v>284</v>
      </c>
      <c r="I100" s="94" t="s">
        <v>26</v>
      </c>
      <c r="J100" s="94" t="s">
        <v>218</v>
      </c>
      <c r="K100" s="95" t="s">
        <v>235</v>
      </c>
      <c r="L100" s="96">
        <v>83</v>
      </c>
      <c r="M100" s="96">
        <f>L100*VLOOKUP(I100,dagsoorttabel3,2,FALSE)</f>
        <v>83</v>
      </c>
      <c r="N100" s="97">
        <f>prodnorm54</f>
        <v>0</v>
      </c>
      <c r="O100" s="41">
        <f>dagwerk54</f>
        <v>0</v>
      </c>
      <c r="P100" s="94" t="s">
        <v>107</v>
      </c>
      <c r="Q100" s="26">
        <f>uurtarief54</f>
        <v>0</v>
      </c>
      <c r="R100" s="96" t="e">
        <f>IF(ISBLANK(N100),0,M100/ROUND(N100,4))</f>
        <v>#DIV/0!</v>
      </c>
      <c r="S100" s="96" t="e">
        <f>IF(ISBLANK(N100),0,R100*ROUND(O100,2))</f>
        <v>#DIV/0!</v>
      </c>
      <c r="T100" s="26" t="e">
        <f>ROUND(Q100,2)*R100</f>
        <v>#DIV/0!</v>
      </c>
      <c r="U100" s="96" t="e">
        <f>R100*dagenperjaar3</f>
        <v>#DIV/0!</v>
      </c>
      <c r="V100" s="27" t="e">
        <f>U100*ROUND(Q100,2)</f>
        <v>#DIV/0!</v>
      </c>
    </row>
    <row r="101" spans="1:22" x14ac:dyDescent="0.35">
      <c r="A101" s="93" t="s">
        <v>803</v>
      </c>
      <c r="B101" s="94" t="s">
        <v>40</v>
      </c>
      <c r="C101" s="94" t="s">
        <v>417</v>
      </c>
      <c r="D101" s="94" t="s">
        <v>1002</v>
      </c>
      <c r="E101" s="94" t="s">
        <v>40</v>
      </c>
      <c r="F101" s="95" t="s">
        <v>883</v>
      </c>
      <c r="G101" s="94" t="s">
        <v>535</v>
      </c>
      <c r="H101" s="94" t="s">
        <v>284</v>
      </c>
      <c r="I101" s="94" t="s">
        <v>26</v>
      </c>
      <c r="J101" s="94" t="s">
        <v>218</v>
      </c>
      <c r="K101" s="95" t="s">
        <v>235</v>
      </c>
      <c r="L101" s="96">
        <v>82</v>
      </c>
      <c r="M101" s="96">
        <f>L101*VLOOKUP(I101,dagsoorttabel3,2,FALSE)</f>
        <v>82</v>
      </c>
      <c r="N101" s="97">
        <f>prodnorm54</f>
        <v>0</v>
      </c>
      <c r="O101" s="41">
        <f>dagwerk54</f>
        <v>0</v>
      </c>
      <c r="P101" s="94" t="s">
        <v>107</v>
      </c>
      <c r="Q101" s="26">
        <f>uurtarief54</f>
        <v>0</v>
      </c>
      <c r="R101" s="96" t="e">
        <f>IF(ISBLANK(N101),0,M101/ROUND(N101,4))</f>
        <v>#DIV/0!</v>
      </c>
      <c r="S101" s="96" t="e">
        <f>IF(ISBLANK(N101),0,R101*ROUND(O101,2))</f>
        <v>#DIV/0!</v>
      </c>
      <c r="T101" s="26" t="e">
        <f>ROUND(Q101,2)*R101</f>
        <v>#DIV/0!</v>
      </c>
      <c r="U101" s="96" t="e">
        <f>R101*dagenperjaar3</f>
        <v>#DIV/0!</v>
      </c>
      <c r="V101" s="27" t="e">
        <f>U101*ROUND(Q101,2)</f>
        <v>#DIV/0!</v>
      </c>
    </row>
    <row r="102" spans="1:22" x14ac:dyDescent="0.35">
      <c r="A102" s="93" t="s">
        <v>803</v>
      </c>
      <c r="B102" s="94" t="s">
        <v>40</v>
      </c>
      <c r="C102" s="94" t="s">
        <v>417</v>
      </c>
      <c r="D102" s="94" t="s">
        <v>1003</v>
      </c>
      <c r="E102" s="94" t="s">
        <v>40</v>
      </c>
      <c r="F102" s="95" t="s">
        <v>883</v>
      </c>
      <c r="G102" s="94" t="s">
        <v>535</v>
      </c>
      <c r="H102" s="94" t="s">
        <v>284</v>
      </c>
      <c r="I102" s="94" t="s">
        <v>26</v>
      </c>
      <c r="J102" s="94" t="s">
        <v>218</v>
      </c>
      <c r="K102" s="95" t="s">
        <v>235</v>
      </c>
      <c r="L102" s="96">
        <v>62</v>
      </c>
      <c r="M102" s="96">
        <f>L102*VLOOKUP(I102,dagsoorttabel3,2,FALSE)</f>
        <v>62</v>
      </c>
      <c r="N102" s="97">
        <f>prodnorm54</f>
        <v>0</v>
      </c>
      <c r="O102" s="41">
        <f>dagwerk54</f>
        <v>0</v>
      </c>
      <c r="P102" s="94" t="s">
        <v>107</v>
      </c>
      <c r="Q102" s="26">
        <f>uurtarief54</f>
        <v>0</v>
      </c>
      <c r="R102" s="96" t="e">
        <f>IF(ISBLANK(N102),0,M102/ROUND(N102,4))</f>
        <v>#DIV/0!</v>
      </c>
      <c r="S102" s="96" t="e">
        <f>IF(ISBLANK(N102),0,R102*ROUND(O102,2))</f>
        <v>#DIV/0!</v>
      </c>
      <c r="T102" s="26" t="e">
        <f>ROUND(Q102,2)*R102</f>
        <v>#DIV/0!</v>
      </c>
      <c r="U102" s="96" t="e">
        <f>R102*dagenperjaar3</f>
        <v>#DIV/0!</v>
      </c>
      <c r="V102" s="27" t="e">
        <f>U102*ROUND(Q102,2)</f>
        <v>#DIV/0!</v>
      </c>
    </row>
    <row r="103" spans="1:22" x14ac:dyDescent="0.35">
      <c r="A103" s="93" t="s">
        <v>803</v>
      </c>
      <c r="B103" s="94" t="s">
        <v>40</v>
      </c>
      <c r="C103" s="94" t="s">
        <v>417</v>
      </c>
      <c r="D103" s="94" t="s">
        <v>1008</v>
      </c>
      <c r="E103" s="94" t="s">
        <v>40</v>
      </c>
      <c r="F103" s="95" t="s">
        <v>1009</v>
      </c>
      <c r="G103" s="94" t="s">
        <v>948</v>
      </c>
      <c r="H103" s="94" t="s">
        <v>288</v>
      </c>
      <c r="I103" s="94" t="s">
        <v>26</v>
      </c>
      <c r="J103" s="94" t="s">
        <v>218</v>
      </c>
      <c r="K103" s="95" t="s">
        <v>247</v>
      </c>
      <c r="L103" s="96">
        <v>200</v>
      </c>
      <c r="M103" s="96">
        <f>L103*VLOOKUP(I103,dagsoorttabel3,2,FALSE)</f>
        <v>200</v>
      </c>
      <c r="N103" s="97">
        <f>prodnorm58</f>
        <v>0</v>
      </c>
      <c r="O103" s="41">
        <f>dagwerk58</f>
        <v>0</v>
      </c>
      <c r="P103" s="94" t="s">
        <v>107</v>
      </c>
      <c r="Q103" s="26">
        <f>uurtarief58</f>
        <v>0</v>
      </c>
      <c r="R103" s="96" t="e">
        <f>IF(ISBLANK(N103),0,M103/ROUND(N103,4))</f>
        <v>#DIV/0!</v>
      </c>
      <c r="S103" s="96" t="e">
        <f>IF(ISBLANK(N103),0,R103*ROUND(O103,2))</f>
        <v>#DIV/0!</v>
      </c>
      <c r="T103" s="26" t="e">
        <f>ROUND(Q103,2)*R103</f>
        <v>#DIV/0!</v>
      </c>
      <c r="U103" s="96" t="e">
        <f>R103*dagenperjaar3</f>
        <v>#DIV/0!</v>
      </c>
      <c r="V103" s="27" t="e">
        <f>U103*ROUND(Q103,2)</f>
        <v>#DIV/0!</v>
      </c>
    </row>
    <row r="104" spans="1:22" x14ac:dyDescent="0.35">
      <c r="A104" s="93" t="s">
        <v>803</v>
      </c>
      <c r="B104" s="94" t="s">
        <v>40</v>
      </c>
      <c r="C104" s="94" t="s">
        <v>417</v>
      </c>
      <c r="D104" s="94" t="s">
        <v>1014</v>
      </c>
      <c r="E104" s="94" t="s">
        <v>40</v>
      </c>
      <c r="F104" s="95" t="s">
        <v>411</v>
      </c>
      <c r="G104" s="94" t="s">
        <v>535</v>
      </c>
      <c r="H104" s="94" t="s">
        <v>288</v>
      </c>
      <c r="I104" s="94" t="s">
        <v>26</v>
      </c>
      <c r="J104" s="94" t="s">
        <v>218</v>
      </c>
      <c r="K104" s="95" t="s">
        <v>247</v>
      </c>
      <c r="L104" s="96">
        <v>11</v>
      </c>
      <c r="M104" s="96">
        <f>L104*VLOOKUP(I104,dagsoorttabel3,2,FALSE)</f>
        <v>11</v>
      </c>
      <c r="N104" s="97">
        <f>prodnorm58</f>
        <v>0</v>
      </c>
      <c r="O104" s="41">
        <f>dagwerk58</f>
        <v>0</v>
      </c>
      <c r="P104" s="94" t="s">
        <v>107</v>
      </c>
      <c r="Q104" s="26">
        <f>uurtarief58</f>
        <v>0</v>
      </c>
      <c r="R104" s="96" t="e">
        <f>IF(ISBLANK(N104),0,M104/ROUND(N104,4))</f>
        <v>#DIV/0!</v>
      </c>
      <c r="S104" s="96" t="e">
        <f>IF(ISBLANK(N104),0,R104*ROUND(O104,2))</f>
        <v>#DIV/0!</v>
      </c>
      <c r="T104" s="26" t="e">
        <f>ROUND(Q104,2)*R104</f>
        <v>#DIV/0!</v>
      </c>
      <c r="U104" s="96" t="e">
        <f>R104*dagenperjaar3</f>
        <v>#DIV/0!</v>
      </c>
      <c r="V104" s="27" t="e">
        <f>U104*ROUND(Q104,2)</f>
        <v>#DIV/0!</v>
      </c>
    </row>
    <row r="105" spans="1:22" x14ac:dyDescent="0.35">
      <c r="A105" s="93" t="s">
        <v>803</v>
      </c>
      <c r="B105" s="94" t="s">
        <v>40</v>
      </c>
      <c r="C105" s="94" t="s">
        <v>417</v>
      </c>
      <c r="D105" s="94" t="s">
        <v>1015</v>
      </c>
      <c r="E105" s="94" t="s">
        <v>40</v>
      </c>
      <c r="F105" s="95" t="s">
        <v>883</v>
      </c>
      <c r="G105" s="94" t="s">
        <v>535</v>
      </c>
      <c r="H105" s="94" t="s">
        <v>284</v>
      </c>
      <c r="I105" s="94" t="s">
        <v>26</v>
      </c>
      <c r="J105" s="94" t="s">
        <v>218</v>
      </c>
      <c r="K105" s="95" t="s">
        <v>235</v>
      </c>
      <c r="L105" s="96">
        <v>87</v>
      </c>
      <c r="M105" s="96">
        <f>L105*VLOOKUP(I105,dagsoorttabel3,2,FALSE)</f>
        <v>87</v>
      </c>
      <c r="N105" s="97">
        <f>prodnorm54</f>
        <v>0</v>
      </c>
      <c r="O105" s="41">
        <f>dagwerk54</f>
        <v>0</v>
      </c>
      <c r="P105" s="94" t="s">
        <v>107</v>
      </c>
      <c r="Q105" s="26">
        <f>uurtarief54</f>
        <v>0</v>
      </c>
      <c r="R105" s="96" t="e">
        <f>IF(ISBLANK(N105),0,M105/ROUND(N105,4))</f>
        <v>#DIV/0!</v>
      </c>
      <c r="S105" s="96" t="e">
        <f>IF(ISBLANK(N105),0,R105*ROUND(O105,2))</f>
        <v>#DIV/0!</v>
      </c>
      <c r="T105" s="26" t="e">
        <f>ROUND(Q105,2)*R105</f>
        <v>#DIV/0!</v>
      </c>
      <c r="U105" s="96" t="e">
        <f>R105*dagenperjaar3</f>
        <v>#DIV/0!</v>
      </c>
      <c r="V105" s="27" t="e">
        <f>U105*ROUND(Q105,2)</f>
        <v>#DIV/0!</v>
      </c>
    </row>
    <row r="106" spans="1:22" x14ac:dyDescent="0.35">
      <c r="A106" s="93" t="s">
        <v>803</v>
      </c>
      <c r="B106" s="94" t="s">
        <v>40</v>
      </c>
      <c r="C106" s="94" t="s">
        <v>417</v>
      </c>
      <c r="D106" s="94" t="s">
        <v>1016</v>
      </c>
      <c r="E106" s="94" t="s">
        <v>40</v>
      </c>
      <c r="F106" s="95" t="s">
        <v>883</v>
      </c>
      <c r="G106" s="94" t="s">
        <v>535</v>
      </c>
      <c r="H106" s="94" t="s">
        <v>284</v>
      </c>
      <c r="I106" s="94" t="s">
        <v>26</v>
      </c>
      <c r="J106" s="94" t="s">
        <v>218</v>
      </c>
      <c r="K106" s="95" t="s">
        <v>235</v>
      </c>
      <c r="L106" s="96">
        <v>29</v>
      </c>
      <c r="M106" s="96">
        <f>L106*VLOOKUP(I106,dagsoorttabel3,2,FALSE)</f>
        <v>29</v>
      </c>
      <c r="N106" s="97">
        <f>prodnorm54</f>
        <v>0</v>
      </c>
      <c r="O106" s="41">
        <f>dagwerk54</f>
        <v>0</v>
      </c>
      <c r="P106" s="94" t="s">
        <v>107</v>
      </c>
      <c r="Q106" s="26">
        <f>uurtarief54</f>
        <v>0</v>
      </c>
      <c r="R106" s="96" t="e">
        <f>IF(ISBLANK(N106),0,M106/ROUND(N106,4))</f>
        <v>#DIV/0!</v>
      </c>
      <c r="S106" s="96" t="e">
        <f>IF(ISBLANK(N106),0,R106*ROUND(O106,2))</f>
        <v>#DIV/0!</v>
      </c>
      <c r="T106" s="26" t="e">
        <f>ROUND(Q106,2)*R106</f>
        <v>#DIV/0!</v>
      </c>
      <c r="U106" s="96" t="e">
        <f>R106*dagenperjaar3</f>
        <v>#DIV/0!</v>
      </c>
      <c r="V106" s="27" t="e">
        <f>U106*ROUND(Q106,2)</f>
        <v>#DIV/0!</v>
      </c>
    </row>
    <row r="107" spans="1:22" x14ac:dyDescent="0.35">
      <c r="A107" s="93" t="s">
        <v>803</v>
      </c>
      <c r="B107" s="94" t="s">
        <v>40</v>
      </c>
      <c r="C107" s="94" t="s">
        <v>417</v>
      </c>
      <c r="D107" s="94" t="s">
        <v>1017</v>
      </c>
      <c r="E107" s="94" t="s">
        <v>40</v>
      </c>
      <c r="F107" s="95" t="s">
        <v>883</v>
      </c>
      <c r="G107" s="94" t="s">
        <v>535</v>
      </c>
      <c r="H107" s="94" t="s">
        <v>284</v>
      </c>
      <c r="I107" s="94" t="s">
        <v>26</v>
      </c>
      <c r="J107" s="94" t="s">
        <v>218</v>
      </c>
      <c r="K107" s="95" t="s">
        <v>235</v>
      </c>
      <c r="L107" s="96">
        <v>31</v>
      </c>
      <c r="M107" s="96">
        <f>L107*VLOOKUP(I107,dagsoorttabel3,2,FALSE)</f>
        <v>31</v>
      </c>
      <c r="N107" s="97">
        <f>prodnorm54</f>
        <v>0</v>
      </c>
      <c r="O107" s="41">
        <f>dagwerk54</f>
        <v>0</v>
      </c>
      <c r="P107" s="94" t="s">
        <v>107</v>
      </c>
      <c r="Q107" s="26">
        <f>uurtarief54</f>
        <v>0</v>
      </c>
      <c r="R107" s="96" t="e">
        <f>IF(ISBLANK(N107),0,M107/ROUND(N107,4))</f>
        <v>#DIV/0!</v>
      </c>
      <c r="S107" s="96" t="e">
        <f>IF(ISBLANK(N107),0,R107*ROUND(O107,2))</f>
        <v>#DIV/0!</v>
      </c>
      <c r="T107" s="26" t="e">
        <f>ROUND(Q107,2)*R107</f>
        <v>#DIV/0!</v>
      </c>
      <c r="U107" s="96" t="e">
        <f>R107*dagenperjaar3</f>
        <v>#DIV/0!</v>
      </c>
      <c r="V107" s="27" t="e">
        <f>U107*ROUND(Q107,2)</f>
        <v>#DIV/0!</v>
      </c>
    </row>
    <row r="108" spans="1:22" x14ac:dyDescent="0.35">
      <c r="A108" s="93" t="s">
        <v>803</v>
      </c>
      <c r="B108" s="94" t="s">
        <v>40</v>
      </c>
      <c r="C108" s="94" t="s">
        <v>417</v>
      </c>
      <c r="D108" s="94" t="s">
        <v>1018</v>
      </c>
      <c r="E108" s="94" t="s">
        <v>40</v>
      </c>
      <c r="F108" s="95" t="s">
        <v>883</v>
      </c>
      <c r="G108" s="94" t="s">
        <v>535</v>
      </c>
      <c r="H108" s="94" t="s">
        <v>284</v>
      </c>
      <c r="I108" s="94" t="s">
        <v>26</v>
      </c>
      <c r="J108" s="94" t="s">
        <v>218</v>
      </c>
      <c r="K108" s="95" t="s">
        <v>235</v>
      </c>
      <c r="L108" s="96">
        <v>30</v>
      </c>
      <c r="M108" s="96">
        <f>L108*VLOOKUP(I108,dagsoorttabel3,2,FALSE)</f>
        <v>30</v>
      </c>
      <c r="N108" s="97">
        <f>prodnorm54</f>
        <v>0</v>
      </c>
      <c r="O108" s="41">
        <f>dagwerk54</f>
        <v>0</v>
      </c>
      <c r="P108" s="94" t="s">
        <v>107</v>
      </c>
      <c r="Q108" s="26">
        <f>uurtarief54</f>
        <v>0</v>
      </c>
      <c r="R108" s="96" t="e">
        <f>IF(ISBLANK(N108),0,M108/ROUND(N108,4))</f>
        <v>#DIV/0!</v>
      </c>
      <c r="S108" s="96" t="e">
        <f>IF(ISBLANK(N108),0,R108*ROUND(O108,2))</f>
        <v>#DIV/0!</v>
      </c>
      <c r="T108" s="26" t="e">
        <f>ROUND(Q108,2)*R108</f>
        <v>#DIV/0!</v>
      </c>
      <c r="U108" s="96" t="e">
        <f>R108*dagenperjaar3</f>
        <v>#DIV/0!</v>
      </c>
      <c r="V108" s="27" t="e">
        <f>U108*ROUND(Q108,2)</f>
        <v>#DIV/0!</v>
      </c>
    </row>
    <row r="109" spans="1:22" x14ac:dyDescent="0.35">
      <c r="A109" s="93" t="s">
        <v>803</v>
      </c>
      <c r="B109" s="94" t="s">
        <v>40</v>
      </c>
      <c r="C109" s="94" t="s">
        <v>417</v>
      </c>
      <c r="D109" s="94" t="s">
        <v>1019</v>
      </c>
      <c r="E109" s="94" t="s">
        <v>40</v>
      </c>
      <c r="F109" s="95" t="s">
        <v>883</v>
      </c>
      <c r="G109" s="94" t="s">
        <v>535</v>
      </c>
      <c r="H109" s="94" t="s">
        <v>284</v>
      </c>
      <c r="I109" s="94" t="s">
        <v>26</v>
      </c>
      <c r="J109" s="94" t="s">
        <v>218</v>
      </c>
      <c r="K109" s="95" t="s">
        <v>235</v>
      </c>
      <c r="L109" s="96">
        <v>30</v>
      </c>
      <c r="M109" s="96">
        <f>L109*VLOOKUP(I109,dagsoorttabel3,2,FALSE)</f>
        <v>30</v>
      </c>
      <c r="N109" s="97">
        <f>prodnorm54</f>
        <v>0</v>
      </c>
      <c r="O109" s="41">
        <f>dagwerk54</f>
        <v>0</v>
      </c>
      <c r="P109" s="94" t="s">
        <v>107</v>
      </c>
      <c r="Q109" s="26">
        <f>uurtarief54</f>
        <v>0</v>
      </c>
      <c r="R109" s="96" t="e">
        <f>IF(ISBLANK(N109),0,M109/ROUND(N109,4))</f>
        <v>#DIV/0!</v>
      </c>
      <c r="S109" s="96" t="e">
        <f>IF(ISBLANK(N109),0,R109*ROUND(O109,2))</f>
        <v>#DIV/0!</v>
      </c>
      <c r="T109" s="26" t="e">
        <f>ROUND(Q109,2)*R109</f>
        <v>#DIV/0!</v>
      </c>
      <c r="U109" s="96" t="e">
        <f>R109*dagenperjaar3</f>
        <v>#DIV/0!</v>
      </c>
      <c r="V109" s="27" t="e">
        <f>U109*ROUND(Q109,2)</f>
        <v>#DIV/0!</v>
      </c>
    </row>
    <row r="110" spans="1:22" x14ac:dyDescent="0.35">
      <c r="A110" s="93" t="s">
        <v>803</v>
      </c>
      <c r="B110" s="94" t="s">
        <v>40</v>
      </c>
      <c r="C110" s="94" t="s">
        <v>417</v>
      </c>
      <c r="D110" s="94" t="s">
        <v>1020</v>
      </c>
      <c r="E110" s="94" t="s">
        <v>40</v>
      </c>
      <c r="F110" s="95" t="s">
        <v>883</v>
      </c>
      <c r="G110" s="94" t="s">
        <v>535</v>
      </c>
      <c r="H110" s="94" t="s">
        <v>284</v>
      </c>
      <c r="I110" s="94" t="s">
        <v>26</v>
      </c>
      <c r="J110" s="94" t="s">
        <v>218</v>
      </c>
      <c r="K110" s="95" t="s">
        <v>235</v>
      </c>
      <c r="L110" s="96">
        <v>31</v>
      </c>
      <c r="M110" s="96">
        <f>L110*VLOOKUP(I110,dagsoorttabel3,2,FALSE)</f>
        <v>31</v>
      </c>
      <c r="N110" s="97">
        <f>prodnorm54</f>
        <v>0</v>
      </c>
      <c r="O110" s="41">
        <f>dagwerk54</f>
        <v>0</v>
      </c>
      <c r="P110" s="94" t="s">
        <v>107</v>
      </c>
      <c r="Q110" s="26">
        <f>uurtarief54</f>
        <v>0</v>
      </c>
      <c r="R110" s="96" t="e">
        <f>IF(ISBLANK(N110),0,M110/ROUND(N110,4))</f>
        <v>#DIV/0!</v>
      </c>
      <c r="S110" s="96" t="e">
        <f>IF(ISBLANK(N110),0,R110*ROUND(O110,2))</f>
        <v>#DIV/0!</v>
      </c>
      <c r="T110" s="26" t="e">
        <f>ROUND(Q110,2)*R110</f>
        <v>#DIV/0!</v>
      </c>
      <c r="U110" s="96" t="e">
        <f>R110*dagenperjaar3</f>
        <v>#DIV/0!</v>
      </c>
      <c r="V110" s="27" t="e">
        <f>U110*ROUND(Q110,2)</f>
        <v>#DIV/0!</v>
      </c>
    </row>
    <row r="111" spans="1:22" x14ac:dyDescent="0.35">
      <c r="A111" s="93" t="s">
        <v>803</v>
      </c>
      <c r="B111" s="94" t="s">
        <v>40</v>
      </c>
      <c r="C111" s="94" t="s">
        <v>417</v>
      </c>
      <c r="D111" s="94" t="s">
        <v>1021</v>
      </c>
      <c r="E111" s="94" t="s">
        <v>40</v>
      </c>
      <c r="F111" s="95" t="s">
        <v>883</v>
      </c>
      <c r="G111" s="94" t="s">
        <v>535</v>
      </c>
      <c r="H111" s="94" t="s">
        <v>284</v>
      </c>
      <c r="I111" s="94" t="s">
        <v>26</v>
      </c>
      <c r="J111" s="94" t="s">
        <v>218</v>
      </c>
      <c r="K111" s="95" t="s">
        <v>235</v>
      </c>
      <c r="L111" s="96">
        <v>95</v>
      </c>
      <c r="M111" s="96">
        <f>L111*VLOOKUP(I111,dagsoorttabel3,2,FALSE)</f>
        <v>95</v>
      </c>
      <c r="N111" s="97">
        <f>prodnorm54</f>
        <v>0</v>
      </c>
      <c r="O111" s="41">
        <f>dagwerk54</f>
        <v>0</v>
      </c>
      <c r="P111" s="94" t="s">
        <v>107</v>
      </c>
      <c r="Q111" s="26">
        <f>uurtarief54</f>
        <v>0</v>
      </c>
      <c r="R111" s="96" t="e">
        <f>IF(ISBLANK(N111),0,M111/ROUND(N111,4))</f>
        <v>#DIV/0!</v>
      </c>
      <c r="S111" s="96" t="e">
        <f>IF(ISBLANK(N111),0,R111*ROUND(O111,2))</f>
        <v>#DIV/0!</v>
      </c>
      <c r="T111" s="26" t="e">
        <f>ROUND(Q111,2)*R111</f>
        <v>#DIV/0!</v>
      </c>
      <c r="U111" s="96" t="e">
        <f>R111*dagenperjaar3</f>
        <v>#DIV/0!</v>
      </c>
      <c r="V111" s="27" t="e">
        <f>U111*ROUND(Q111,2)</f>
        <v>#DIV/0!</v>
      </c>
    </row>
    <row r="112" spans="1:22" x14ac:dyDescent="0.35">
      <c r="A112" s="93" t="s">
        <v>803</v>
      </c>
      <c r="B112" s="94" t="s">
        <v>40</v>
      </c>
      <c r="C112" s="94" t="s">
        <v>417</v>
      </c>
      <c r="D112" s="94" t="s">
        <v>1022</v>
      </c>
      <c r="E112" s="94" t="s">
        <v>40</v>
      </c>
      <c r="F112" s="95" t="s">
        <v>883</v>
      </c>
      <c r="G112" s="94" t="s">
        <v>535</v>
      </c>
      <c r="H112" s="94" t="s">
        <v>284</v>
      </c>
      <c r="I112" s="94" t="s">
        <v>26</v>
      </c>
      <c r="J112" s="94" t="s">
        <v>218</v>
      </c>
      <c r="K112" s="95" t="s">
        <v>235</v>
      </c>
      <c r="L112" s="96">
        <v>123</v>
      </c>
      <c r="M112" s="96">
        <f>L112*VLOOKUP(I112,dagsoorttabel3,2,FALSE)</f>
        <v>123</v>
      </c>
      <c r="N112" s="97">
        <f>prodnorm54</f>
        <v>0</v>
      </c>
      <c r="O112" s="41">
        <f>dagwerk54</f>
        <v>0</v>
      </c>
      <c r="P112" s="94" t="s">
        <v>107</v>
      </c>
      <c r="Q112" s="26">
        <f>uurtarief54</f>
        <v>0</v>
      </c>
      <c r="R112" s="96" t="e">
        <f>IF(ISBLANK(N112),0,M112/ROUND(N112,4))</f>
        <v>#DIV/0!</v>
      </c>
      <c r="S112" s="96" t="e">
        <f>IF(ISBLANK(N112),0,R112*ROUND(O112,2))</f>
        <v>#DIV/0!</v>
      </c>
      <c r="T112" s="26" t="e">
        <f>ROUND(Q112,2)*R112</f>
        <v>#DIV/0!</v>
      </c>
      <c r="U112" s="96" t="e">
        <f>R112*dagenperjaar3</f>
        <v>#DIV/0!</v>
      </c>
      <c r="V112" s="27" t="e">
        <f>U112*ROUND(Q112,2)</f>
        <v>#DIV/0!</v>
      </c>
    </row>
    <row r="113" spans="1:22" x14ac:dyDescent="0.35">
      <c r="A113" s="93" t="s">
        <v>803</v>
      </c>
      <c r="B113" s="94" t="s">
        <v>40</v>
      </c>
      <c r="C113" s="94" t="s">
        <v>417</v>
      </c>
      <c r="D113" s="94" t="s">
        <v>1023</v>
      </c>
      <c r="E113" s="94" t="s">
        <v>40</v>
      </c>
      <c r="F113" s="95" t="s">
        <v>883</v>
      </c>
      <c r="G113" s="94" t="s">
        <v>535</v>
      </c>
      <c r="H113" s="94" t="s">
        <v>284</v>
      </c>
      <c r="I113" s="94" t="s">
        <v>26</v>
      </c>
      <c r="J113" s="94" t="s">
        <v>218</v>
      </c>
      <c r="K113" s="95" t="s">
        <v>235</v>
      </c>
      <c r="L113" s="96">
        <v>123</v>
      </c>
      <c r="M113" s="96">
        <f>L113*VLOOKUP(I113,dagsoorttabel3,2,FALSE)</f>
        <v>123</v>
      </c>
      <c r="N113" s="97">
        <f>prodnorm54</f>
        <v>0</v>
      </c>
      <c r="O113" s="41">
        <f>dagwerk54</f>
        <v>0</v>
      </c>
      <c r="P113" s="94" t="s">
        <v>107</v>
      </c>
      <c r="Q113" s="26">
        <f>uurtarief54</f>
        <v>0</v>
      </c>
      <c r="R113" s="96" t="e">
        <f>IF(ISBLANK(N113),0,M113/ROUND(N113,4))</f>
        <v>#DIV/0!</v>
      </c>
      <c r="S113" s="96" t="e">
        <f>IF(ISBLANK(N113),0,R113*ROUND(O113,2))</f>
        <v>#DIV/0!</v>
      </c>
      <c r="T113" s="26" t="e">
        <f>ROUND(Q113,2)*R113</f>
        <v>#DIV/0!</v>
      </c>
      <c r="U113" s="96" t="e">
        <f>R113*dagenperjaar3</f>
        <v>#DIV/0!</v>
      </c>
      <c r="V113" s="27" t="e">
        <f>U113*ROUND(Q113,2)</f>
        <v>#DIV/0!</v>
      </c>
    </row>
    <row r="114" spans="1:22" x14ac:dyDescent="0.35">
      <c r="A114" s="93" t="s">
        <v>803</v>
      </c>
      <c r="B114" s="94" t="s">
        <v>40</v>
      </c>
      <c r="C114" s="94" t="s">
        <v>417</v>
      </c>
      <c r="D114" s="94" t="s">
        <v>1024</v>
      </c>
      <c r="E114" s="94" t="s">
        <v>40</v>
      </c>
      <c r="F114" s="95" t="s">
        <v>883</v>
      </c>
      <c r="G114" s="94" t="s">
        <v>535</v>
      </c>
      <c r="H114" s="94" t="s">
        <v>284</v>
      </c>
      <c r="I114" s="94" t="s">
        <v>26</v>
      </c>
      <c r="J114" s="94" t="s">
        <v>218</v>
      </c>
      <c r="K114" s="95" t="s">
        <v>235</v>
      </c>
      <c r="L114" s="96">
        <v>123</v>
      </c>
      <c r="M114" s="96">
        <f>L114*VLOOKUP(I114,dagsoorttabel3,2,FALSE)</f>
        <v>123</v>
      </c>
      <c r="N114" s="97">
        <f>prodnorm54</f>
        <v>0</v>
      </c>
      <c r="O114" s="41">
        <f>dagwerk54</f>
        <v>0</v>
      </c>
      <c r="P114" s="94" t="s">
        <v>107</v>
      </c>
      <c r="Q114" s="26">
        <f>uurtarief54</f>
        <v>0</v>
      </c>
      <c r="R114" s="96" t="e">
        <f>IF(ISBLANK(N114),0,M114/ROUND(N114,4))</f>
        <v>#DIV/0!</v>
      </c>
      <c r="S114" s="96" t="e">
        <f>IF(ISBLANK(N114),0,R114*ROUND(O114,2))</f>
        <v>#DIV/0!</v>
      </c>
      <c r="T114" s="26" t="e">
        <f>ROUND(Q114,2)*R114</f>
        <v>#DIV/0!</v>
      </c>
      <c r="U114" s="96" t="e">
        <f>R114*dagenperjaar3</f>
        <v>#DIV/0!</v>
      </c>
      <c r="V114" s="27" t="e">
        <f>U114*ROUND(Q114,2)</f>
        <v>#DIV/0!</v>
      </c>
    </row>
    <row r="115" spans="1:22" x14ac:dyDescent="0.35">
      <c r="A115" s="93" t="s">
        <v>803</v>
      </c>
      <c r="B115" s="94" t="s">
        <v>40</v>
      </c>
      <c r="C115" s="94" t="s">
        <v>417</v>
      </c>
      <c r="D115" s="94" t="s">
        <v>1025</v>
      </c>
      <c r="E115" s="94" t="s">
        <v>40</v>
      </c>
      <c r="F115" s="95" t="s">
        <v>883</v>
      </c>
      <c r="G115" s="94" t="s">
        <v>535</v>
      </c>
      <c r="H115" s="94" t="s">
        <v>284</v>
      </c>
      <c r="I115" s="94" t="s">
        <v>26</v>
      </c>
      <c r="J115" s="94" t="s">
        <v>218</v>
      </c>
      <c r="K115" s="95" t="s">
        <v>235</v>
      </c>
      <c r="L115" s="96">
        <v>122</v>
      </c>
      <c r="M115" s="96">
        <f>L115*VLOOKUP(I115,dagsoorttabel3,2,FALSE)</f>
        <v>122</v>
      </c>
      <c r="N115" s="97">
        <f>prodnorm54</f>
        <v>0</v>
      </c>
      <c r="O115" s="41">
        <f>dagwerk54</f>
        <v>0</v>
      </c>
      <c r="P115" s="94" t="s">
        <v>107</v>
      </c>
      <c r="Q115" s="26">
        <f>uurtarief54</f>
        <v>0</v>
      </c>
      <c r="R115" s="96" t="e">
        <f>IF(ISBLANK(N115),0,M115/ROUND(N115,4))</f>
        <v>#DIV/0!</v>
      </c>
      <c r="S115" s="96" t="e">
        <f>IF(ISBLANK(N115),0,R115*ROUND(O115,2))</f>
        <v>#DIV/0!</v>
      </c>
      <c r="T115" s="26" t="e">
        <f>ROUND(Q115,2)*R115</f>
        <v>#DIV/0!</v>
      </c>
      <c r="U115" s="96" t="e">
        <f>R115*dagenperjaar3</f>
        <v>#DIV/0!</v>
      </c>
      <c r="V115" s="27" t="e">
        <f>U115*ROUND(Q115,2)</f>
        <v>#DIV/0!</v>
      </c>
    </row>
    <row r="116" spans="1:22" x14ac:dyDescent="0.35">
      <c r="A116" s="93" t="s">
        <v>803</v>
      </c>
      <c r="B116" s="94" t="s">
        <v>40</v>
      </c>
      <c r="C116" s="94" t="s">
        <v>417</v>
      </c>
      <c r="D116" s="94" t="s">
        <v>1026</v>
      </c>
      <c r="E116" s="94" t="s">
        <v>40</v>
      </c>
      <c r="F116" s="95" t="s">
        <v>883</v>
      </c>
      <c r="G116" s="94" t="s">
        <v>535</v>
      </c>
      <c r="H116" s="94" t="s">
        <v>284</v>
      </c>
      <c r="I116" s="94" t="s">
        <v>26</v>
      </c>
      <c r="J116" s="94" t="s">
        <v>218</v>
      </c>
      <c r="K116" s="95" t="s">
        <v>235</v>
      </c>
      <c r="L116" s="96">
        <v>95</v>
      </c>
      <c r="M116" s="96">
        <f>L116*VLOOKUP(I116,dagsoorttabel3,2,FALSE)</f>
        <v>95</v>
      </c>
      <c r="N116" s="97">
        <f>prodnorm54</f>
        <v>0</v>
      </c>
      <c r="O116" s="41">
        <f>dagwerk54</f>
        <v>0</v>
      </c>
      <c r="P116" s="94" t="s">
        <v>107</v>
      </c>
      <c r="Q116" s="26">
        <f>uurtarief54</f>
        <v>0</v>
      </c>
      <c r="R116" s="96" t="e">
        <f>IF(ISBLANK(N116),0,M116/ROUND(N116,4))</f>
        <v>#DIV/0!</v>
      </c>
      <c r="S116" s="96" t="e">
        <f>IF(ISBLANK(N116),0,R116*ROUND(O116,2))</f>
        <v>#DIV/0!</v>
      </c>
      <c r="T116" s="26" t="e">
        <f>ROUND(Q116,2)*R116</f>
        <v>#DIV/0!</v>
      </c>
      <c r="U116" s="96" t="e">
        <f>R116*dagenperjaar3</f>
        <v>#DIV/0!</v>
      </c>
      <c r="V116" s="27" t="e">
        <f>U116*ROUND(Q116,2)</f>
        <v>#DIV/0!</v>
      </c>
    </row>
    <row r="117" spans="1:22" x14ac:dyDescent="0.35">
      <c r="A117" s="93" t="s">
        <v>803</v>
      </c>
      <c r="B117" s="94" t="s">
        <v>40</v>
      </c>
      <c r="C117" s="94" t="s">
        <v>417</v>
      </c>
      <c r="D117" s="94" t="s">
        <v>1027</v>
      </c>
      <c r="E117" s="94" t="s">
        <v>40</v>
      </c>
      <c r="F117" s="95" t="s">
        <v>883</v>
      </c>
      <c r="G117" s="94" t="s">
        <v>535</v>
      </c>
      <c r="H117" s="94" t="s">
        <v>284</v>
      </c>
      <c r="I117" s="94" t="s">
        <v>26</v>
      </c>
      <c r="J117" s="94" t="s">
        <v>218</v>
      </c>
      <c r="K117" s="95" t="s">
        <v>235</v>
      </c>
      <c r="L117" s="96">
        <v>83</v>
      </c>
      <c r="M117" s="96">
        <f>L117*VLOOKUP(I117,dagsoorttabel3,2,FALSE)</f>
        <v>83</v>
      </c>
      <c r="N117" s="97">
        <f>prodnorm54</f>
        <v>0</v>
      </c>
      <c r="O117" s="41">
        <f>dagwerk54</f>
        <v>0</v>
      </c>
      <c r="P117" s="94" t="s">
        <v>107</v>
      </c>
      <c r="Q117" s="26">
        <f>uurtarief54</f>
        <v>0</v>
      </c>
      <c r="R117" s="96" t="e">
        <f>IF(ISBLANK(N117),0,M117/ROUND(N117,4))</f>
        <v>#DIV/0!</v>
      </c>
      <c r="S117" s="96" t="e">
        <f>IF(ISBLANK(N117),0,R117*ROUND(O117,2))</f>
        <v>#DIV/0!</v>
      </c>
      <c r="T117" s="26" t="e">
        <f>ROUND(Q117,2)*R117</f>
        <v>#DIV/0!</v>
      </c>
      <c r="U117" s="96" t="e">
        <f>R117*dagenperjaar3</f>
        <v>#DIV/0!</v>
      </c>
      <c r="V117" s="27" t="e">
        <f>U117*ROUND(Q117,2)</f>
        <v>#DIV/0!</v>
      </c>
    </row>
    <row r="118" spans="1:22" x14ac:dyDescent="0.35">
      <c r="A118" s="93" t="s">
        <v>803</v>
      </c>
      <c r="B118" s="94" t="s">
        <v>40</v>
      </c>
      <c r="C118" s="94" t="s">
        <v>417</v>
      </c>
      <c r="D118" s="94" t="s">
        <v>1028</v>
      </c>
      <c r="E118" s="94" t="s">
        <v>40</v>
      </c>
      <c r="F118" s="95" t="s">
        <v>883</v>
      </c>
      <c r="G118" s="94" t="s">
        <v>535</v>
      </c>
      <c r="H118" s="94" t="s">
        <v>284</v>
      </c>
      <c r="I118" s="94" t="s">
        <v>26</v>
      </c>
      <c r="J118" s="94" t="s">
        <v>218</v>
      </c>
      <c r="K118" s="95" t="s">
        <v>235</v>
      </c>
      <c r="L118" s="96">
        <v>82</v>
      </c>
      <c r="M118" s="96">
        <f>L118*VLOOKUP(I118,dagsoorttabel3,2,FALSE)</f>
        <v>82</v>
      </c>
      <c r="N118" s="97">
        <f>prodnorm54</f>
        <v>0</v>
      </c>
      <c r="O118" s="41">
        <f>dagwerk54</f>
        <v>0</v>
      </c>
      <c r="P118" s="94" t="s">
        <v>107</v>
      </c>
      <c r="Q118" s="26">
        <f>uurtarief54</f>
        <v>0</v>
      </c>
      <c r="R118" s="96" t="e">
        <f>IF(ISBLANK(N118),0,M118/ROUND(N118,4))</f>
        <v>#DIV/0!</v>
      </c>
      <c r="S118" s="96" t="e">
        <f>IF(ISBLANK(N118),0,R118*ROUND(O118,2))</f>
        <v>#DIV/0!</v>
      </c>
      <c r="T118" s="26" t="e">
        <f>ROUND(Q118,2)*R118</f>
        <v>#DIV/0!</v>
      </c>
      <c r="U118" s="96" t="e">
        <f>R118*dagenperjaar3</f>
        <v>#DIV/0!</v>
      </c>
      <c r="V118" s="27" t="e">
        <f>U118*ROUND(Q118,2)</f>
        <v>#DIV/0!</v>
      </c>
    </row>
    <row r="119" spans="1:22" x14ac:dyDescent="0.35">
      <c r="A119" s="93" t="s">
        <v>803</v>
      </c>
      <c r="B119" s="94" t="s">
        <v>40</v>
      </c>
      <c r="C119" s="94" t="s">
        <v>417</v>
      </c>
      <c r="D119" s="94" t="s">
        <v>1029</v>
      </c>
      <c r="E119" s="94" t="s">
        <v>40</v>
      </c>
      <c r="F119" s="95" t="s">
        <v>883</v>
      </c>
      <c r="G119" s="94" t="s">
        <v>535</v>
      </c>
      <c r="H119" s="94" t="s">
        <v>284</v>
      </c>
      <c r="I119" s="94" t="s">
        <v>26</v>
      </c>
      <c r="J119" s="94" t="s">
        <v>218</v>
      </c>
      <c r="K119" s="95" t="s">
        <v>235</v>
      </c>
      <c r="L119" s="96">
        <v>62</v>
      </c>
      <c r="M119" s="96">
        <f>L119*VLOOKUP(I119,dagsoorttabel3,2,FALSE)</f>
        <v>62</v>
      </c>
      <c r="N119" s="97">
        <f>prodnorm54</f>
        <v>0</v>
      </c>
      <c r="O119" s="41">
        <f>dagwerk54</f>
        <v>0</v>
      </c>
      <c r="P119" s="94" t="s">
        <v>107</v>
      </c>
      <c r="Q119" s="26">
        <f>uurtarief54</f>
        <v>0</v>
      </c>
      <c r="R119" s="96" t="e">
        <f>IF(ISBLANK(N119),0,M119/ROUND(N119,4))</f>
        <v>#DIV/0!</v>
      </c>
      <c r="S119" s="96" t="e">
        <f>IF(ISBLANK(N119),0,R119*ROUND(O119,2))</f>
        <v>#DIV/0!</v>
      </c>
      <c r="T119" s="26" t="e">
        <f>ROUND(Q119,2)*R119</f>
        <v>#DIV/0!</v>
      </c>
      <c r="U119" s="96" t="e">
        <f>R119*dagenperjaar3</f>
        <v>#DIV/0!</v>
      </c>
      <c r="V119" s="27" t="e">
        <f>U119*ROUND(Q119,2)</f>
        <v>#DIV/0!</v>
      </c>
    </row>
    <row r="120" spans="1:22" x14ac:dyDescent="0.35">
      <c r="A120" s="93" t="s">
        <v>803</v>
      </c>
      <c r="B120" s="94" t="s">
        <v>40</v>
      </c>
      <c r="C120" s="94" t="s">
        <v>417</v>
      </c>
      <c r="D120" s="94" t="s">
        <v>1030</v>
      </c>
      <c r="E120" s="94" t="s">
        <v>40</v>
      </c>
      <c r="F120" s="95" t="s">
        <v>883</v>
      </c>
      <c r="G120" s="94" t="s">
        <v>535</v>
      </c>
      <c r="H120" s="94" t="s">
        <v>284</v>
      </c>
      <c r="I120" s="94" t="s">
        <v>26</v>
      </c>
      <c r="J120" s="94" t="s">
        <v>218</v>
      </c>
      <c r="K120" s="95" t="s">
        <v>235</v>
      </c>
      <c r="L120" s="96">
        <v>283</v>
      </c>
      <c r="M120" s="96">
        <f>L120*VLOOKUP(I120,dagsoorttabel3,2,FALSE)</f>
        <v>283</v>
      </c>
      <c r="N120" s="97">
        <f>prodnorm54</f>
        <v>0</v>
      </c>
      <c r="O120" s="41">
        <f>dagwerk54</f>
        <v>0</v>
      </c>
      <c r="P120" s="94" t="s">
        <v>107</v>
      </c>
      <c r="Q120" s="26">
        <f>uurtarief54</f>
        <v>0</v>
      </c>
      <c r="R120" s="96" t="e">
        <f>IF(ISBLANK(N120),0,M120/ROUND(N120,4))</f>
        <v>#DIV/0!</v>
      </c>
      <c r="S120" s="96" t="e">
        <f>IF(ISBLANK(N120),0,R120*ROUND(O120,2))</f>
        <v>#DIV/0!</v>
      </c>
      <c r="T120" s="26" t="e">
        <f>ROUND(Q120,2)*R120</f>
        <v>#DIV/0!</v>
      </c>
      <c r="U120" s="96" t="e">
        <f>R120*dagenperjaar3</f>
        <v>#DIV/0!</v>
      </c>
      <c r="V120" s="27" t="e">
        <f>U120*ROUND(Q120,2)</f>
        <v>#DIV/0!</v>
      </c>
    </row>
    <row r="121" spans="1:22" ht="29" x14ac:dyDescent="0.35">
      <c r="A121" s="93" t="s">
        <v>803</v>
      </c>
      <c r="B121" s="94" t="s">
        <v>40</v>
      </c>
      <c r="C121" s="94" t="s">
        <v>417</v>
      </c>
      <c r="D121" s="94" t="s">
        <v>1033</v>
      </c>
      <c r="E121" s="94" t="s">
        <v>40</v>
      </c>
      <c r="F121" s="95" t="s">
        <v>1034</v>
      </c>
      <c r="G121" s="94" t="s">
        <v>321</v>
      </c>
      <c r="H121" s="94" t="s">
        <v>286</v>
      </c>
      <c r="I121" s="94" t="s">
        <v>26</v>
      </c>
      <c r="J121" s="94" t="s">
        <v>218</v>
      </c>
      <c r="K121" s="95" t="s">
        <v>243</v>
      </c>
      <c r="L121" s="96">
        <v>11</v>
      </c>
      <c r="M121" s="96">
        <f>L121*VLOOKUP(I121,dagsoorttabel3,2,FALSE)</f>
        <v>11</v>
      </c>
      <c r="N121" s="97">
        <f>prodnorm56</f>
        <v>0</v>
      </c>
      <c r="O121" s="41">
        <f>dagwerk56</f>
        <v>0</v>
      </c>
      <c r="P121" s="94" t="s">
        <v>107</v>
      </c>
      <c r="Q121" s="26">
        <f>uurtarief56</f>
        <v>0</v>
      </c>
      <c r="R121" s="96" t="e">
        <f>IF(ISBLANK(N121),0,M121/ROUND(N121,4))</f>
        <v>#DIV/0!</v>
      </c>
      <c r="S121" s="96" t="e">
        <f>IF(ISBLANK(N121),0,R121*ROUND(O121,2))</f>
        <v>#DIV/0!</v>
      </c>
      <c r="T121" s="26" t="e">
        <f>ROUND(Q121,2)*R121</f>
        <v>#DIV/0!</v>
      </c>
      <c r="U121" s="96" t="e">
        <f>R121*dagenperjaar3</f>
        <v>#DIV/0!</v>
      </c>
      <c r="V121" s="27" t="e">
        <f>U121*ROUND(Q121,2)</f>
        <v>#DIV/0!</v>
      </c>
    </row>
    <row r="122" spans="1:22" ht="29" x14ac:dyDescent="0.35">
      <c r="A122" s="93" t="s">
        <v>803</v>
      </c>
      <c r="B122" s="94" t="s">
        <v>40</v>
      </c>
      <c r="C122" s="94" t="s">
        <v>417</v>
      </c>
      <c r="D122" s="94" t="s">
        <v>1033</v>
      </c>
      <c r="E122" s="94" t="s">
        <v>40</v>
      </c>
      <c r="F122" s="95" t="s">
        <v>1034</v>
      </c>
      <c r="G122" s="94" t="s">
        <v>321</v>
      </c>
      <c r="H122" s="94" t="s">
        <v>287</v>
      </c>
      <c r="I122" s="94" t="s">
        <v>25</v>
      </c>
      <c r="J122" s="94" t="s">
        <v>218</v>
      </c>
      <c r="K122" s="95" t="s">
        <v>245</v>
      </c>
      <c r="L122" s="96">
        <v>11</v>
      </c>
      <c r="M122" s="96">
        <f>L122*VLOOKUP(I122,dagsoorttabel3,2,FALSE)</f>
        <v>33</v>
      </c>
      <c r="N122" s="97">
        <f>prodnorm57</f>
        <v>0</v>
      </c>
      <c r="O122" s="41">
        <f>dagwerk57</f>
        <v>0</v>
      </c>
      <c r="P122" s="94" t="s">
        <v>107</v>
      </c>
      <c r="Q122" s="26">
        <f>uurtarief57</f>
        <v>0</v>
      </c>
      <c r="R122" s="96" t="e">
        <f>IF(ISBLANK(N122),0,M122/ROUND(N122,4))</f>
        <v>#DIV/0!</v>
      </c>
      <c r="S122" s="96" t="e">
        <f>IF(ISBLANK(N122),0,R122*ROUND(O122,2))</f>
        <v>#DIV/0!</v>
      </c>
      <c r="T122" s="26" t="e">
        <f>ROUND(Q122,2)*R122</f>
        <v>#DIV/0!</v>
      </c>
      <c r="U122" s="96" t="e">
        <f>R122*dagenperjaar3</f>
        <v>#DIV/0!</v>
      </c>
      <c r="V122" s="27" t="e">
        <f>U122*ROUND(Q122,2)</f>
        <v>#DIV/0!</v>
      </c>
    </row>
    <row r="123" spans="1:22" ht="29" x14ac:dyDescent="0.35">
      <c r="A123" s="93" t="s">
        <v>803</v>
      </c>
      <c r="B123" s="94" t="s">
        <v>40</v>
      </c>
      <c r="C123" s="94" t="s">
        <v>417</v>
      </c>
      <c r="D123" s="94" t="s">
        <v>1035</v>
      </c>
      <c r="E123" s="94" t="s">
        <v>40</v>
      </c>
      <c r="F123" s="95" t="s">
        <v>1034</v>
      </c>
      <c r="G123" s="94" t="s">
        <v>321</v>
      </c>
      <c r="H123" s="94" t="s">
        <v>286</v>
      </c>
      <c r="I123" s="94" t="s">
        <v>26</v>
      </c>
      <c r="J123" s="94" t="s">
        <v>218</v>
      </c>
      <c r="K123" s="95" t="s">
        <v>243</v>
      </c>
      <c r="L123" s="96">
        <v>7</v>
      </c>
      <c r="M123" s="96">
        <f>L123*VLOOKUP(I123,dagsoorttabel3,2,FALSE)</f>
        <v>7</v>
      </c>
      <c r="N123" s="97">
        <f>prodnorm56</f>
        <v>0</v>
      </c>
      <c r="O123" s="41">
        <f>dagwerk56</f>
        <v>0</v>
      </c>
      <c r="P123" s="94" t="s">
        <v>107</v>
      </c>
      <c r="Q123" s="26">
        <f>uurtarief56</f>
        <v>0</v>
      </c>
      <c r="R123" s="96" t="e">
        <f>IF(ISBLANK(N123),0,M123/ROUND(N123,4))</f>
        <v>#DIV/0!</v>
      </c>
      <c r="S123" s="96" t="e">
        <f>IF(ISBLANK(N123),0,R123*ROUND(O123,2))</f>
        <v>#DIV/0!</v>
      </c>
      <c r="T123" s="26" t="e">
        <f>ROUND(Q123,2)*R123</f>
        <v>#DIV/0!</v>
      </c>
      <c r="U123" s="96" t="e">
        <f>R123*dagenperjaar3</f>
        <v>#DIV/0!</v>
      </c>
      <c r="V123" s="27" t="e">
        <f>U123*ROUND(Q123,2)</f>
        <v>#DIV/0!</v>
      </c>
    </row>
    <row r="124" spans="1:22" ht="29" x14ac:dyDescent="0.35">
      <c r="A124" s="99" t="s">
        <v>803</v>
      </c>
      <c r="B124" s="100" t="s">
        <v>40</v>
      </c>
      <c r="C124" s="100" t="s">
        <v>417</v>
      </c>
      <c r="D124" s="100" t="s">
        <v>1035</v>
      </c>
      <c r="E124" s="100" t="s">
        <v>40</v>
      </c>
      <c r="F124" s="101" t="s">
        <v>1034</v>
      </c>
      <c r="G124" s="100" t="s">
        <v>321</v>
      </c>
      <c r="H124" s="100" t="s">
        <v>287</v>
      </c>
      <c r="I124" s="100" t="s">
        <v>25</v>
      </c>
      <c r="J124" s="100" t="s">
        <v>218</v>
      </c>
      <c r="K124" s="101" t="s">
        <v>245</v>
      </c>
      <c r="L124" s="102">
        <v>7</v>
      </c>
      <c r="M124" s="102">
        <f>L124*VLOOKUP(I124,dagsoorttabel3,2,FALSE)</f>
        <v>21</v>
      </c>
      <c r="N124" s="103">
        <f>prodnorm57</f>
        <v>0</v>
      </c>
      <c r="O124" s="104">
        <f>dagwerk57</f>
        <v>0</v>
      </c>
      <c r="P124" s="100" t="s">
        <v>107</v>
      </c>
      <c r="Q124" s="36">
        <f>uurtarief57</f>
        <v>0</v>
      </c>
      <c r="R124" s="102" t="e">
        <f>IF(ISBLANK(N124),0,M124/ROUND(N124,4))</f>
        <v>#DIV/0!</v>
      </c>
      <c r="S124" s="102" t="e">
        <f>IF(ISBLANK(N124),0,R124*ROUND(O124,2))</f>
        <v>#DIV/0!</v>
      </c>
      <c r="T124" s="36" t="e">
        <f>ROUND(Q124,2)*R124</f>
        <v>#DIV/0!</v>
      </c>
      <c r="U124" s="102" t="e">
        <f>R124*dagenperjaar3</f>
        <v>#DIV/0!</v>
      </c>
      <c r="V124" s="37" t="e">
        <f>U124*ROUND(Q124,2)</f>
        <v>#DIV/0!</v>
      </c>
    </row>
    <row r="125" spans="1:22" x14ac:dyDescent="0.35">
      <c r="A125" s="75" t="s">
        <v>1084</v>
      </c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8" t="e">
        <f>IF(_xlfn.SINGLE(object3_urenjaar3)&gt;0,_xlfn.SINGLE(object3_prijsjaar3)/_xlfn.SINGLE(object3_urenjaar3),0)</f>
        <v>#DIV/0!</v>
      </c>
      <c r="R125" s="77" t="e">
        <f>SUM(R44:R124)</f>
        <v>#DIV/0!</v>
      </c>
      <c r="S125" s="77" t="e">
        <f>SUM(S44:S124)</f>
        <v>#DIV/0!</v>
      </c>
      <c r="T125" s="78" t="e">
        <f>SUM(T44:T124)</f>
        <v>#DIV/0!</v>
      </c>
      <c r="U125" s="77" t="e">
        <f>SUM(U44:U124)</f>
        <v>#DIV/0!</v>
      </c>
      <c r="V125" s="78" t="e">
        <f>SUM(V44:V124)</f>
        <v>#DIV/0!</v>
      </c>
    </row>
  </sheetData>
  <sheetProtection algorithmName="SHA-512" hashValue="Ju5zSz5pJTnPEV1OlIZXfQcM1h3ncHmuK28bkLzq+y2SRUJYg1XDsw8N0G2zS7d4dDbsqNuZbVLD3jTw3SM+0A==" saltValue="3z6+kJ4n87d45QOuHugUtQ==" spinCount="100000" sheet="1" objects="1" scenarios="1" autoFilter="0"/>
  <autoFilter ref="A3:V125" xr:uid="{55221116-E8C5-4CD5-85B1-A17EC948C4A4}"/>
  <pageMargins left="0.7" right="0.7" top="0.75" bottom="0.75" header="0.3" footer="0.3"/>
  <pageSetup paperSize="9" scale="61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9D16-D6E2-4DFD-B7F4-A8E012B4F718}">
  <dimension ref="A1:L71"/>
  <sheetViews>
    <sheetView workbookViewId="0"/>
  </sheetViews>
  <sheetFormatPr defaultRowHeight="14.5" x14ac:dyDescent="0.35"/>
  <cols>
    <col min="1" max="1" width="5.6328125" customWidth="1"/>
    <col min="2" max="2" width="6.1796875" customWidth="1"/>
    <col min="3" max="3" width="11.6328125" customWidth="1"/>
    <col min="4" max="12" width="12.6328125" customWidth="1"/>
  </cols>
  <sheetData>
    <row r="1" spans="1:12" x14ac:dyDescent="0.35">
      <c r="A1" s="1" t="s">
        <v>1085</v>
      </c>
    </row>
    <row r="3" spans="1:12" ht="29" x14ac:dyDescent="0.35">
      <c r="A3" s="108" t="s">
        <v>209</v>
      </c>
      <c r="B3" s="108" t="s">
        <v>7</v>
      </c>
      <c r="C3" s="109" t="s">
        <v>1086</v>
      </c>
      <c r="D3" s="109" t="s">
        <v>1087</v>
      </c>
      <c r="E3" s="109" t="s">
        <v>1088</v>
      </c>
      <c r="F3" s="109" t="s">
        <v>1089</v>
      </c>
      <c r="G3" s="109" t="s">
        <v>1090</v>
      </c>
      <c r="H3" s="109" t="s">
        <v>1091</v>
      </c>
      <c r="I3" s="108" t="s">
        <v>1092</v>
      </c>
      <c r="J3" s="108" t="s">
        <v>1093</v>
      </c>
      <c r="K3" s="108" t="s">
        <v>1094</v>
      </c>
      <c r="L3" s="108" t="s">
        <v>1095</v>
      </c>
    </row>
    <row r="4" spans="1:12" x14ac:dyDescent="0.35">
      <c r="A4" s="110"/>
      <c r="B4" s="110"/>
      <c r="C4" s="110"/>
      <c r="D4" s="110"/>
      <c r="E4" s="110"/>
      <c r="F4" s="110"/>
      <c r="G4" s="110"/>
      <c r="H4" s="110"/>
      <c r="I4" s="110"/>
      <c r="J4" s="111" t="s">
        <v>211</v>
      </c>
      <c r="K4" s="111" t="s">
        <v>211</v>
      </c>
      <c r="L4" s="111" t="s">
        <v>211</v>
      </c>
    </row>
    <row r="5" spans="1:12" x14ac:dyDescent="0.35">
      <c r="A5" s="51" t="s">
        <v>217</v>
      </c>
      <c r="B5" s="51" t="s">
        <v>14</v>
      </c>
      <c r="C5" s="51" t="s">
        <v>4</v>
      </c>
      <c r="D5" s="51" t="s">
        <v>218</v>
      </c>
      <c r="E5" s="66">
        <f>IF(B5="","",VLOOKUP(B5,dagsoorttabel1,2,FALSE))</f>
        <v>0.2</v>
      </c>
      <c r="F5" s="66">
        <v>1</v>
      </c>
      <c r="G5" s="66">
        <f>IF(prodnorm3&gt;0,1/ROUND(prodnorm3,4),0)</f>
        <v>0</v>
      </c>
      <c r="H5" s="68">
        <f>ROUND(dagwerk3,4+2)</f>
        <v>0</v>
      </c>
      <c r="I5" s="55">
        <f>ROUND(uurtarief3,2)</f>
        <v>0</v>
      </c>
      <c r="J5" s="66">
        <v>0</v>
      </c>
      <c r="K5" s="66">
        <v>15</v>
      </c>
      <c r="L5" s="66">
        <v>0</v>
      </c>
    </row>
    <row r="6" spans="1:12" x14ac:dyDescent="0.35">
      <c r="A6" s="56" t="s">
        <v>217</v>
      </c>
      <c r="B6" s="56" t="s">
        <v>13</v>
      </c>
      <c r="C6" s="56" t="s">
        <v>4</v>
      </c>
      <c r="D6" s="56" t="s">
        <v>218</v>
      </c>
      <c r="E6" s="69">
        <f>IF(B6="","",VLOOKUP(B6,dagsoorttabel1,2,FALSE))</f>
        <v>0.4</v>
      </c>
      <c r="F6" s="69">
        <v>1</v>
      </c>
      <c r="G6" s="69">
        <f>IF(prodnorm4&gt;0,1/ROUND(prodnorm4,4),0)</f>
        <v>0</v>
      </c>
      <c r="H6" s="71">
        <f>ROUND(dagwerk4,4+2)</f>
        <v>0</v>
      </c>
      <c r="I6" s="60">
        <f>ROUND(uurtarief4,2)</f>
        <v>0</v>
      </c>
      <c r="J6" s="69">
        <v>0</v>
      </c>
      <c r="K6" s="69">
        <v>0</v>
      </c>
      <c r="L6" s="69">
        <v>7</v>
      </c>
    </row>
    <row r="7" spans="1:12" x14ac:dyDescent="0.35">
      <c r="A7" s="56" t="s">
        <v>217</v>
      </c>
      <c r="B7" s="56" t="s">
        <v>12</v>
      </c>
      <c r="C7" s="56" t="s">
        <v>4</v>
      </c>
      <c r="D7" s="56" t="s">
        <v>218</v>
      </c>
      <c r="E7" s="69">
        <f>IF(B7="","",VLOOKUP(B7,dagsoorttabel1,2,FALSE))</f>
        <v>0.6</v>
      </c>
      <c r="F7" s="69">
        <v>1</v>
      </c>
      <c r="G7" s="69">
        <f>IF(prodnorm5&gt;0,1/ROUND(prodnorm5,4),0)</f>
        <v>0</v>
      </c>
      <c r="H7" s="71">
        <f>ROUND(dagwerk5,4+2)</f>
        <v>0</v>
      </c>
      <c r="I7" s="60">
        <f>ROUND(uurtarief5,2)</f>
        <v>0</v>
      </c>
      <c r="J7" s="69">
        <v>0</v>
      </c>
      <c r="K7" s="69">
        <v>0</v>
      </c>
      <c r="L7" s="69">
        <v>91</v>
      </c>
    </row>
    <row r="8" spans="1:12" x14ac:dyDescent="0.35">
      <c r="A8" s="56" t="s">
        <v>217</v>
      </c>
      <c r="B8" s="56" t="s">
        <v>10</v>
      </c>
      <c r="C8" s="56" t="s">
        <v>4</v>
      </c>
      <c r="D8" s="56" t="s">
        <v>218</v>
      </c>
      <c r="E8" s="69">
        <f>IF(B8="","",VLOOKUP(B8,dagsoorttabel1,2,FALSE))</f>
        <v>1</v>
      </c>
      <c r="F8" s="69">
        <v>1</v>
      </c>
      <c r="G8" s="69">
        <f>IF(prodnorm6&gt;0,1/ROUND(prodnorm6,4),0)</f>
        <v>0</v>
      </c>
      <c r="H8" s="71">
        <f>ROUND(dagwerk6,4+2)</f>
        <v>0</v>
      </c>
      <c r="I8" s="60">
        <f>ROUND(uurtarief6,2)</f>
        <v>0</v>
      </c>
      <c r="J8" s="69">
        <v>253</v>
      </c>
      <c r="K8" s="69">
        <v>0</v>
      </c>
      <c r="L8" s="69">
        <v>0</v>
      </c>
    </row>
    <row r="9" spans="1:12" x14ac:dyDescent="0.35">
      <c r="A9" s="56" t="s">
        <v>220</v>
      </c>
      <c r="B9" s="56" t="s">
        <v>12</v>
      </c>
      <c r="C9" s="56" t="s">
        <v>4</v>
      </c>
      <c r="D9" s="56" t="s">
        <v>218</v>
      </c>
      <c r="E9" s="69">
        <f>IF(B9="","",VLOOKUP(B9,dagsoorttabel1,2,FALSE))</f>
        <v>0.6</v>
      </c>
      <c r="F9" s="69">
        <v>1</v>
      </c>
      <c r="G9" s="69">
        <f>IF(prodnorm7&gt;0,1/ROUND(prodnorm7,4),0)</f>
        <v>0</v>
      </c>
      <c r="H9" s="71">
        <f>ROUND(dagwerk7,4+2)</f>
        <v>0</v>
      </c>
      <c r="I9" s="60">
        <f>ROUND(uurtarief7,2)</f>
        <v>0</v>
      </c>
      <c r="J9" s="69">
        <v>0</v>
      </c>
      <c r="K9" s="69">
        <v>954</v>
      </c>
      <c r="L9" s="69">
        <v>0</v>
      </c>
    </row>
    <row r="10" spans="1:12" x14ac:dyDescent="0.35">
      <c r="A10" s="56" t="s">
        <v>222</v>
      </c>
      <c r="B10" s="56" t="s">
        <v>10</v>
      </c>
      <c r="C10" s="56" t="s">
        <v>4</v>
      </c>
      <c r="D10" s="56" t="s">
        <v>218</v>
      </c>
      <c r="E10" s="69">
        <f>IF(B10="","",VLOOKUP(B10,dagsoorttabel1,2,FALSE))</f>
        <v>1</v>
      </c>
      <c r="F10" s="69">
        <v>1</v>
      </c>
      <c r="G10" s="69">
        <f>IF(prodnorm8&gt;0,1/ROUND(prodnorm8,4),0)</f>
        <v>0</v>
      </c>
      <c r="H10" s="71">
        <f>ROUND(dagwerk8,4+2)</f>
        <v>0</v>
      </c>
      <c r="I10" s="60">
        <f>ROUND(uurtarief8,2)</f>
        <v>0</v>
      </c>
      <c r="J10" s="69">
        <v>0</v>
      </c>
      <c r="K10" s="69">
        <v>124</v>
      </c>
      <c r="L10" s="69">
        <v>0</v>
      </c>
    </row>
    <row r="11" spans="1:12" x14ac:dyDescent="0.35">
      <c r="A11" s="56" t="s">
        <v>224</v>
      </c>
      <c r="B11" s="56" t="s">
        <v>12</v>
      </c>
      <c r="C11" s="56" t="s">
        <v>4</v>
      </c>
      <c r="D11" s="56" t="s">
        <v>218</v>
      </c>
      <c r="E11" s="69">
        <f>IF(B11="","",VLOOKUP(B11,dagsoorttabel1,2,FALSE))</f>
        <v>0.6</v>
      </c>
      <c r="F11" s="69">
        <v>1</v>
      </c>
      <c r="G11" s="69">
        <f>IF(prodnorm9&gt;0,1/ROUND(prodnorm9,4),0)</f>
        <v>0</v>
      </c>
      <c r="H11" s="71">
        <f>ROUND(dagwerk9,4+2)</f>
        <v>0</v>
      </c>
      <c r="I11" s="60">
        <f>ROUND(uurtarief9,2)</f>
        <v>0</v>
      </c>
      <c r="J11" s="69">
        <v>0</v>
      </c>
      <c r="K11" s="69">
        <v>117</v>
      </c>
      <c r="L11" s="69">
        <v>0</v>
      </c>
    </row>
    <row r="12" spans="1:12" x14ac:dyDescent="0.35">
      <c r="A12" s="56" t="s">
        <v>226</v>
      </c>
      <c r="B12" s="56" t="s">
        <v>10</v>
      </c>
      <c r="C12" s="56" t="s">
        <v>4</v>
      </c>
      <c r="D12" s="56" t="s">
        <v>218</v>
      </c>
      <c r="E12" s="69">
        <f>IF(B12="","",VLOOKUP(B12,dagsoorttabel1,2,FALSE))</f>
        <v>1</v>
      </c>
      <c r="F12" s="69">
        <v>1</v>
      </c>
      <c r="G12" s="69">
        <f>IF(prodnorm10&gt;0,1/ROUND(prodnorm10,4),0)</f>
        <v>0</v>
      </c>
      <c r="H12" s="71">
        <f>ROUND(dagwerk10,4+2)</f>
        <v>0</v>
      </c>
      <c r="I12" s="60">
        <f>ROUND(uurtarief10,2)</f>
        <v>0</v>
      </c>
      <c r="J12" s="69">
        <v>26</v>
      </c>
      <c r="K12" s="69">
        <v>7</v>
      </c>
      <c r="L12" s="69">
        <v>37</v>
      </c>
    </row>
    <row r="13" spans="1:12" x14ac:dyDescent="0.35">
      <c r="A13" s="56" t="s">
        <v>228</v>
      </c>
      <c r="B13" s="56" t="s">
        <v>10</v>
      </c>
      <c r="C13" s="56" t="s">
        <v>4</v>
      </c>
      <c r="D13" s="56" t="s">
        <v>218</v>
      </c>
      <c r="E13" s="69">
        <f>IF(B13="","",VLOOKUP(B13,dagsoorttabel1,2,FALSE))</f>
        <v>1</v>
      </c>
      <c r="F13" s="69">
        <v>1</v>
      </c>
      <c r="G13" s="69">
        <f>IF(prodnorm11&gt;0,1/ROUND(prodnorm11,4),0)</f>
        <v>0</v>
      </c>
      <c r="H13" s="71">
        <f>ROUND(dagwerk11,4+2)</f>
        <v>0</v>
      </c>
      <c r="I13" s="60">
        <f>ROUND(uurtarief11,2)</f>
        <v>0</v>
      </c>
      <c r="J13" s="69">
        <v>0</v>
      </c>
      <c r="K13" s="69">
        <v>148</v>
      </c>
      <c r="L13" s="69">
        <v>78</v>
      </c>
    </row>
    <row r="14" spans="1:12" x14ac:dyDescent="0.35">
      <c r="A14" s="56" t="s">
        <v>230</v>
      </c>
      <c r="B14" s="56" t="s">
        <v>13</v>
      </c>
      <c r="C14" s="56" t="s">
        <v>4</v>
      </c>
      <c r="D14" s="56" t="s">
        <v>218</v>
      </c>
      <c r="E14" s="69">
        <f>IF(B14="","",VLOOKUP(B14,dagsoorttabel1,2,FALSE))</f>
        <v>0.4</v>
      </c>
      <c r="F14" s="69">
        <v>1</v>
      </c>
      <c r="G14" s="69">
        <f>IF(prodnorm12&gt;0,1/ROUND(prodnorm12,4),0)</f>
        <v>0</v>
      </c>
      <c r="H14" s="71">
        <f>ROUND(dagwerk12,4+2)</f>
        <v>0</v>
      </c>
      <c r="I14" s="60">
        <f>ROUND(uurtarief12,2)</f>
        <v>0</v>
      </c>
      <c r="J14" s="69">
        <v>0</v>
      </c>
      <c r="K14" s="69">
        <v>209</v>
      </c>
      <c r="L14" s="69">
        <v>0</v>
      </c>
    </row>
    <row r="15" spans="1:12" x14ac:dyDescent="0.35">
      <c r="A15" s="56" t="s">
        <v>232</v>
      </c>
      <c r="B15" s="56" t="s">
        <v>16</v>
      </c>
      <c r="C15" s="56" t="s">
        <v>4</v>
      </c>
      <c r="D15" s="56" t="s">
        <v>218</v>
      </c>
      <c r="E15" s="69">
        <f>IF(B15="","",VLOOKUP(B15,dagsoorttabel1,2,FALSE))</f>
        <v>4.7058823529411764E-2</v>
      </c>
      <c r="F15" s="69">
        <v>1</v>
      </c>
      <c r="G15" s="69">
        <f>IF(prodnorm13&gt;0,1/ROUND(prodnorm13,4),0)</f>
        <v>0</v>
      </c>
      <c r="H15" s="71">
        <f>ROUND(dagwerk13,4+2)</f>
        <v>0</v>
      </c>
      <c r="I15" s="60">
        <f>ROUND(uurtarief13,2)</f>
        <v>0</v>
      </c>
      <c r="J15" s="69">
        <v>0</v>
      </c>
      <c r="K15" s="69">
        <v>0</v>
      </c>
      <c r="L15" s="69">
        <v>34</v>
      </c>
    </row>
    <row r="16" spans="1:12" x14ac:dyDescent="0.35">
      <c r="A16" s="56" t="s">
        <v>232</v>
      </c>
      <c r="B16" s="56" t="s">
        <v>13</v>
      </c>
      <c r="C16" s="56" t="s">
        <v>4</v>
      </c>
      <c r="D16" s="56" t="s">
        <v>218</v>
      </c>
      <c r="E16" s="69">
        <f>IF(B16="","",VLOOKUP(B16,dagsoorttabel1,2,FALSE))</f>
        <v>0.4</v>
      </c>
      <c r="F16" s="69">
        <v>1</v>
      </c>
      <c r="G16" s="69">
        <f>IF(prodnorm14&gt;0,1/ROUND(prodnorm14,4),0)</f>
        <v>0</v>
      </c>
      <c r="H16" s="71">
        <f>ROUND(dagwerk14,4+2)</f>
        <v>0</v>
      </c>
      <c r="I16" s="60">
        <f>ROUND(uurtarief14,2)</f>
        <v>0</v>
      </c>
      <c r="J16" s="69">
        <v>494</v>
      </c>
      <c r="K16" s="69">
        <v>0</v>
      </c>
      <c r="L16" s="69">
        <v>401</v>
      </c>
    </row>
    <row r="17" spans="1:12" x14ac:dyDescent="0.35">
      <c r="A17" s="56" t="s">
        <v>234</v>
      </c>
      <c r="B17" s="56" t="s">
        <v>10</v>
      </c>
      <c r="C17" s="56" t="s">
        <v>4</v>
      </c>
      <c r="D17" s="56" t="s">
        <v>218</v>
      </c>
      <c r="E17" s="69">
        <f>IF(B17="","",VLOOKUP(B17,dagsoorttabel1,2,FALSE))</f>
        <v>1</v>
      </c>
      <c r="F17" s="69">
        <v>1</v>
      </c>
      <c r="G17" s="69">
        <f>IF(prodnorm15&gt;0,1/ROUND(prodnorm15,4),0)</f>
        <v>0</v>
      </c>
      <c r="H17" s="71">
        <f>ROUND(dagwerk15,4+2)</f>
        <v>0</v>
      </c>
      <c r="I17" s="60">
        <f>ROUND(uurtarief15,2)</f>
        <v>0</v>
      </c>
      <c r="J17" s="69">
        <v>0</v>
      </c>
      <c r="K17" s="69">
        <v>1704</v>
      </c>
      <c r="L17" s="69">
        <v>4712</v>
      </c>
    </row>
    <row r="18" spans="1:12" x14ac:dyDescent="0.35">
      <c r="A18" s="56" t="s">
        <v>236</v>
      </c>
      <c r="B18" s="56" t="s">
        <v>16</v>
      </c>
      <c r="C18" s="56" t="s">
        <v>4</v>
      </c>
      <c r="D18" s="56" t="s">
        <v>218</v>
      </c>
      <c r="E18" s="69">
        <f>IF(B18="","",VLOOKUP(B18,dagsoorttabel1,2,FALSE))</f>
        <v>4.7058823529411764E-2</v>
      </c>
      <c r="F18" s="69">
        <v>1</v>
      </c>
      <c r="G18" s="69">
        <f>IF(prodnorm16&gt;0,1/ROUND(prodnorm16,4),0)</f>
        <v>0</v>
      </c>
      <c r="H18" s="71">
        <f>ROUND(dagwerk16,4+2)</f>
        <v>0</v>
      </c>
      <c r="I18" s="60">
        <f>ROUND(uurtarief16,2)</f>
        <v>0</v>
      </c>
      <c r="J18" s="69">
        <v>52</v>
      </c>
      <c r="K18" s="69">
        <v>717</v>
      </c>
      <c r="L18" s="69">
        <v>390</v>
      </c>
    </row>
    <row r="19" spans="1:12" x14ac:dyDescent="0.35">
      <c r="A19" s="56" t="s">
        <v>236</v>
      </c>
      <c r="B19" s="56" t="s">
        <v>13</v>
      </c>
      <c r="C19" s="56" t="s">
        <v>4</v>
      </c>
      <c r="D19" s="56" t="s">
        <v>218</v>
      </c>
      <c r="E19" s="69">
        <f>IF(B19="","",VLOOKUP(B19,dagsoorttabel1,2,FALSE))</f>
        <v>0.4</v>
      </c>
      <c r="F19" s="69">
        <v>1</v>
      </c>
      <c r="G19" s="69">
        <f>IF(prodnorm17&gt;0,1/ROUND(prodnorm17,4),0)</f>
        <v>0</v>
      </c>
      <c r="H19" s="71">
        <f>ROUND(dagwerk17,4+2)</f>
        <v>0</v>
      </c>
      <c r="I19" s="60">
        <f>ROUND(uurtarief17,2)</f>
        <v>0</v>
      </c>
      <c r="J19" s="69">
        <v>0</v>
      </c>
      <c r="K19" s="69">
        <v>55</v>
      </c>
      <c r="L19" s="69">
        <v>35</v>
      </c>
    </row>
    <row r="20" spans="1:12" x14ac:dyDescent="0.35">
      <c r="A20" s="56" t="s">
        <v>238</v>
      </c>
      <c r="B20" s="56" t="s">
        <v>10</v>
      </c>
      <c r="C20" s="56" t="s">
        <v>4</v>
      </c>
      <c r="D20" s="56" t="s">
        <v>218</v>
      </c>
      <c r="E20" s="69">
        <f>IF(B20="","",VLOOKUP(B20,dagsoorttabel1,2,FALSE))</f>
        <v>1</v>
      </c>
      <c r="F20" s="69">
        <v>1</v>
      </c>
      <c r="G20" s="69">
        <f>IF(prodnorm18&gt;0,1/ROUND(prodnorm18,4),0)</f>
        <v>0</v>
      </c>
      <c r="H20" s="71">
        <f>ROUND(dagwerk18,4+2)</f>
        <v>0</v>
      </c>
      <c r="I20" s="60">
        <f>ROUND(uurtarief18,2)</f>
        <v>0</v>
      </c>
      <c r="J20" s="69">
        <v>0</v>
      </c>
      <c r="K20" s="69">
        <v>0</v>
      </c>
      <c r="L20" s="69">
        <v>24</v>
      </c>
    </row>
    <row r="21" spans="1:12" x14ac:dyDescent="0.35">
      <c r="A21" s="56" t="s">
        <v>240</v>
      </c>
      <c r="B21" s="56" t="s">
        <v>14</v>
      </c>
      <c r="C21" s="56" t="s">
        <v>4</v>
      </c>
      <c r="D21" s="56" t="s">
        <v>218</v>
      </c>
      <c r="E21" s="69">
        <f>IF(B21="","",VLOOKUP(B21,dagsoorttabel1,2,FALSE))</f>
        <v>0.2</v>
      </c>
      <c r="F21" s="69">
        <v>1</v>
      </c>
      <c r="G21" s="69">
        <f>IF(prodnorm19&gt;0,1/ROUND(prodnorm19,4),0)</f>
        <v>0</v>
      </c>
      <c r="H21" s="71">
        <f>ROUND(dagwerk19,4+2)</f>
        <v>0</v>
      </c>
      <c r="I21" s="60">
        <f>ROUND(uurtarief19,2)</f>
        <v>0</v>
      </c>
      <c r="J21" s="69">
        <v>0</v>
      </c>
      <c r="K21" s="69">
        <v>6</v>
      </c>
      <c r="L21" s="69">
        <v>0</v>
      </c>
    </row>
    <row r="22" spans="1:12" x14ac:dyDescent="0.35">
      <c r="A22" s="56" t="s">
        <v>240</v>
      </c>
      <c r="B22" s="56" t="s">
        <v>10</v>
      </c>
      <c r="C22" s="56" t="s">
        <v>4</v>
      </c>
      <c r="D22" s="56" t="s">
        <v>218</v>
      </c>
      <c r="E22" s="69">
        <f>IF(B22="","",VLOOKUP(B22,dagsoorttabel1,2,FALSE))</f>
        <v>1</v>
      </c>
      <c r="F22" s="69">
        <v>1</v>
      </c>
      <c r="G22" s="69">
        <f>IF(prodnorm20&gt;0,1/ROUND(prodnorm20,4),0)</f>
        <v>0</v>
      </c>
      <c r="H22" s="71">
        <f>ROUND(dagwerk20,4+2)</f>
        <v>0</v>
      </c>
      <c r="I22" s="60">
        <f>ROUND(uurtarief20,2)</f>
        <v>0</v>
      </c>
      <c r="J22" s="69">
        <v>20</v>
      </c>
      <c r="K22" s="69">
        <v>0</v>
      </c>
      <c r="L22" s="69">
        <v>70</v>
      </c>
    </row>
    <row r="23" spans="1:12" x14ac:dyDescent="0.35">
      <c r="A23" s="56" t="s">
        <v>242</v>
      </c>
      <c r="B23" s="56" t="s">
        <v>10</v>
      </c>
      <c r="C23" s="56" t="s">
        <v>4</v>
      </c>
      <c r="D23" s="56" t="s">
        <v>218</v>
      </c>
      <c r="E23" s="69">
        <f>IF(B23="","",VLOOKUP(B23,dagsoorttabel1,2,FALSE))</f>
        <v>1</v>
      </c>
      <c r="F23" s="69">
        <v>1</v>
      </c>
      <c r="G23" s="69">
        <f>IF(prodnorm21&gt;0,1/ROUND(prodnorm21,4),0)</f>
        <v>0</v>
      </c>
      <c r="H23" s="71">
        <f>ROUND(dagwerk21,4+2)</f>
        <v>0</v>
      </c>
      <c r="I23" s="60">
        <f>ROUND(uurtarief21,2)</f>
        <v>0</v>
      </c>
      <c r="J23" s="69">
        <v>31</v>
      </c>
      <c r="K23" s="69">
        <v>97</v>
      </c>
      <c r="L23" s="69">
        <v>78</v>
      </c>
    </row>
    <row r="24" spans="1:12" x14ac:dyDescent="0.35">
      <c r="A24" s="56" t="s">
        <v>244</v>
      </c>
      <c r="B24" s="56" t="s">
        <v>9</v>
      </c>
      <c r="C24" s="56" t="s">
        <v>4</v>
      </c>
      <c r="D24" s="56" t="s">
        <v>218</v>
      </c>
      <c r="E24" s="69">
        <f>IF(B24="","",VLOOKUP(B24,dagsoorttabel1,2,FALSE))</f>
        <v>3</v>
      </c>
      <c r="F24" s="69">
        <v>1</v>
      </c>
      <c r="G24" s="69">
        <f>IF(prodnorm22&gt;0,1/ROUND(prodnorm22,4),0)</f>
        <v>0</v>
      </c>
      <c r="H24" s="71">
        <f>ROUND(dagwerk22,4+2)</f>
        <v>0</v>
      </c>
      <c r="I24" s="60">
        <f>ROUND(uurtarief22,2)</f>
        <v>0</v>
      </c>
      <c r="J24" s="69">
        <v>0</v>
      </c>
      <c r="K24" s="69">
        <v>53</v>
      </c>
      <c r="L24" s="69">
        <v>59</v>
      </c>
    </row>
    <row r="25" spans="1:12" x14ac:dyDescent="0.35">
      <c r="A25" s="56" t="s">
        <v>246</v>
      </c>
      <c r="B25" s="56" t="s">
        <v>16</v>
      </c>
      <c r="C25" s="56" t="s">
        <v>4</v>
      </c>
      <c r="D25" s="56" t="s">
        <v>218</v>
      </c>
      <c r="E25" s="69">
        <f>IF(B25="","",VLOOKUP(B25,dagsoorttabel1,2,FALSE))</f>
        <v>4.7058823529411764E-2</v>
      </c>
      <c r="F25" s="69">
        <v>1</v>
      </c>
      <c r="G25" s="69">
        <f>IF(prodnorm23&gt;0,1/ROUND(prodnorm23,4),0)</f>
        <v>0</v>
      </c>
      <c r="H25" s="71">
        <f>ROUND(dagwerk23,4+2)</f>
        <v>0</v>
      </c>
      <c r="I25" s="60">
        <f>ROUND(uurtarief23,2)</f>
        <v>0</v>
      </c>
      <c r="J25" s="69">
        <v>275</v>
      </c>
      <c r="K25" s="69">
        <v>173</v>
      </c>
      <c r="L25" s="69">
        <v>73</v>
      </c>
    </row>
    <row r="26" spans="1:12" x14ac:dyDescent="0.35">
      <c r="A26" s="56" t="s">
        <v>246</v>
      </c>
      <c r="B26" s="56" t="s">
        <v>14</v>
      </c>
      <c r="C26" s="56" t="s">
        <v>4</v>
      </c>
      <c r="D26" s="56" t="s">
        <v>218</v>
      </c>
      <c r="E26" s="69">
        <f>IF(B26="","",VLOOKUP(B26,dagsoorttabel1,2,FALSE))</f>
        <v>0.2</v>
      </c>
      <c r="F26" s="69">
        <v>1</v>
      </c>
      <c r="G26" s="69">
        <f>IF(prodnorm24&gt;0,1/ROUND(prodnorm24,4),0)</f>
        <v>0</v>
      </c>
      <c r="H26" s="71">
        <f>ROUND(dagwerk24,4+2)</f>
        <v>0</v>
      </c>
      <c r="I26" s="60">
        <f>ROUND(uurtarief24,2)</f>
        <v>0</v>
      </c>
      <c r="J26" s="69">
        <v>0</v>
      </c>
      <c r="K26" s="69">
        <v>357</v>
      </c>
      <c r="L26" s="69">
        <v>263</v>
      </c>
    </row>
    <row r="27" spans="1:12" x14ac:dyDescent="0.35">
      <c r="A27" s="56" t="s">
        <v>246</v>
      </c>
      <c r="B27" s="56" t="s">
        <v>13</v>
      </c>
      <c r="C27" s="56" t="s">
        <v>4</v>
      </c>
      <c r="D27" s="56" t="s">
        <v>218</v>
      </c>
      <c r="E27" s="69">
        <f>IF(B27="","",VLOOKUP(B27,dagsoorttabel1,2,FALSE))</f>
        <v>0.4</v>
      </c>
      <c r="F27" s="69">
        <v>1</v>
      </c>
      <c r="G27" s="69">
        <f>IF(prodnorm25&gt;0,1/ROUND(prodnorm25,4),0)</f>
        <v>0</v>
      </c>
      <c r="H27" s="71">
        <f>ROUND(dagwerk25,4+2)</f>
        <v>0</v>
      </c>
      <c r="I27" s="60">
        <f>ROUND(uurtarief25,2)</f>
        <v>0</v>
      </c>
      <c r="J27" s="69">
        <v>0</v>
      </c>
      <c r="K27" s="69">
        <v>43</v>
      </c>
      <c r="L27" s="69">
        <v>659</v>
      </c>
    </row>
    <row r="28" spans="1:12" x14ac:dyDescent="0.35">
      <c r="A28" s="56" t="s">
        <v>246</v>
      </c>
      <c r="B28" s="56" t="s">
        <v>10</v>
      </c>
      <c r="C28" s="56" t="s">
        <v>4</v>
      </c>
      <c r="D28" s="56" t="s">
        <v>218</v>
      </c>
      <c r="E28" s="69">
        <f>IF(B28="","",VLOOKUP(B28,dagsoorttabel1,2,FALSE))</f>
        <v>1</v>
      </c>
      <c r="F28" s="69">
        <v>1</v>
      </c>
      <c r="G28" s="69">
        <f>IF(prodnorm26&gt;0,1/ROUND(prodnorm26,4),0)</f>
        <v>0</v>
      </c>
      <c r="H28" s="71">
        <f>ROUND(dagwerk26,4+2)</f>
        <v>0</v>
      </c>
      <c r="I28" s="60">
        <f>ROUND(uurtarief26,2)</f>
        <v>0</v>
      </c>
      <c r="J28" s="69">
        <v>427</v>
      </c>
      <c r="K28" s="69">
        <v>1929</v>
      </c>
      <c r="L28" s="69">
        <v>415</v>
      </c>
    </row>
    <row r="29" spans="1:12" x14ac:dyDescent="0.35">
      <c r="A29" s="56" t="s">
        <v>248</v>
      </c>
      <c r="B29" s="56" t="s">
        <v>12</v>
      </c>
      <c r="C29" s="56" t="s">
        <v>4</v>
      </c>
      <c r="D29" s="56" t="s">
        <v>218</v>
      </c>
      <c r="E29" s="69">
        <f>IF(B29="","",VLOOKUP(B29,dagsoorttabel1,2,FALSE))</f>
        <v>0.6</v>
      </c>
      <c r="F29" s="69">
        <v>1</v>
      </c>
      <c r="G29" s="69">
        <f>IF(prodnorm27&gt;0,1/ROUND(prodnorm27,4),0)</f>
        <v>0</v>
      </c>
      <c r="H29" s="71">
        <f>ROUND(dagwerk27,4+2)</f>
        <v>0</v>
      </c>
      <c r="I29" s="60">
        <f>ROUND(uurtarief27,2)</f>
        <v>0</v>
      </c>
      <c r="J29" s="69">
        <v>0</v>
      </c>
      <c r="K29" s="69">
        <v>18</v>
      </c>
      <c r="L29" s="69">
        <v>0</v>
      </c>
    </row>
    <row r="30" spans="1:12" x14ac:dyDescent="0.35">
      <c r="A30" s="56" t="s">
        <v>250</v>
      </c>
      <c r="B30" s="56" t="s">
        <v>10</v>
      </c>
      <c r="C30" s="56" t="s">
        <v>4</v>
      </c>
      <c r="D30" s="56" t="s">
        <v>218</v>
      </c>
      <c r="E30" s="69">
        <f>IF(B30="","",VLOOKUP(B30,dagsoorttabel1,2,FALSE))</f>
        <v>1</v>
      </c>
      <c r="F30" s="69">
        <v>1</v>
      </c>
      <c r="G30" s="69">
        <f>IF(prodnorm28&gt;0,1/ROUND(prodnorm28,4),0)</f>
        <v>0</v>
      </c>
      <c r="H30" s="71">
        <f>ROUND(dagwerk28,4+2)</f>
        <v>0</v>
      </c>
      <c r="I30" s="60">
        <f>ROUND(uurtarief28,2)</f>
        <v>0</v>
      </c>
      <c r="J30" s="69">
        <v>0</v>
      </c>
      <c r="K30" s="69">
        <v>47</v>
      </c>
      <c r="L30" s="69">
        <v>0</v>
      </c>
    </row>
    <row r="31" spans="1:12" x14ac:dyDescent="0.35">
      <c r="A31" s="56" t="s">
        <v>252</v>
      </c>
      <c r="B31" s="56" t="s">
        <v>10</v>
      </c>
      <c r="C31" s="56" t="s">
        <v>4</v>
      </c>
      <c r="D31" s="56" t="s">
        <v>218</v>
      </c>
      <c r="E31" s="69">
        <f>IF(B31="","",VLOOKUP(B31,dagsoorttabel1,2,FALSE))</f>
        <v>1</v>
      </c>
      <c r="F31" s="69">
        <v>1</v>
      </c>
      <c r="G31" s="69">
        <f>IF(prodnorm29&gt;0,1/ROUND(prodnorm29,4),0)</f>
        <v>0</v>
      </c>
      <c r="H31" s="71">
        <f>ROUND(dagwerk29,4+2)</f>
        <v>0</v>
      </c>
      <c r="I31" s="60">
        <f>ROUND(uurtarief29,2)</f>
        <v>0</v>
      </c>
      <c r="J31" s="69">
        <v>5</v>
      </c>
      <c r="K31" s="69">
        <v>4</v>
      </c>
      <c r="L31" s="69">
        <v>55</v>
      </c>
    </row>
    <row r="32" spans="1:12" x14ac:dyDescent="0.35">
      <c r="A32" s="56" t="s">
        <v>254</v>
      </c>
      <c r="B32" s="56" t="s">
        <v>16</v>
      </c>
      <c r="C32" s="56" t="s">
        <v>4</v>
      </c>
      <c r="D32" s="56" t="s">
        <v>218</v>
      </c>
      <c r="E32" s="69">
        <f>IF(B32="","",VLOOKUP(B32,dagsoorttabel1,2,FALSE))</f>
        <v>4.7058823529411764E-2</v>
      </c>
      <c r="F32" s="69">
        <v>1</v>
      </c>
      <c r="G32" s="69">
        <f>IF(prodnorm30&gt;0,1/ROUND(prodnorm30,4),0)</f>
        <v>0</v>
      </c>
      <c r="H32" s="71">
        <f>ROUND(dagwerk30,4+2)</f>
        <v>0</v>
      </c>
      <c r="I32" s="60">
        <f>ROUND(uurtarief30,2)</f>
        <v>0</v>
      </c>
      <c r="J32" s="69">
        <v>0</v>
      </c>
      <c r="K32" s="69">
        <v>51</v>
      </c>
      <c r="L32" s="69">
        <v>0</v>
      </c>
    </row>
    <row r="33" spans="1:12" x14ac:dyDescent="0.35">
      <c r="A33" s="56" t="s">
        <v>254</v>
      </c>
      <c r="B33" s="56" t="s">
        <v>14</v>
      </c>
      <c r="C33" s="56" t="s">
        <v>4</v>
      </c>
      <c r="D33" s="56" t="s">
        <v>218</v>
      </c>
      <c r="E33" s="69">
        <f>IF(B33="","",VLOOKUP(B33,dagsoorttabel1,2,FALSE))</f>
        <v>0.2</v>
      </c>
      <c r="F33" s="69">
        <v>1</v>
      </c>
      <c r="G33" s="69">
        <f>IF(prodnorm31&gt;0,1/ROUND(prodnorm31,4),0)</f>
        <v>0</v>
      </c>
      <c r="H33" s="71">
        <f>ROUND(dagwerk31,4+2)</f>
        <v>0</v>
      </c>
      <c r="I33" s="60">
        <f>ROUND(uurtarief31,2)</f>
        <v>0</v>
      </c>
      <c r="J33" s="69">
        <v>0</v>
      </c>
      <c r="K33" s="69">
        <v>30</v>
      </c>
      <c r="L33" s="69">
        <v>0</v>
      </c>
    </row>
    <row r="34" spans="1:12" x14ac:dyDescent="0.35">
      <c r="A34" s="56" t="s">
        <v>254</v>
      </c>
      <c r="B34" s="56" t="s">
        <v>13</v>
      </c>
      <c r="C34" s="56" t="s">
        <v>4</v>
      </c>
      <c r="D34" s="56" t="s">
        <v>218</v>
      </c>
      <c r="E34" s="69">
        <f>IF(B34="","",VLOOKUP(B34,dagsoorttabel1,2,FALSE))</f>
        <v>0.4</v>
      </c>
      <c r="F34" s="69">
        <v>1</v>
      </c>
      <c r="G34" s="69">
        <f>IF(prodnorm32&gt;0,1/ROUND(prodnorm32,4),0)</f>
        <v>0</v>
      </c>
      <c r="H34" s="71">
        <f>ROUND(dagwerk32,4+2)</f>
        <v>0</v>
      </c>
      <c r="I34" s="60">
        <f>ROUND(uurtarief32,2)</f>
        <v>0</v>
      </c>
      <c r="J34" s="69">
        <v>0</v>
      </c>
      <c r="K34" s="69">
        <v>0</v>
      </c>
      <c r="L34" s="69">
        <v>6</v>
      </c>
    </row>
    <row r="35" spans="1:12" x14ac:dyDescent="0.35">
      <c r="A35" s="56" t="s">
        <v>254</v>
      </c>
      <c r="B35" s="56" t="s">
        <v>10</v>
      </c>
      <c r="C35" s="56" t="s">
        <v>4</v>
      </c>
      <c r="D35" s="56" t="s">
        <v>218</v>
      </c>
      <c r="E35" s="69">
        <f>IF(B35="","",VLOOKUP(B35,dagsoorttabel1,2,FALSE))</f>
        <v>1</v>
      </c>
      <c r="F35" s="69">
        <v>1</v>
      </c>
      <c r="G35" s="69">
        <f>IF(prodnorm33&gt;0,1/ROUND(prodnorm33,4),0)</f>
        <v>0</v>
      </c>
      <c r="H35" s="71">
        <f>ROUND(dagwerk33,4+2)</f>
        <v>0</v>
      </c>
      <c r="I35" s="60">
        <f>ROUND(uurtarief33,2)</f>
        <v>0</v>
      </c>
      <c r="J35" s="69">
        <v>0</v>
      </c>
      <c r="K35" s="69">
        <v>10</v>
      </c>
      <c r="L35" s="69">
        <v>0</v>
      </c>
    </row>
    <row r="36" spans="1:12" x14ac:dyDescent="0.35">
      <c r="A36" s="56" t="s">
        <v>256</v>
      </c>
      <c r="B36" s="56" t="s">
        <v>16</v>
      </c>
      <c r="C36" s="56" t="s">
        <v>4</v>
      </c>
      <c r="D36" s="56" t="s">
        <v>218</v>
      </c>
      <c r="E36" s="69">
        <f>IF(B36="","",VLOOKUP(B36,dagsoorttabel1,2,FALSE))</f>
        <v>4.7058823529411764E-2</v>
      </c>
      <c r="F36" s="69">
        <v>1</v>
      </c>
      <c r="G36" s="69">
        <f>IF(prodnorm34&gt;0,1/ROUND(prodnorm34,4),0)</f>
        <v>0</v>
      </c>
      <c r="H36" s="71">
        <f>ROUND(dagwerk34,4+2)</f>
        <v>0</v>
      </c>
      <c r="I36" s="60">
        <f>ROUND(uurtarief34,2)</f>
        <v>0</v>
      </c>
      <c r="J36" s="69">
        <v>0</v>
      </c>
      <c r="K36" s="69">
        <v>31</v>
      </c>
      <c r="L36" s="69">
        <v>0</v>
      </c>
    </row>
    <row r="37" spans="1:12" x14ac:dyDescent="0.35">
      <c r="A37" s="56" t="s">
        <v>256</v>
      </c>
      <c r="B37" s="56" t="s">
        <v>14</v>
      </c>
      <c r="C37" s="56" t="s">
        <v>4</v>
      </c>
      <c r="D37" s="56" t="s">
        <v>218</v>
      </c>
      <c r="E37" s="69">
        <f>IF(B37="","",VLOOKUP(B37,dagsoorttabel1,2,FALSE))</f>
        <v>0.2</v>
      </c>
      <c r="F37" s="69">
        <v>1</v>
      </c>
      <c r="G37" s="69">
        <f>IF(prodnorm35&gt;0,1/ROUND(prodnorm35,4),0)</f>
        <v>0</v>
      </c>
      <c r="H37" s="71">
        <f>ROUND(dagwerk35,4+2)</f>
        <v>0</v>
      </c>
      <c r="I37" s="60">
        <f>ROUND(uurtarief35,2)</f>
        <v>0</v>
      </c>
      <c r="J37" s="69">
        <v>0</v>
      </c>
      <c r="K37" s="69">
        <v>0</v>
      </c>
      <c r="L37" s="69">
        <v>153</v>
      </c>
    </row>
    <row r="38" spans="1:12" x14ac:dyDescent="0.35">
      <c r="A38" s="56" t="s">
        <v>256</v>
      </c>
      <c r="B38" s="56" t="s">
        <v>20</v>
      </c>
      <c r="C38" s="56" t="s">
        <v>4</v>
      </c>
      <c r="D38" s="56" t="s">
        <v>218</v>
      </c>
      <c r="E38" s="69">
        <f>IF(B38="","",VLOOKUP(B38,dagsoorttabel1,2,FALSE))</f>
        <v>7.8431372549019607E-3</v>
      </c>
      <c r="F38" s="69">
        <v>1</v>
      </c>
      <c r="G38" s="69">
        <f>IF(prodnorm36&gt;0,1/ROUND(prodnorm36,4),0)</f>
        <v>0</v>
      </c>
      <c r="H38" s="71">
        <f>ROUND(dagwerk36,4+2)</f>
        <v>0</v>
      </c>
      <c r="I38" s="60">
        <f>ROUND(uurtarief36,2)</f>
        <v>0</v>
      </c>
      <c r="J38" s="69">
        <v>58</v>
      </c>
      <c r="K38" s="69">
        <v>0</v>
      </c>
      <c r="L38" s="69">
        <v>0</v>
      </c>
    </row>
    <row r="39" spans="1:12" x14ac:dyDescent="0.35">
      <c r="A39" s="56" t="s">
        <v>256</v>
      </c>
      <c r="B39" s="56" t="s">
        <v>13</v>
      </c>
      <c r="C39" s="56" t="s">
        <v>4</v>
      </c>
      <c r="D39" s="56" t="s">
        <v>218</v>
      </c>
      <c r="E39" s="69">
        <f>IF(B39="","",VLOOKUP(B39,dagsoorttabel1,2,FALSE))</f>
        <v>0.4</v>
      </c>
      <c r="F39" s="69">
        <v>1</v>
      </c>
      <c r="G39" s="69">
        <f>IF(prodnorm37&gt;0,1/ROUND(prodnorm37,4),0)</f>
        <v>0</v>
      </c>
      <c r="H39" s="71">
        <f>ROUND(dagwerk37,4+2)</f>
        <v>0</v>
      </c>
      <c r="I39" s="60">
        <f>ROUND(uurtarief37,2)</f>
        <v>0</v>
      </c>
      <c r="J39" s="69">
        <v>0</v>
      </c>
      <c r="K39" s="69">
        <v>214</v>
      </c>
      <c r="L39" s="69">
        <v>0</v>
      </c>
    </row>
    <row r="40" spans="1:12" x14ac:dyDescent="0.35">
      <c r="A40" s="56" t="s">
        <v>256</v>
      </c>
      <c r="B40" s="56" t="s">
        <v>10</v>
      </c>
      <c r="C40" s="56" t="s">
        <v>4</v>
      </c>
      <c r="D40" s="56" t="s">
        <v>218</v>
      </c>
      <c r="E40" s="69">
        <f>IF(B40="","",VLOOKUP(B40,dagsoorttabel1,2,FALSE))</f>
        <v>1</v>
      </c>
      <c r="F40" s="69">
        <v>1</v>
      </c>
      <c r="G40" s="69">
        <f>IF(prodnorm38&gt;0,1/ROUND(prodnorm38,4),0)</f>
        <v>0</v>
      </c>
      <c r="H40" s="71">
        <f>ROUND(dagwerk38,4+2)</f>
        <v>0</v>
      </c>
      <c r="I40" s="60">
        <f>ROUND(uurtarief38,2)</f>
        <v>0</v>
      </c>
      <c r="J40" s="69">
        <v>48</v>
      </c>
      <c r="K40" s="69">
        <v>147.69999999999999</v>
      </c>
      <c r="L40" s="69">
        <v>224.6</v>
      </c>
    </row>
    <row r="41" spans="1:12" x14ac:dyDescent="0.35">
      <c r="A41" s="56" t="s">
        <v>258</v>
      </c>
      <c r="B41" s="56" t="s">
        <v>10</v>
      </c>
      <c r="C41" s="56" t="s">
        <v>4</v>
      </c>
      <c r="D41" s="56" t="s">
        <v>259</v>
      </c>
      <c r="E41" s="69">
        <f>IF(B41="","",VLOOKUP(B41,dagsoorttabel1,2,FALSE))</f>
        <v>1</v>
      </c>
      <c r="F41" s="69">
        <v>1</v>
      </c>
      <c r="G41" s="69">
        <v>1</v>
      </c>
      <c r="H41" s="71">
        <f>ROUND(dagwerk1,4+2)</f>
        <v>0</v>
      </c>
      <c r="I41" s="60">
        <f>ROUND(uurtarief1,2)</f>
        <v>0</v>
      </c>
      <c r="J41" s="69">
        <v>0</v>
      </c>
      <c r="K41" s="69">
        <v>4</v>
      </c>
      <c r="L41" s="69">
        <v>0</v>
      </c>
    </row>
    <row r="42" spans="1:12" x14ac:dyDescent="0.35">
      <c r="A42" s="61" t="s">
        <v>262</v>
      </c>
      <c r="B42" s="61" t="s">
        <v>10</v>
      </c>
      <c r="C42" s="61" t="s">
        <v>4</v>
      </c>
      <c r="D42" s="61" t="s">
        <v>259</v>
      </c>
      <c r="E42" s="72">
        <f>IF(B42="","",VLOOKUP(B42,dagsoorttabel1,2,FALSE))</f>
        <v>1</v>
      </c>
      <c r="F42" s="72">
        <v>1</v>
      </c>
      <c r="G42" s="72">
        <v>1</v>
      </c>
      <c r="H42" s="112">
        <f>ROUND(dagwerk2,4+2)</f>
        <v>0</v>
      </c>
      <c r="I42" s="65">
        <f>ROUND(uurtarief2,2)</f>
        <v>0</v>
      </c>
      <c r="J42" s="72">
        <v>0</v>
      </c>
      <c r="K42" s="72">
        <v>1.25</v>
      </c>
      <c r="L42" s="72">
        <v>0</v>
      </c>
    </row>
    <row r="43" spans="1:12" x14ac:dyDescent="0.35">
      <c r="A43" s="75" t="s">
        <v>264</v>
      </c>
      <c r="B43" s="76"/>
      <c r="C43" s="76"/>
      <c r="D43" s="76"/>
      <c r="E43" s="76"/>
      <c r="F43" s="76"/>
      <c r="G43" s="76"/>
      <c r="H43" s="76"/>
      <c r="I43" s="76"/>
      <c r="J43" s="113"/>
      <c r="K43" s="113"/>
      <c r="L43" s="113"/>
    </row>
    <row r="45" spans="1:12" x14ac:dyDescent="0.35">
      <c r="A45" s="51" t="s">
        <v>266</v>
      </c>
      <c r="B45" s="51" t="s">
        <v>13</v>
      </c>
      <c r="C45" s="51" t="s">
        <v>22</v>
      </c>
      <c r="D45" s="51" t="s">
        <v>218</v>
      </c>
      <c r="E45" s="66">
        <f>IF(B45="","",VLOOKUP(B45,dagsoorttabel2,2,FALSE))</f>
        <v>1</v>
      </c>
      <c r="F45" s="66">
        <v>1</v>
      </c>
      <c r="G45" s="66">
        <f>IF(prodnorm40&gt;0,1/ROUND(prodnorm40,4),0)</f>
        <v>0</v>
      </c>
      <c r="H45" s="68">
        <f>ROUND(dagwerk40,4+2)</f>
        <v>0</v>
      </c>
      <c r="I45" s="55">
        <f>ROUND(uurtarief40,2)</f>
        <v>0</v>
      </c>
      <c r="J45" s="66">
        <v>0</v>
      </c>
      <c r="K45" s="66">
        <v>0</v>
      </c>
      <c r="L45" s="66">
        <v>8</v>
      </c>
    </row>
    <row r="46" spans="1:12" x14ac:dyDescent="0.35">
      <c r="A46" s="56" t="s">
        <v>267</v>
      </c>
      <c r="B46" s="56" t="s">
        <v>13</v>
      </c>
      <c r="C46" s="56" t="s">
        <v>22</v>
      </c>
      <c r="D46" s="56" t="s">
        <v>218</v>
      </c>
      <c r="E46" s="69">
        <f>IF(B46="","",VLOOKUP(B46,dagsoorttabel2,2,FALSE))</f>
        <v>1</v>
      </c>
      <c r="F46" s="69">
        <v>1</v>
      </c>
      <c r="G46" s="69">
        <f>IF(prodnorm41&gt;0,1/ROUND(prodnorm41,4),0)</f>
        <v>0</v>
      </c>
      <c r="H46" s="71">
        <f>ROUND(dagwerk41,4+2)</f>
        <v>0</v>
      </c>
      <c r="I46" s="60">
        <f>ROUND(uurtarief41,2)</f>
        <v>0</v>
      </c>
      <c r="J46" s="69">
        <v>0</v>
      </c>
      <c r="K46" s="69">
        <v>0</v>
      </c>
      <c r="L46" s="69">
        <v>78</v>
      </c>
    </row>
    <row r="47" spans="1:12" x14ac:dyDescent="0.35">
      <c r="A47" s="56" t="s">
        <v>268</v>
      </c>
      <c r="B47" s="56" t="s">
        <v>13</v>
      </c>
      <c r="C47" s="56" t="s">
        <v>22</v>
      </c>
      <c r="D47" s="56" t="s">
        <v>218</v>
      </c>
      <c r="E47" s="69">
        <f>IF(B47="","",VLOOKUP(B47,dagsoorttabel2,2,FALSE))</f>
        <v>1</v>
      </c>
      <c r="F47" s="69">
        <v>1</v>
      </c>
      <c r="G47" s="69">
        <f>IF(prodnorm42&gt;0,1/ROUND(prodnorm42,4),0)</f>
        <v>0</v>
      </c>
      <c r="H47" s="71">
        <f>ROUND(dagwerk42,4+2)</f>
        <v>0</v>
      </c>
      <c r="I47" s="60">
        <f>ROUND(uurtarief42,2)</f>
        <v>0</v>
      </c>
      <c r="J47" s="69">
        <v>0</v>
      </c>
      <c r="K47" s="69">
        <v>1704</v>
      </c>
      <c r="L47" s="69">
        <v>4712</v>
      </c>
    </row>
    <row r="48" spans="1:12" x14ac:dyDescent="0.35">
      <c r="A48" s="56" t="s">
        <v>269</v>
      </c>
      <c r="B48" s="56" t="s">
        <v>13</v>
      </c>
      <c r="C48" s="56" t="s">
        <v>22</v>
      </c>
      <c r="D48" s="56" t="s">
        <v>218</v>
      </c>
      <c r="E48" s="69">
        <f>IF(B48="","",VLOOKUP(B48,dagsoorttabel2,2,FALSE))</f>
        <v>1</v>
      </c>
      <c r="F48" s="69">
        <v>1</v>
      </c>
      <c r="G48" s="69">
        <f>IF(prodnorm43&gt;0,1/ROUND(prodnorm43,4),0)</f>
        <v>0</v>
      </c>
      <c r="H48" s="71">
        <f>ROUND(dagwerk43,4+2)</f>
        <v>0</v>
      </c>
      <c r="I48" s="60">
        <f>ROUND(uurtarief43,2)</f>
        <v>0</v>
      </c>
      <c r="J48" s="69">
        <v>0</v>
      </c>
      <c r="K48" s="69">
        <v>0</v>
      </c>
      <c r="L48" s="69">
        <v>70</v>
      </c>
    </row>
    <row r="49" spans="1:12" x14ac:dyDescent="0.35">
      <c r="A49" s="56" t="s">
        <v>270</v>
      </c>
      <c r="B49" s="56" t="s">
        <v>13</v>
      </c>
      <c r="C49" s="56" t="s">
        <v>22</v>
      </c>
      <c r="D49" s="56" t="s">
        <v>218</v>
      </c>
      <c r="E49" s="69">
        <f>IF(B49="","",VLOOKUP(B49,dagsoorttabel2,2,FALSE))</f>
        <v>1</v>
      </c>
      <c r="F49" s="69">
        <v>1</v>
      </c>
      <c r="G49" s="69">
        <f>IF(prodnorm44&gt;0,1/ROUND(prodnorm44,4),0)</f>
        <v>0</v>
      </c>
      <c r="H49" s="71">
        <f>ROUND(dagwerk44,4+2)</f>
        <v>0</v>
      </c>
      <c r="I49" s="60">
        <f>ROUND(uurtarief44,2)</f>
        <v>0</v>
      </c>
      <c r="J49" s="69">
        <v>0</v>
      </c>
      <c r="K49" s="69">
        <v>53</v>
      </c>
      <c r="L49" s="69">
        <v>59</v>
      </c>
    </row>
    <row r="50" spans="1:12" x14ac:dyDescent="0.35">
      <c r="A50" s="56" t="s">
        <v>271</v>
      </c>
      <c r="B50" s="56" t="s">
        <v>23</v>
      </c>
      <c r="C50" s="56" t="s">
        <v>22</v>
      </c>
      <c r="D50" s="56" t="s">
        <v>218</v>
      </c>
      <c r="E50" s="69">
        <f>IF(B50="","",VLOOKUP(B50,dagsoorttabel2,2,FALSE))</f>
        <v>3</v>
      </c>
      <c r="F50" s="69">
        <v>1</v>
      </c>
      <c r="G50" s="69">
        <f>IF(prodnorm45&gt;0,1/ROUND(prodnorm45,4),0)</f>
        <v>0</v>
      </c>
      <c r="H50" s="71">
        <f>ROUND(dagwerk45,4+2)</f>
        <v>0</v>
      </c>
      <c r="I50" s="60">
        <f>ROUND(uurtarief45,2)</f>
        <v>0</v>
      </c>
      <c r="J50" s="69">
        <v>0</v>
      </c>
      <c r="K50" s="69">
        <v>31</v>
      </c>
      <c r="L50" s="69">
        <v>59</v>
      </c>
    </row>
    <row r="51" spans="1:12" x14ac:dyDescent="0.35">
      <c r="A51" s="56" t="s">
        <v>273</v>
      </c>
      <c r="B51" s="56" t="s">
        <v>13</v>
      </c>
      <c r="C51" s="56" t="s">
        <v>22</v>
      </c>
      <c r="D51" s="56" t="s">
        <v>218</v>
      </c>
      <c r="E51" s="69">
        <f>IF(B51="","",VLOOKUP(B51,dagsoorttabel2,2,FALSE))</f>
        <v>1</v>
      </c>
      <c r="F51" s="69">
        <v>1</v>
      </c>
      <c r="G51" s="69">
        <f>IF(prodnorm46&gt;0,1/ROUND(prodnorm46,4),0)</f>
        <v>0</v>
      </c>
      <c r="H51" s="71">
        <f>ROUND(dagwerk46,4+2)</f>
        <v>0</v>
      </c>
      <c r="I51" s="60">
        <f>ROUND(uurtarief46,2)</f>
        <v>0</v>
      </c>
      <c r="J51" s="69">
        <v>0</v>
      </c>
      <c r="K51" s="69">
        <v>1644</v>
      </c>
      <c r="L51" s="69">
        <v>313</v>
      </c>
    </row>
    <row r="52" spans="1:12" x14ac:dyDescent="0.35">
      <c r="A52" s="56" t="s">
        <v>274</v>
      </c>
      <c r="B52" s="56" t="s">
        <v>13</v>
      </c>
      <c r="C52" s="56" t="s">
        <v>22</v>
      </c>
      <c r="D52" s="56" t="s">
        <v>218</v>
      </c>
      <c r="E52" s="69">
        <f>IF(B52="","",VLOOKUP(B52,dagsoorttabel2,2,FALSE))</f>
        <v>1</v>
      </c>
      <c r="F52" s="69">
        <v>1</v>
      </c>
      <c r="G52" s="69">
        <f>IF(prodnorm47&gt;0,1/ROUND(prodnorm47,4),0)</f>
        <v>0</v>
      </c>
      <c r="H52" s="71">
        <f>ROUND(dagwerk47,4+2)</f>
        <v>0</v>
      </c>
      <c r="I52" s="60">
        <f>ROUND(uurtarief47,2)</f>
        <v>0</v>
      </c>
      <c r="J52" s="69">
        <v>0</v>
      </c>
      <c r="K52" s="69">
        <v>47</v>
      </c>
      <c r="L52" s="69">
        <v>0</v>
      </c>
    </row>
    <row r="53" spans="1:12" x14ac:dyDescent="0.35">
      <c r="A53" s="56" t="s">
        <v>275</v>
      </c>
      <c r="B53" s="56" t="s">
        <v>13</v>
      </c>
      <c r="C53" s="56" t="s">
        <v>22</v>
      </c>
      <c r="D53" s="56" t="s">
        <v>218</v>
      </c>
      <c r="E53" s="69">
        <f>IF(B53="","",VLOOKUP(B53,dagsoorttabel2,2,FALSE))</f>
        <v>1</v>
      </c>
      <c r="F53" s="69">
        <v>1</v>
      </c>
      <c r="G53" s="69">
        <f>IF(prodnorm48&gt;0,1/ROUND(prodnorm48,4),0)</f>
        <v>0</v>
      </c>
      <c r="H53" s="71">
        <f>ROUND(dagwerk48,4+2)</f>
        <v>0</v>
      </c>
      <c r="I53" s="60">
        <f>ROUND(uurtarief48,2)</f>
        <v>0</v>
      </c>
      <c r="J53" s="69">
        <v>0</v>
      </c>
      <c r="K53" s="69">
        <v>4</v>
      </c>
      <c r="L53" s="69">
        <v>55</v>
      </c>
    </row>
    <row r="54" spans="1:12" x14ac:dyDescent="0.35">
      <c r="A54" s="56" t="s">
        <v>276</v>
      </c>
      <c r="B54" s="56" t="s">
        <v>13</v>
      </c>
      <c r="C54" s="56" t="s">
        <v>22</v>
      </c>
      <c r="D54" s="56" t="s">
        <v>218</v>
      </c>
      <c r="E54" s="69">
        <f>IF(B54="","",VLOOKUP(B54,dagsoorttabel2,2,FALSE))</f>
        <v>1</v>
      </c>
      <c r="F54" s="69">
        <v>1</v>
      </c>
      <c r="G54" s="69">
        <f>IF(prodnorm49&gt;0,1/ROUND(prodnorm49,4),0)</f>
        <v>0</v>
      </c>
      <c r="H54" s="71">
        <f>ROUND(dagwerk49,4+2)</f>
        <v>0</v>
      </c>
      <c r="I54" s="60">
        <f>ROUND(uurtarief49,2)</f>
        <v>0</v>
      </c>
      <c r="J54" s="69">
        <v>0</v>
      </c>
      <c r="K54" s="69">
        <v>4</v>
      </c>
      <c r="L54" s="69">
        <v>0</v>
      </c>
    </row>
    <row r="55" spans="1:12" x14ac:dyDescent="0.35">
      <c r="A55" s="56" t="s">
        <v>277</v>
      </c>
      <c r="B55" s="56" t="s">
        <v>13</v>
      </c>
      <c r="C55" s="56" t="s">
        <v>22</v>
      </c>
      <c r="D55" s="56" t="s">
        <v>218</v>
      </c>
      <c r="E55" s="69">
        <f>IF(B55="","",VLOOKUP(B55,dagsoorttabel2,2,FALSE))</f>
        <v>1</v>
      </c>
      <c r="F55" s="69">
        <v>1</v>
      </c>
      <c r="G55" s="69">
        <f>IF(prodnorm50&gt;0,1/ROUND(prodnorm50,4),0)</f>
        <v>0</v>
      </c>
      <c r="H55" s="71">
        <f>ROUND(dagwerk50,4+2)</f>
        <v>0</v>
      </c>
      <c r="I55" s="60">
        <f>ROUND(uurtarief50,2)</f>
        <v>0</v>
      </c>
      <c r="J55" s="69">
        <v>0</v>
      </c>
      <c r="K55" s="69">
        <v>147.69999999999999</v>
      </c>
      <c r="L55" s="69">
        <v>224.6</v>
      </c>
    </row>
    <row r="56" spans="1:12" x14ac:dyDescent="0.35">
      <c r="A56" s="61" t="s">
        <v>278</v>
      </c>
      <c r="B56" s="61" t="s">
        <v>13</v>
      </c>
      <c r="C56" s="61" t="s">
        <v>22</v>
      </c>
      <c r="D56" s="61" t="s">
        <v>259</v>
      </c>
      <c r="E56" s="72">
        <f>IF(B56="","",VLOOKUP(B56,dagsoorttabel2,2,FALSE))</f>
        <v>1</v>
      </c>
      <c r="F56" s="72">
        <v>1</v>
      </c>
      <c r="G56" s="72">
        <v>1</v>
      </c>
      <c r="H56" s="112">
        <f>ROUND(dagwerk39,4+2)</f>
        <v>0</v>
      </c>
      <c r="I56" s="65">
        <f>ROUND(uurtarief39,2)</f>
        <v>0</v>
      </c>
      <c r="J56" s="72">
        <v>0</v>
      </c>
      <c r="K56" s="72">
        <v>1.25</v>
      </c>
      <c r="L56" s="72">
        <v>0</v>
      </c>
    </row>
    <row r="57" spans="1:12" x14ac:dyDescent="0.35">
      <c r="A57" s="75" t="s">
        <v>280</v>
      </c>
      <c r="B57" s="76"/>
      <c r="C57" s="76"/>
      <c r="D57" s="76"/>
      <c r="E57" s="76"/>
      <c r="F57" s="76"/>
      <c r="G57" s="76"/>
      <c r="H57" s="76"/>
      <c r="I57" s="76"/>
      <c r="J57" s="113"/>
      <c r="K57" s="113"/>
      <c r="L57" s="113"/>
    </row>
    <row r="59" spans="1:12" x14ac:dyDescent="0.35">
      <c r="A59" s="51" t="s">
        <v>282</v>
      </c>
      <c r="B59" s="51" t="s">
        <v>26</v>
      </c>
      <c r="C59" s="51" t="s">
        <v>24</v>
      </c>
      <c r="D59" s="51" t="s">
        <v>218</v>
      </c>
      <c r="E59" s="66">
        <f>IF(B59="","",VLOOKUP(B59,dagsoorttabel3,2,FALSE))</f>
        <v>1</v>
      </c>
      <c r="F59" s="66">
        <v>1</v>
      </c>
      <c r="G59" s="66">
        <f>IF(prodnorm52&gt;0,1/ROUND(prodnorm52,4),0)</f>
        <v>0</v>
      </c>
      <c r="H59" s="68">
        <f>ROUND(dagwerk52,4+2)</f>
        <v>0</v>
      </c>
      <c r="I59" s="55">
        <f>ROUND(uurtarief52,2)</f>
        <v>0</v>
      </c>
      <c r="J59" s="66">
        <v>0</v>
      </c>
      <c r="K59" s="66">
        <v>0</v>
      </c>
      <c r="L59" s="66">
        <v>8</v>
      </c>
    </row>
    <row r="60" spans="1:12" x14ac:dyDescent="0.35">
      <c r="A60" s="56" t="s">
        <v>283</v>
      </c>
      <c r="B60" s="56" t="s">
        <v>26</v>
      </c>
      <c r="C60" s="56" t="s">
        <v>24</v>
      </c>
      <c r="D60" s="56" t="s">
        <v>218</v>
      </c>
      <c r="E60" s="69">
        <f>IF(B60="","",VLOOKUP(B60,dagsoorttabel3,2,FALSE))</f>
        <v>1</v>
      </c>
      <c r="F60" s="69">
        <v>1</v>
      </c>
      <c r="G60" s="69">
        <f>IF(prodnorm53&gt;0,1/ROUND(prodnorm53,4),0)</f>
        <v>0</v>
      </c>
      <c r="H60" s="71">
        <f>ROUND(dagwerk53,4+2)</f>
        <v>0</v>
      </c>
      <c r="I60" s="60">
        <f>ROUND(uurtarief53,2)</f>
        <v>0</v>
      </c>
      <c r="J60" s="69">
        <v>0</v>
      </c>
      <c r="K60" s="69">
        <v>0</v>
      </c>
      <c r="L60" s="69">
        <v>78</v>
      </c>
    </row>
    <row r="61" spans="1:12" x14ac:dyDescent="0.35">
      <c r="A61" s="56" t="s">
        <v>284</v>
      </c>
      <c r="B61" s="56" t="s">
        <v>26</v>
      </c>
      <c r="C61" s="56" t="s">
        <v>24</v>
      </c>
      <c r="D61" s="56" t="s">
        <v>218</v>
      </c>
      <c r="E61" s="69">
        <f>IF(B61="","",VLOOKUP(B61,dagsoorttabel3,2,FALSE))</f>
        <v>1</v>
      </c>
      <c r="F61" s="69">
        <v>1</v>
      </c>
      <c r="G61" s="69">
        <f>IF(prodnorm54&gt;0,1/ROUND(prodnorm54,4),0)</f>
        <v>0</v>
      </c>
      <c r="H61" s="71">
        <f>ROUND(dagwerk54,4+2)</f>
        <v>0</v>
      </c>
      <c r="I61" s="60">
        <f>ROUND(uurtarief54,2)</f>
        <v>0</v>
      </c>
      <c r="J61" s="69">
        <v>0</v>
      </c>
      <c r="K61" s="69">
        <v>1704</v>
      </c>
      <c r="L61" s="69">
        <v>4712</v>
      </c>
    </row>
    <row r="62" spans="1:12" x14ac:dyDescent="0.35">
      <c r="A62" s="56" t="s">
        <v>285</v>
      </c>
      <c r="B62" s="56" t="s">
        <v>26</v>
      </c>
      <c r="C62" s="56" t="s">
        <v>24</v>
      </c>
      <c r="D62" s="56" t="s">
        <v>218</v>
      </c>
      <c r="E62" s="69">
        <f>IF(B62="","",VLOOKUP(B62,dagsoorttabel3,2,FALSE))</f>
        <v>1</v>
      </c>
      <c r="F62" s="69">
        <v>1</v>
      </c>
      <c r="G62" s="69">
        <f>IF(prodnorm55&gt;0,1/ROUND(prodnorm55,4),0)</f>
        <v>0</v>
      </c>
      <c r="H62" s="71">
        <f>ROUND(dagwerk55,4+2)</f>
        <v>0</v>
      </c>
      <c r="I62" s="60">
        <f>ROUND(uurtarief55,2)</f>
        <v>0</v>
      </c>
      <c r="J62" s="69">
        <v>0</v>
      </c>
      <c r="K62" s="69">
        <v>0</v>
      </c>
      <c r="L62" s="69">
        <v>70</v>
      </c>
    </row>
    <row r="63" spans="1:12" x14ac:dyDescent="0.35">
      <c r="A63" s="56" t="s">
        <v>286</v>
      </c>
      <c r="B63" s="56" t="s">
        <v>26</v>
      </c>
      <c r="C63" s="56" t="s">
        <v>24</v>
      </c>
      <c r="D63" s="56" t="s">
        <v>218</v>
      </c>
      <c r="E63" s="69">
        <f>IF(B63="","",VLOOKUP(B63,dagsoorttabel3,2,FALSE))</f>
        <v>1</v>
      </c>
      <c r="F63" s="69">
        <v>1</v>
      </c>
      <c r="G63" s="69">
        <f>IF(prodnorm56&gt;0,1/ROUND(prodnorm56,4),0)</f>
        <v>0</v>
      </c>
      <c r="H63" s="71">
        <f>ROUND(dagwerk56,4+2)</f>
        <v>0</v>
      </c>
      <c r="I63" s="60">
        <f>ROUND(uurtarief56,2)</f>
        <v>0</v>
      </c>
      <c r="J63" s="69">
        <v>0</v>
      </c>
      <c r="K63" s="69">
        <v>53</v>
      </c>
      <c r="L63" s="69">
        <v>59</v>
      </c>
    </row>
    <row r="64" spans="1:12" x14ac:dyDescent="0.35">
      <c r="A64" s="56" t="s">
        <v>287</v>
      </c>
      <c r="B64" s="56" t="s">
        <v>25</v>
      </c>
      <c r="C64" s="56" t="s">
        <v>24</v>
      </c>
      <c r="D64" s="56" t="s">
        <v>218</v>
      </c>
      <c r="E64" s="69">
        <f>IF(B64="","",VLOOKUP(B64,dagsoorttabel3,2,FALSE))</f>
        <v>3</v>
      </c>
      <c r="F64" s="69">
        <v>1</v>
      </c>
      <c r="G64" s="69">
        <f>IF(prodnorm57&gt;0,1/ROUND(prodnorm57,4),0)</f>
        <v>0</v>
      </c>
      <c r="H64" s="71">
        <f>ROUND(dagwerk57,4+2)</f>
        <v>0</v>
      </c>
      <c r="I64" s="60">
        <f>ROUND(uurtarief57,2)</f>
        <v>0</v>
      </c>
      <c r="J64" s="69">
        <v>0</v>
      </c>
      <c r="K64" s="69">
        <v>53</v>
      </c>
      <c r="L64" s="69">
        <v>59</v>
      </c>
    </row>
    <row r="65" spans="1:12" x14ac:dyDescent="0.35">
      <c r="A65" s="56" t="s">
        <v>288</v>
      </c>
      <c r="B65" s="56" t="s">
        <v>26</v>
      </c>
      <c r="C65" s="56" t="s">
        <v>24</v>
      </c>
      <c r="D65" s="56" t="s">
        <v>218</v>
      </c>
      <c r="E65" s="69">
        <f>IF(B65="","",VLOOKUP(B65,dagsoorttabel3,2,FALSE))</f>
        <v>1</v>
      </c>
      <c r="F65" s="69">
        <v>1</v>
      </c>
      <c r="G65" s="69">
        <f>IF(prodnorm58&gt;0,1/ROUND(prodnorm58,4),0)</f>
        <v>0</v>
      </c>
      <c r="H65" s="71">
        <f>ROUND(dagwerk58,4+2)</f>
        <v>0</v>
      </c>
      <c r="I65" s="60">
        <f>ROUND(uurtarief58,2)</f>
        <v>0</v>
      </c>
      <c r="J65" s="69">
        <v>0</v>
      </c>
      <c r="K65" s="69">
        <v>1644</v>
      </c>
      <c r="L65" s="69">
        <v>313</v>
      </c>
    </row>
    <row r="66" spans="1:12" x14ac:dyDescent="0.35">
      <c r="A66" s="56" t="s">
        <v>289</v>
      </c>
      <c r="B66" s="56" t="s">
        <v>26</v>
      </c>
      <c r="C66" s="56" t="s">
        <v>24</v>
      </c>
      <c r="D66" s="56" t="s">
        <v>218</v>
      </c>
      <c r="E66" s="69">
        <f>IF(B66="","",VLOOKUP(B66,dagsoorttabel3,2,FALSE))</f>
        <v>1</v>
      </c>
      <c r="F66" s="69">
        <v>1</v>
      </c>
      <c r="G66" s="69">
        <f>IF(prodnorm59&gt;0,1/ROUND(prodnorm59,4),0)</f>
        <v>0</v>
      </c>
      <c r="H66" s="71">
        <f>ROUND(dagwerk59,4+2)</f>
        <v>0</v>
      </c>
      <c r="I66" s="60">
        <f>ROUND(uurtarief59,2)</f>
        <v>0</v>
      </c>
      <c r="J66" s="69">
        <v>0</v>
      </c>
      <c r="K66" s="69">
        <v>47</v>
      </c>
      <c r="L66" s="69">
        <v>0</v>
      </c>
    </row>
    <row r="67" spans="1:12" x14ac:dyDescent="0.35">
      <c r="A67" s="56" t="s">
        <v>290</v>
      </c>
      <c r="B67" s="56" t="s">
        <v>26</v>
      </c>
      <c r="C67" s="56" t="s">
        <v>24</v>
      </c>
      <c r="D67" s="56" t="s">
        <v>218</v>
      </c>
      <c r="E67" s="69">
        <f>IF(B67="","",VLOOKUP(B67,dagsoorttabel3,2,FALSE))</f>
        <v>1</v>
      </c>
      <c r="F67" s="69">
        <v>1</v>
      </c>
      <c r="G67" s="69">
        <f>IF(prodnorm60&gt;0,1/ROUND(prodnorm60,4),0)</f>
        <v>0</v>
      </c>
      <c r="H67" s="71">
        <f>ROUND(dagwerk60,4+2)</f>
        <v>0</v>
      </c>
      <c r="I67" s="60">
        <f>ROUND(uurtarief60,2)</f>
        <v>0</v>
      </c>
      <c r="J67" s="69">
        <v>0</v>
      </c>
      <c r="K67" s="69">
        <v>4</v>
      </c>
      <c r="L67" s="69">
        <v>55</v>
      </c>
    </row>
    <row r="68" spans="1:12" x14ac:dyDescent="0.35">
      <c r="A68" s="56" t="s">
        <v>291</v>
      </c>
      <c r="B68" s="56" t="s">
        <v>26</v>
      </c>
      <c r="C68" s="56" t="s">
        <v>24</v>
      </c>
      <c r="D68" s="56" t="s">
        <v>218</v>
      </c>
      <c r="E68" s="69">
        <f>IF(B68="","",VLOOKUP(B68,dagsoorttabel3,2,FALSE))</f>
        <v>1</v>
      </c>
      <c r="F68" s="69">
        <v>1</v>
      </c>
      <c r="G68" s="69">
        <f>IF(prodnorm61&gt;0,1/ROUND(prodnorm61,4),0)</f>
        <v>0</v>
      </c>
      <c r="H68" s="71">
        <f>ROUND(dagwerk61,4+2)</f>
        <v>0</v>
      </c>
      <c r="I68" s="60">
        <f>ROUND(uurtarief61,2)</f>
        <v>0</v>
      </c>
      <c r="J68" s="69">
        <v>0</v>
      </c>
      <c r="K68" s="69">
        <v>4</v>
      </c>
      <c r="L68" s="69">
        <v>0</v>
      </c>
    </row>
    <row r="69" spans="1:12" x14ac:dyDescent="0.35">
      <c r="A69" s="56" t="s">
        <v>292</v>
      </c>
      <c r="B69" s="56" t="s">
        <v>26</v>
      </c>
      <c r="C69" s="56" t="s">
        <v>24</v>
      </c>
      <c r="D69" s="56" t="s">
        <v>218</v>
      </c>
      <c r="E69" s="69">
        <f>IF(B69="","",VLOOKUP(B69,dagsoorttabel3,2,FALSE))</f>
        <v>1</v>
      </c>
      <c r="F69" s="69">
        <v>1</v>
      </c>
      <c r="G69" s="69">
        <f>IF(prodnorm62&gt;0,1/ROUND(prodnorm62,4),0)</f>
        <v>0</v>
      </c>
      <c r="H69" s="71">
        <f>ROUND(dagwerk62,4+2)</f>
        <v>0</v>
      </c>
      <c r="I69" s="60">
        <f>ROUND(uurtarief62,2)</f>
        <v>0</v>
      </c>
      <c r="J69" s="69">
        <v>0</v>
      </c>
      <c r="K69" s="69">
        <v>147.69999999999999</v>
      </c>
      <c r="L69" s="69">
        <v>224.6</v>
      </c>
    </row>
    <row r="70" spans="1:12" x14ac:dyDescent="0.35">
      <c r="A70" s="61" t="s">
        <v>293</v>
      </c>
      <c r="B70" s="61" t="s">
        <v>26</v>
      </c>
      <c r="C70" s="61" t="s">
        <v>24</v>
      </c>
      <c r="D70" s="61" t="s">
        <v>259</v>
      </c>
      <c r="E70" s="72">
        <f>IF(B70="","",VLOOKUP(B70,dagsoorttabel3,2,FALSE))</f>
        <v>1</v>
      </c>
      <c r="F70" s="72">
        <v>1</v>
      </c>
      <c r="G70" s="72">
        <v>1</v>
      </c>
      <c r="H70" s="112">
        <f>ROUND(dagwerk51,4+2)</f>
        <v>0</v>
      </c>
      <c r="I70" s="65">
        <f>ROUND(uurtarief51,2)</f>
        <v>0</v>
      </c>
      <c r="J70" s="72">
        <v>0</v>
      </c>
      <c r="K70" s="72">
        <v>1.25</v>
      </c>
      <c r="L70" s="72">
        <v>0</v>
      </c>
    </row>
    <row r="71" spans="1:12" x14ac:dyDescent="0.35">
      <c r="A71" s="75" t="s">
        <v>295</v>
      </c>
      <c r="B71" s="76"/>
      <c r="C71" s="76"/>
      <c r="D71" s="76"/>
      <c r="E71" s="76"/>
      <c r="F71" s="76"/>
      <c r="G71" s="76"/>
      <c r="H71" s="76"/>
      <c r="I71" s="76"/>
      <c r="J71" s="113"/>
      <c r="K71" s="113"/>
      <c r="L71" s="113"/>
    </row>
  </sheetData>
  <sheetProtection algorithmName="SHA-512" hashValue="llaC1s1+7EB/sQQNiCOt036s92Qy5DaGbsR5QQOEQnDxL4Wh1E+Eo1OaMKPLiqqJ5ETxNYNF7S5nKaUQWjLPgA==" saltValue="gwk5jbYzhQ8/PCN99ZK/Og==" spinCount="100000" sheet="1" objects="1" scenarios="1" autoFilter="0"/>
  <pageMargins left="0.7" right="0.7" top="0.75" bottom="0.75" header="0.3" footer="0.3"/>
  <pageSetup paperSize="9" scale="70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AFA9-1AB4-44A1-AF0E-0EBD1E9B7E6E}">
  <dimension ref="A1:M26"/>
  <sheetViews>
    <sheetView workbookViewId="0"/>
  </sheetViews>
  <sheetFormatPr defaultRowHeight="14.5" x14ac:dyDescent="0.35"/>
  <cols>
    <col min="1" max="1" width="8.6328125" customWidth="1"/>
    <col min="2" max="2" width="28.6328125" customWidth="1"/>
    <col min="3" max="4" width="15.6328125" customWidth="1"/>
    <col min="5" max="5" width="6.1796875" customWidth="1"/>
    <col min="6" max="6" width="10.6328125" customWidth="1"/>
    <col min="7" max="9" width="12.1796875" customWidth="1"/>
    <col min="10" max="11" width="12.6328125" customWidth="1"/>
    <col min="12" max="12" width="14.6328125" customWidth="1"/>
    <col min="13" max="13" width="13.6328125" customWidth="1"/>
  </cols>
  <sheetData>
    <row r="1" spans="1:13" x14ac:dyDescent="0.35">
      <c r="A1" s="1" t="str">
        <f>CONCATENATE("Bijlage 3.6: ",tabeltype," objecten")</f>
        <v>Bijlage 3.6: Invultabel objecten</v>
      </c>
    </row>
    <row r="3" spans="1:13" ht="43.5" x14ac:dyDescent="0.35">
      <c r="A3" s="44" t="s">
        <v>298</v>
      </c>
      <c r="B3" s="44" t="s">
        <v>1096</v>
      </c>
      <c r="C3" s="44" t="s">
        <v>1097</v>
      </c>
      <c r="D3" s="44" t="s">
        <v>1098</v>
      </c>
      <c r="E3" s="44" t="s">
        <v>7</v>
      </c>
      <c r="F3" s="44" t="s">
        <v>1099</v>
      </c>
      <c r="G3" s="44" t="s">
        <v>1100</v>
      </c>
      <c r="H3" s="44" t="s">
        <v>1101</v>
      </c>
      <c r="I3" s="44" t="s">
        <v>1102</v>
      </c>
      <c r="J3" s="44" t="s">
        <v>1103</v>
      </c>
      <c r="K3" s="44" t="s">
        <v>215</v>
      </c>
      <c r="L3" s="44" t="s">
        <v>216</v>
      </c>
      <c r="M3" s="44" t="s">
        <v>1104</v>
      </c>
    </row>
    <row r="4" spans="1:13" x14ac:dyDescent="0.35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x14ac:dyDescent="0.35">
      <c r="A5" s="48" t="s">
        <v>103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x14ac:dyDescent="0.35">
      <c r="A6" s="51" t="s">
        <v>258</v>
      </c>
      <c r="B6" s="51" t="s">
        <v>1105</v>
      </c>
      <c r="C6" s="51"/>
      <c r="D6" s="51" t="s">
        <v>1106</v>
      </c>
      <c r="E6" s="114" t="s">
        <v>10</v>
      </c>
      <c r="F6" s="115">
        <f>gemuurtarief1</f>
        <v>0</v>
      </c>
      <c r="G6" s="66">
        <f>SUMPRODUCT(taakfreqtabel1,uurfactortabel1,kengetaltabel1,object1_opptabel1)*(1/VLOOKUP(E6,dagsoorttabel1,2,FALSE))</f>
        <v>0</v>
      </c>
      <c r="H6" s="66">
        <f>SUMPRODUCT(dagwerktabel1,taakfreqtabel1,uurfactortabel1,kengetaltabel1,object1_opptabel1)*(1/VLOOKUP(E6,dagsoorttabel1,2,FALSE))</f>
        <v>0</v>
      </c>
      <c r="I6" s="55">
        <f>SUMPRODUCT(taakfreqtabel1,kengetaltabel1,tarieftabel1,object1_opptabel1)*(1/VLOOKUP(E6,dagsoorttabel1,2,FALSE))</f>
        <v>0</v>
      </c>
      <c r="J6" s="66">
        <f>H6*dagenperjaar1*VLOOKUP(E6,dagsoorttabel1,2,FALSE)</f>
        <v>0</v>
      </c>
      <c r="K6" s="66">
        <f>G6*dagenperjaar1*VLOOKUP(E6,dagsoorttabel1,2,FALSE)</f>
        <v>0</v>
      </c>
      <c r="L6" s="55">
        <f>I6*dagenperjaar1*VLOOKUP(E6,dagsoorttabel1,2,FALSE)</f>
        <v>0</v>
      </c>
      <c r="M6" s="55">
        <f>L6/12</f>
        <v>0</v>
      </c>
    </row>
    <row r="7" spans="1:13" x14ac:dyDescent="0.35">
      <c r="A7" s="56" t="s">
        <v>468</v>
      </c>
      <c r="B7" s="56" t="s">
        <v>1107</v>
      </c>
      <c r="C7" s="56"/>
      <c r="D7" s="56" t="s">
        <v>1106</v>
      </c>
      <c r="E7" s="116" t="s">
        <v>10</v>
      </c>
      <c r="F7" s="117">
        <f>gemuurtarief1</f>
        <v>0</v>
      </c>
      <c r="G7" s="69">
        <f>SUMPRODUCT(taakfreqtabel1,uurfactortabel1,kengetaltabel1,object2_opptabel1)*(1/VLOOKUP(E7,dagsoorttabel1,2,FALSE))</f>
        <v>5.25</v>
      </c>
      <c r="H7" s="69">
        <f>SUMPRODUCT(dagwerktabel1,taakfreqtabel1,uurfactortabel1,kengetaltabel1,object2_opptabel1)*(1/VLOOKUP(E7,dagsoorttabel1,2,FALSE))</f>
        <v>0</v>
      </c>
      <c r="I7" s="60">
        <f>SUMPRODUCT(taakfreqtabel1,kengetaltabel1,tarieftabel1,object2_opptabel1)*(1/VLOOKUP(E7,dagsoorttabel1,2,FALSE))</f>
        <v>0</v>
      </c>
      <c r="J7" s="69">
        <f>H7*dagenperjaar1*VLOOKUP(E7,dagsoorttabel1,2,FALSE)</f>
        <v>0</v>
      </c>
      <c r="K7" s="69">
        <f>G7*dagenperjaar1*VLOOKUP(E7,dagsoorttabel1,2,FALSE)</f>
        <v>1338.75</v>
      </c>
      <c r="L7" s="60">
        <f>I7*dagenperjaar1*VLOOKUP(E7,dagsoorttabel1,2,FALSE)</f>
        <v>0</v>
      </c>
      <c r="M7" s="60">
        <f>L7/12</f>
        <v>0</v>
      </c>
    </row>
    <row r="8" spans="1:13" x14ac:dyDescent="0.35">
      <c r="A8" s="61" t="s">
        <v>803</v>
      </c>
      <c r="B8" s="61" t="s">
        <v>1108</v>
      </c>
      <c r="C8" s="61"/>
      <c r="D8" s="61" t="s">
        <v>1106</v>
      </c>
      <c r="E8" s="118" t="s">
        <v>10</v>
      </c>
      <c r="F8" s="119">
        <f>gemuurtarief1</f>
        <v>0</v>
      </c>
      <c r="G8" s="72">
        <f>SUMPRODUCT(taakfreqtabel1,uurfactortabel1,kengetaltabel1,object3_opptabel1)*(1/VLOOKUP(E8,dagsoorttabel1,2,FALSE))</f>
        <v>0</v>
      </c>
      <c r="H8" s="72">
        <f>SUMPRODUCT(dagwerktabel1,taakfreqtabel1,uurfactortabel1,kengetaltabel1,object3_opptabel1)*(1/VLOOKUP(E8,dagsoorttabel1,2,FALSE))</f>
        <v>0</v>
      </c>
      <c r="I8" s="65">
        <f>SUMPRODUCT(taakfreqtabel1,kengetaltabel1,tarieftabel1,object3_opptabel1)*(1/VLOOKUP(E8,dagsoorttabel1,2,FALSE))</f>
        <v>0</v>
      </c>
      <c r="J8" s="72">
        <f>H8*dagenperjaar1*VLOOKUP(E8,dagsoorttabel1,2,FALSE)</f>
        <v>0</v>
      </c>
      <c r="K8" s="72">
        <f>G8*dagenperjaar1*VLOOKUP(E8,dagsoorttabel1,2,FALSE)</f>
        <v>0</v>
      </c>
      <c r="L8" s="65">
        <f>I8*dagenperjaar1*VLOOKUP(E8,dagsoorttabel1,2,FALSE)</f>
        <v>0</v>
      </c>
      <c r="M8" s="65">
        <f>L8/12</f>
        <v>0</v>
      </c>
    </row>
    <row r="9" spans="1:13" x14ac:dyDescent="0.35">
      <c r="A9" s="75" t="s">
        <v>264</v>
      </c>
      <c r="B9" s="76"/>
      <c r="C9" s="76"/>
      <c r="D9" s="76"/>
      <c r="E9" s="76"/>
      <c r="F9" s="76"/>
      <c r="G9" s="76"/>
      <c r="H9" s="76"/>
      <c r="I9" s="76"/>
      <c r="J9" s="77">
        <f>SUM(J6:J8)</f>
        <v>0</v>
      </c>
      <c r="K9" s="77">
        <f>SUM(K6:K8)</f>
        <v>1338.75</v>
      </c>
      <c r="L9" s="78">
        <f>SUM(L6:L8)</f>
        <v>0</v>
      </c>
      <c r="M9" s="79">
        <f>SUM(M6:M8)</f>
        <v>0</v>
      </c>
    </row>
    <row r="10" spans="1:13" x14ac:dyDescent="0.35">
      <c r="A10" s="80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81"/>
    </row>
    <row r="11" spans="1:13" x14ac:dyDescent="0.3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1:13" x14ac:dyDescent="0.35">
      <c r="A12" s="48" t="s">
        <v>185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3" x14ac:dyDescent="0.35">
      <c r="A13" s="51" t="s">
        <v>468</v>
      </c>
      <c r="B13" s="51" t="s">
        <v>1107</v>
      </c>
      <c r="C13" s="51"/>
      <c r="D13" s="51" t="s">
        <v>1106</v>
      </c>
      <c r="E13" s="114" t="s">
        <v>13</v>
      </c>
      <c r="F13" s="115">
        <f>gemuurtarief2</f>
        <v>0</v>
      </c>
      <c r="G13" s="66">
        <f>SUMPRODUCT(taakfreqtabel2,uurfactortabel2,kengetaltabel2,object2_opptabel2)*(1/VLOOKUP(E13,dagsoorttabel2,2,FALSE))</f>
        <v>1.25</v>
      </c>
      <c r="H13" s="66">
        <f>SUMPRODUCT(dagwerktabel2,taakfreqtabel2,uurfactortabel2,kengetaltabel2,object2_opptabel2)*(1/VLOOKUP(E13,dagsoorttabel2,2,FALSE))</f>
        <v>0</v>
      </c>
      <c r="I13" s="55">
        <f>SUMPRODUCT(taakfreqtabel2,kengetaltabel2,tarieftabel2,object2_opptabel2)*(1/VLOOKUP(E13,dagsoorttabel2,2,FALSE))</f>
        <v>0</v>
      </c>
      <c r="J13" s="66">
        <f>H13*dagenperjaar2*VLOOKUP(E13,dagsoorttabel2,2,FALSE)</f>
        <v>0</v>
      </c>
      <c r="K13" s="66">
        <f>G13*dagenperjaar2*VLOOKUP(E13,dagsoorttabel2,2,FALSE)</f>
        <v>126.25</v>
      </c>
      <c r="L13" s="55">
        <f>I13*dagenperjaar2*VLOOKUP(E13,dagsoorttabel2,2,FALSE)</f>
        <v>0</v>
      </c>
      <c r="M13" s="55">
        <f>L13/12</f>
        <v>0</v>
      </c>
    </row>
    <row r="14" spans="1:13" x14ac:dyDescent="0.35">
      <c r="A14" s="61" t="s">
        <v>803</v>
      </c>
      <c r="B14" s="61" t="s">
        <v>1108</v>
      </c>
      <c r="C14" s="61"/>
      <c r="D14" s="61" t="s">
        <v>1106</v>
      </c>
      <c r="E14" s="118" t="s">
        <v>13</v>
      </c>
      <c r="F14" s="119">
        <f>gemuurtarief2</f>
        <v>0</v>
      </c>
      <c r="G14" s="72">
        <f>SUMPRODUCT(taakfreqtabel2,uurfactortabel2,kengetaltabel2,object3_opptabel2)*(1/VLOOKUP(E14,dagsoorttabel2,2,FALSE))</f>
        <v>0</v>
      </c>
      <c r="H14" s="72">
        <f>SUMPRODUCT(dagwerktabel2,taakfreqtabel2,uurfactortabel2,kengetaltabel2,object3_opptabel2)*(1/VLOOKUP(E14,dagsoorttabel2,2,FALSE))</f>
        <v>0</v>
      </c>
      <c r="I14" s="65">
        <f>SUMPRODUCT(taakfreqtabel2,kengetaltabel2,tarieftabel2,object3_opptabel2)*(1/VLOOKUP(E14,dagsoorttabel2,2,FALSE))</f>
        <v>0</v>
      </c>
      <c r="J14" s="72">
        <f>H14*dagenperjaar2*VLOOKUP(E14,dagsoorttabel2,2,FALSE)</f>
        <v>0</v>
      </c>
      <c r="K14" s="72">
        <f>G14*dagenperjaar2*VLOOKUP(E14,dagsoorttabel2,2,FALSE)</f>
        <v>0</v>
      </c>
      <c r="L14" s="65">
        <f>I14*dagenperjaar2*VLOOKUP(E14,dagsoorttabel2,2,FALSE)</f>
        <v>0</v>
      </c>
      <c r="M14" s="65">
        <f>L14/12</f>
        <v>0</v>
      </c>
    </row>
    <row r="15" spans="1:13" x14ac:dyDescent="0.35">
      <c r="A15" s="75" t="s">
        <v>280</v>
      </c>
      <c r="B15" s="76"/>
      <c r="C15" s="76"/>
      <c r="D15" s="76"/>
      <c r="E15" s="76"/>
      <c r="F15" s="76"/>
      <c r="G15" s="76"/>
      <c r="H15" s="76"/>
      <c r="I15" s="76"/>
      <c r="J15" s="77">
        <f>SUM(J13:J14)</f>
        <v>0</v>
      </c>
      <c r="K15" s="77">
        <f>SUM(K13:K14)</f>
        <v>126.25</v>
      </c>
      <c r="L15" s="78">
        <f>SUM(L13:L14)</f>
        <v>0</v>
      </c>
      <c r="M15" s="79">
        <f>SUM(M13:M14)</f>
        <v>0</v>
      </c>
    </row>
    <row r="16" spans="1:13" x14ac:dyDescent="0.35">
      <c r="A16" s="8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81"/>
    </row>
    <row r="17" spans="1:13" x14ac:dyDescent="0.3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</row>
    <row r="18" spans="1:13" x14ac:dyDescent="0.35">
      <c r="A18" s="48" t="s">
        <v>198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1:13" x14ac:dyDescent="0.35">
      <c r="A19" s="51" t="s">
        <v>468</v>
      </c>
      <c r="B19" s="51" t="s">
        <v>1107</v>
      </c>
      <c r="C19" s="51"/>
      <c r="D19" s="51" t="s">
        <v>1106</v>
      </c>
      <c r="E19" s="114" t="s">
        <v>26</v>
      </c>
      <c r="F19" s="115">
        <f>gemuurtarief3</f>
        <v>0</v>
      </c>
      <c r="G19" s="66">
        <f>SUMPRODUCT(taakfreqtabel3,uurfactortabel3,kengetaltabel3,object2_opptabel3)*(1/VLOOKUP(E19,dagsoorttabel3,2,FALSE))</f>
        <v>1.25</v>
      </c>
      <c r="H19" s="66">
        <f>SUMPRODUCT(dagwerktabel3,taakfreqtabel3,uurfactortabel3,kengetaltabel3,object2_opptabel3)*(1/VLOOKUP(E19,dagsoorttabel3,2,FALSE))</f>
        <v>0</v>
      </c>
      <c r="I19" s="55">
        <f>SUMPRODUCT(taakfreqtabel3,kengetaltabel3,tarieftabel3,object2_opptabel3)*(1/VLOOKUP(E19,dagsoorttabel3,2,FALSE))</f>
        <v>0</v>
      </c>
      <c r="J19" s="66">
        <f>H19*dagenperjaar3*VLOOKUP(E19,dagsoorttabel3,2,FALSE)</f>
        <v>0</v>
      </c>
      <c r="K19" s="66">
        <f>G19*dagenperjaar3*VLOOKUP(E19,dagsoorttabel3,2,FALSE)</f>
        <v>11.25</v>
      </c>
      <c r="L19" s="55">
        <f>I19*dagenperjaar3*VLOOKUP(E19,dagsoorttabel3,2,FALSE)</f>
        <v>0</v>
      </c>
      <c r="M19" s="55">
        <f>L19/12</f>
        <v>0</v>
      </c>
    </row>
    <row r="20" spans="1:13" x14ac:dyDescent="0.35">
      <c r="A20" s="61" t="s">
        <v>803</v>
      </c>
      <c r="B20" s="61" t="s">
        <v>1108</v>
      </c>
      <c r="C20" s="61"/>
      <c r="D20" s="61" t="s">
        <v>1106</v>
      </c>
      <c r="E20" s="118" t="s">
        <v>26</v>
      </c>
      <c r="F20" s="119">
        <f>gemuurtarief3</f>
        <v>0</v>
      </c>
      <c r="G20" s="72">
        <f>SUMPRODUCT(taakfreqtabel3,uurfactortabel3,kengetaltabel3,object3_opptabel3)*(1/VLOOKUP(E20,dagsoorttabel3,2,FALSE))</f>
        <v>0</v>
      </c>
      <c r="H20" s="72">
        <f>SUMPRODUCT(dagwerktabel3,taakfreqtabel3,uurfactortabel3,kengetaltabel3,object3_opptabel3)*(1/VLOOKUP(E20,dagsoorttabel3,2,FALSE))</f>
        <v>0</v>
      </c>
      <c r="I20" s="65">
        <f>SUMPRODUCT(taakfreqtabel3,kengetaltabel3,tarieftabel3,object3_opptabel3)*(1/VLOOKUP(E20,dagsoorttabel3,2,FALSE))</f>
        <v>0</v>
      </c>
      <c r="J20" s="72">
        <f>H20*dagenperjaar3*VLOOKUP(E20,dagsoorttabel3,2,FALSE)</f>
        <v>0</v>
      </c>
      <c r="K20" s="72">
        <f>G20*dagenperjaar3*VLOOKUP(E20,dagsoorttabel3,2,FALSE)</f>
        <v>0</v>
      </c>
      <c r="L20" s="65">
        <f>I20*dagenperjaar3*VLOOKUP(E20,dagsoorttabel3,2,FALSE)</f>
        <v>0</v>
      </c>
      <c r="M20" s="65">
        <f>L20/12</f>
        <v>0</v>
      </c>
    </row>
    <row r="21" spans="1:13" x14ac:dyDescent="0.35">
      <c r="A21" s="75" t="s">
        <v>295</v>
      </c>
      <c r="B21" s="76"/>
      <c r="C21" s="76"/>
      <c r="D21" s="76"/>
      <c r="E21" s="76"/>
      <c r="F21" s="76"/>
      <c r="G21" s="76"/>
      <c r="H21" s="76"/>
      <c r="I21" s="76"/>
      <c r="J21" s="77">
        <f>SUM(J19:J20)</f>
        <v>0</v>
      </c>
      <c r="K21" s="77">
        <f>SUM(K19:K20)</f>
        <v>11.25</v>
      </c>
      <c r="L21" s="78">
        <f>SUM(L19:L20)</f>
        <v>0</v>
      </c>
      <c r="M21" s="79">
        <f>SUM(M19:M20)</f>
        <v>0</v>
      </c>
    </row>
    <row r="22" spans="1:13" x14ac:dyDescent="0.35">
      <c r="A22" s="8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81"/>
    </row>
    <row r="24" spans="1:13" x14ac:dyDescent="0.35">
      <c r="A24" s="75" t="s">
        <v>1109</v>
      </c>
      <c r="B24" s="76"/>
      <c r="C24" s="76"/>
      <c r="D24" s="76"/>
      <c r="E24" s="76"/>
      <c r="F24" s="76"/>
      <c r="G24" s="76"/>
      <c r="H24" s="76"/>
      <c r="I24" s="76"/>
      <c r="J24" s="77">
        <f>urenjaartotaalhf1+urenjaartotaalhf2+urenjaartotaalhf3</f>
        <v>0</v>
      </c>
      <c r="K24" s="77">
        <f>urenjaartotaal1+urenjaartotaal2+urenjaartotaal3</f>
        <v>1476.25</v>
      </c>
      <c r="L24" s="78">
        <f>prijsjaartotaal1+prijsjaartotaal2+prijsjaartotaal3</f>
        <v>0</v>
      </c>
      <c r="M24" s="78">
        <f>prijsmaandtotaal1+prijsmaandtotaal2+prijsmaandtotaal3</f>
        <v>0</v>
      </c>
    </row>
    <row r="26" spans="1:13" x14ac:dyDescent="0.35">
      <c r="A26" s="75" t="s">
        <v>1110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8">
        <f>L24*1.21</f>
        <v>0</v>
      </c>
      <c r="M26" s="78">
        <f>M24*1.21</f>
        <v>0</v>
      </c>
    </row>
  </sheetData>
  <sheetProtection algorithmName="SHA-512" hashValue="csb6Il5XcLUgzfuVsSHXKGC42zMmpEXrAm+O8RFRVvP4pKC4bBtNCPCluRYgx3bcBeCnnxZRWd3LlUSgT9fhyA==" saltValue="8QwhcVdAmIM4ZmjA2eJcow==" spinCount="100000" sheet="1" objects="1" scenarios="1" autoFilter="0"/>
  <pageMargins left="0.7" right="0.7" top="0.75" bottom="0.75" header="0.3" footer="0.3"/>
  <pageSetup paperSize="9" scale="65" orientation="landscape" r:id="rId1"/>
  <headerFooter>
    <oddFooter>&amp;LStedelijk Museum                                            
CONCEPT PER 01-05-2026&amp;ROpmaakdatum: 16-12-2025
Intexso - Plantageweg 23E - Leusden
+31 (33) 2778485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E878B86CCE724FA929DD211EA7BC27" ma:contentTypeVersion="12" ma:contentTypeDescription="Een nieuw document maken." ma:contentTypeScope="" ma:versionID="fbedd82efc6e678618c9a7d3614b6b46">
  <xsd:schema xmlns:xsd="http://www.w3.org/2001/XMLSchema" xmlns:xs="http://www.w3.org/2001/XMLSchema" xmlns:p="http://schemas.microsoft.com/office/2006/metadata/properties" xmlns:ns2="e4c40ce5-efa0-4b57-8c60-e17317b7e006" xmlns:ns3="af10e4a3-6337-4606-8f32-1080d2164e94" targetNamespace="http://schemas.microsoft.com/office/2006/metadata/properties" ma:root="true" ma:fieldsID="4b127b50b7b68b26d62648b10ef84ae5" ns2:_="" ns3:_="">
    <xsd:import namespace="e4c40ce5-efa0-4b57-8c60-e17317b7e006"/>
    <xsd:import namespace="af10e4a3-6337-4606-8f32-1080d2164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0ce5-efa0-4b57-8c60-e17317b7e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32cab12-51b5-4bf0-bdef-611b11c809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0e4a3-6337-4606-8f32-1080d2164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c40ce5-efa0-4b57-8c60-e17317b7e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92B53C-E9F7-4347-8AE1-81AAC961205C}"/>
</file>

<file path=customXml/itemProps2.xml><?xml version="1.0" encoding="utf-8"?>
<ds:datastoreItem xmlns:ds="http://schemas.openxmlformats.org/officeDocument/2006/customXml" ds:itemID="{64F12007-EA17-4AC9-9C69-C93FAE7C95AA}"/>
</file>

<file path=customXml/itemProps3.xml><?xml version="1.0" encoding="utf-8"?>
<ds:datastoreItem xmlns:ds="http://schemas.openxmlformats.org/officeDocument/2006/customXml" ds:itemID="{C4F34595-0E5C-44DE-8BCE-7FE43B15D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735</vt:i4>
      </vt:variant>
    </vt:vector>
  </HeadingPairs>
  <TitlesOfParts>
    <vt:vector size="748" baseType="lpstr">
      <vt:lpstr>Omreken</vt:lpstr>
      <vt:lpstr>Tariefopbouw</vt:lpstr>
      <vt:lpstr>Categorienormen</vt:lpstr>
      <vt:lpstr>Regulier werk</vt:lpstr>
      <vt:lpstr>Ruimten werkdag</vt:lpstr>
      <vt:lpstr>Ruimten weekenddag</vt:lpstr>
      <vt:lpstr>Ruimten feestdag</vt:lpstr>
      <vt:lpstr>Objectinformatie</vt:lpstr>
      <vt:lpstr>Objecten</vt:lpstr>
      <vt:lpstr>Totaalblad Objecten</vt:lpstr>
      <vt:lpstr>Afroep incidenteel</vt:lpstr>
      <vt:lpstr>Regiewerk</vt:lpstr>
      <vt:lpstr>Totaal</vt:lpstr>
      <vt:lpstr>'Afroep incidenteel'!Afdruktitels</vt:lpstr>
      <vt:lpstr>Categorienormen!Afdruktitels</vt:lpstr>
      <vt:lpstr>Objecten!Afdruktitels</vt:lpstr>
      <vt:lpstr>Objectinformatie!Afdruktitels</vt:lpstr>
      <vt:lpstr>Regiewerk!Afdruktitels</vt:lpstr>
      <vt:lpstr>'Regulier werk'!Afdruktitels</vt:lpstr>
      <vt:lpstr>'Ruimten feestdag'!Afdruktitels</vt:lpstr>
      <vt:lpstr>'Ruimten weekenddag'!Afdruktitels</vt:lpstr>
      <vt:lpstr>'Ruimten werkdag'!Afdruktitels</vt:lpstr>
      <vt:lpstr>Tariefopbouw!Afdruktitels</vt:lpstr>
      <vt:lpstr>Totaal!Afdruktitels</vt:lpstr>
      <vt:lpstr>'Totaalblad Objecten'!Afdruktitels</vt:lpstr>
      <vt:lpstr>catdw_1_BKHB_1</vt:lpstr>
      <vt:lpstr>catdw_1_BKHV_51</vt:lpstr>
      <vt:lpstr>catdw_1_BKZB_1</vt:lpstr>
      <vt:lpstr>catdw_1_BKZV_51</vt:lpstr>
      <vt:lpstr>catdw_1_BVHB_1</vt:lpstr>
      <vt:lpstr>catdw_1_BVHV_51</vt:lpstr>
      <vt:lpstr>catdw_1_BVZB_1</vt:lpstr>
      <vt:lpstr>catdw_1_BVZV_51</vt:lpstr>
      <vt:lpstr>catdw_1_KPHB_1</vt:lpstr>
      <vt:lpstr>catdw_1_KPHV_51</vt:lpstr>
      <vt:lpstr>catdw_1_KRHB_1</vt:lpstr>
      <vt:lpstr>catdw_1_KRHV_51</vt:lpstr>
      <vt:lpstr>catdw_1_LAHB_1</vt:lpstr>
      <vt:lpstr>catdw_1_LAHV_51</vt:lpstr>
      <vt:lpstr>catdw_1_MAHB_1</vt:lpstr>
      <vt:lpstr>catdw_1_MAHV_12</vt:lpstr>
      <vt:lpstr>catdw_1_MAHV_51</vt:lpstr>
      <vt:lpstr>catdw_1_MEHB_1</vt:lpstr>
      <vt:lpstr>catdw_1_MEHV_51</vt:lpstr>
      <vt:lpstr>catdw_1_OAHB_1</vt:lpstr>
      <vt:lpstr>catdw_1_OAHV_12</vt:lpstr>
      <vt:lpstr>catdw_1_OAHV_51</vt:lpstr>
      <vt:lpstr>catdw_1_SDHB_1</vt:lpstr>
      <vt:lpstr>catdw_1_SDHV_51</vt:lpstr>
      <vt:lpstr>catdw_1_SKHB_1</vt:lpstr>
      <vt:lpstr>catdw_1_SKHV_51</vt:lpstr>
      <vt:lpstr>catdw_1_STHB_1</vt:lpstr>
      <vt:lpstr>catdw_1_STHV_51</vt:lpstr>
      <vt:lpstr>catdw_1_VAHB_1</vt:lpstr>
      <vt:lpstr>catdw_1_VAHV_12</vt:lpstr>
      <vt:lpstr>catdw_1_VAHV_51</vt:lpstr>
      <vt:lpstr>catdw_1_VAZB_1</vt:lpstr>
      <vt:lpstr>catdw_1_VAZV_51</vt:lpstr>
      <vt:lpstr>catdw_1_VEHB_1</vt:lpstr>
      <vt:lpstr>catdw_1_VEHV_51</vt:lpstr>
      <vt:lpstr>catdw_1_VEZB_1</vt:lpstr>
      <vt:lpstr>catdw_1_VEZV_51</vt:lpstr>
      <vt:lpstr>catdw_1_VLHB_1</vt:lpstr>
      <vt:lpstr>catdw_1_VLHV_12</vt:lpstr>
      <vt:lpstr>catdw_1_VLHV_51</vt:lpstr>
      <vt:lpstr>catdw_1_VTHB_1</vt:lpstr>
      <vt:lpstr>catdw_1_VTHV_12</vt:lpstr>
      <vt:lpstr>catdw_1_VTHV_2</vt:lpstr>
      <vt:lpstr>catdw_1_VTHV_51</vt:lpstr>
      <vt:lpstr>catdw_2_WKPHB_1</vt:lpstr>
      <vt:lpstr>catdw_2_WKRHB_1</vt:lpstr>
      <vt:lpstr>catdw_2_WMEHB_1</vt:lpstr>
      <vt:lpstr>catdw_2_WSKHB_1</vt:lpstr>
      <vt:lpstr>catdw_2_WSTHB_1</vt:lpstr>
      <vt:lpstr>catdw_2_WVAHB_1</vt:lpstr>
      <vt:lpstr>catdw_2_WVEHB_1</vt:lpstr>
      <vt:lpstr>catdw_2_WVEZB_1</vt:lpstr>
      <vt:lpstr>catdw_2_WVLHB_1</vt:lpstr>
      <vt:lpstr>catdw_2_WVTHB_1</vt:lpstr>
      <vt:lpstr>catdw_3_XKPHB_1</vt:lpstr>
      <vt:lpstr>catdw_3_XKRHB_1</vt:lpstr>
      <vt:lpstr>catdw_3_XMEHB_1</vt:lpstr>
      <vt:lpstr>catdw_3_XSKHB_1</vt:lpstr>
      <vt:lpstr>catdw_3_XSTHB_1</vt:lpstr>
      <vt:lpstr>catdw_3_XVAHB_1</vt:lpstr>
      <vt:lpstr>catdw_3_XVEHB_1</vt:lpstr>
      <vt:lpstr>catdw_3_XVEZB_1</vt:lpstr>
      <vt:lpstr>catdw_3_XVLHB_1</vt:lpstr>
      <vt:lpstr>catdw_3_XVTHB_1</vt:lpstr>
      <vt:lpstr>catfd_1_BKHB_1</vt:lpstr>
      <vt:lpstr>catfd_1_BKHV_51</vt:lpstr>
      <vt:lpstr>catfd_1_BKZB_1</vt:lpstr>
      <vt:lpstr>catfd_1_BKZV_51</vt:lpstr>
      <vt:lpstr>catfd_1_BVHB_1</vt:lpstr>
      <vt:lpstr>catfd_1_BVHV_51</vt:lpstr>
      <vt:lpstr>catfd_1_BVZB_1</vt:lpstr>
      <vt:lpstr>catfd_1_BVZV_51</vt:lpstr>
      <vt:lpstr>catfd_1_KPHB_1</vt:lpstr>
      <vt:lpstr>catfd_1_KPHV_51</vt:lpstr>
      <vt:lpstr>catfd_1_KRHB_1</vt:lpstr>
      <vt:lpstr>catfd_1_KRHV_51</vt:lpstr>
      <vt:lpstr>catfd_1_LAHB_1</vt:lpstr>
      <vt:lpstr>catfd_1_LAHV_51</vt:lpstr>
      <vt:lpstr>catfd_1_MAHB_1</vt:lpstr>
      <vt:lpstr>catfd_1_MAHV_12</vt:lpstr>
      <vt:lpstr>catfd_1_MAHV_51</vt:lpstr>
      <vt:lpstr>catfd_1_MEHB_1</vt:lpstr>
      <vt:lpstr>catfd_1_MEHV_51</vt:lpstr>
      <vt:lpstr>catfd_1_OAHB_1</vt:lpstr>
      <vt:lpstr>catfd_1_OAHV_12</vt:lpstr>
      <vt:lpstr>catfd_1_OAHV_51</vt:lpstr>
      <vt:lpstr>catfd_1_SDHB_1</vt:lpstr>
      <vt:lpstr>catfd_1_SDHV_51</vt:lpstr>
      <vt:lpstr>catfd_1_SKHB_1</vt:lpstr>
      <vt:lpstr>catfd_1_SKHV_51</vt:lpstr>
      <vt:lpstr>catfd_1_STHB_1</vt:lpstr>
      <vt:lpstr>catfd_1_STHV_51</vt:lpstr>
      <vt:lpstr>catfd_1_VAHB_1</vt:lpstr>
      <vt:lpstr>catfd_1_VAHV_12</vt:lpstr>
      <vt:lpstr>catfd_1_VAHV_51</vt:lpstr>
      <vt:lpstr>catfd_1_VAZB_1</vt:lpstr>
      <vt:lpstr>catfd_1_VAZV_51</vt:lpstr>
      <vt:lpstr>catfd_1_VEHB_1</vt:lpstr>
      <vt:lpstr>catfd_1_VEHV_51</vt:lpstr>
      <vt:lpstr>catfd_1_VEZB_1</vt:lpstr>
      <vt:lpstr>catfd_1_VEZV_51</vt:lpstr>
      <vt:lpstr>catfd_1_VLHB_1</vt:lpstr>
      <vt:lpstr>catfd_1_VLHV_12</vt:lpstr>
      <vt:lpstr>catfd_1_VLHV_51</vt:lpstr>
      <vt:lpstr>catfd_1_VTHB_1</vt:lpstr>
      <vt:lpstr>catfd_1_VTHV_12</vt:lpstr>
      <vt:lpstr>catfd_1_VTHV_2</vt:lpstr>
      <vt:lpstr>catfd_1_VTHV_51</vt:lpstr>
      <vt:lpstr>catfd_2_WKPHB_1</vt:lpstr>
      <vt:lpstr>catfd_2_WKRHB_1</vt:lpstr>
      <vt:lpstr>catfd_2_WMEHB_1</vt:lpstr>
      <vt:lpstr>catfd_2_WSKHB_1</vt:lpstr>
      <vt:lpstr>catfd_2_WSTHB_1</vt:lpstr>
      <vt:lpstr>catfd_2_WVAHB_1</vt:lpstr>
      <vt:lpstr>catfd_2_WVEHB_1</vt:lpstr>
      <vt:lpstr>catfd_2_WVEZB_1</vt:lpstr>
      <vt:lpstr>catfd_2_WVLHB_1</vt:lpstr>
      <vt:lpstr>catfd_2_WVTHB_1</vt:lpstr>
      <vt:lpstr>catfd_3_XKPHB_1</vt:lpstr>
      <vt:lpstr>catfd_3_XKRHB_1</vt:lpstr>
      <vt:lpstr>catfd_3_XMEHB_1</vt:lpstr>
      <vt:lpstr>catfd_3_XSKHB_1</vt:lpstr>
      <vt:lpstr>catfd_3_XSTHB_1</vt:lpstr>
      <vt:lpstr>catfd_3_XVAHB_1</vt:lpstr>
      <vt:lpstr>catfd_3_XVEHB_1</vt:lpstr>
      <vt:lpstr>catfd_3_XVEZB_1</vt:lpstr>
      <vt:lpstr>catfd_3_XVLHB_1</vt:lpstr>
      <vt:lpstr>catfd_3_XVTHB_1</vt:lpstr>
      <vt:lpstr>catpn_1_BKHB_1</vt:lpstr>
      <vt:lpstr>catpn_1_BKHV_51</vt:lpstr>
      <vt:lpstr>catpn_1_BKZB_1</vt:lpstr>
      <vt:lpstr>catpn_1_BKZV_51</vt:lpstr>
      <vt:lpstr>catpn_1_BVHB_1</vt:lpstr>
      <vt:lpstr>catpn_1_BVHV_51</vt:lpstr>
      <vt:lpstr>catpn_1_BVZB_1</vt:lpstr>
      <vt:lpstr>catpn_1_BVZV_51</vt:lpstr>
      <vt:lpstr>catpn_1_KPHB_1</vt:lpstr>
      <vt:lpstr>catpn_1_KPHV_51</vt:lpstr>
      <vt:lpstr>catpn_1_KRHB_1</vt:lpstr>
      <vt:lpstr>catpn_1_KRHV_51</vt:lpstr>
      <vt:lpstr>catpn_1_LAHB_1</vt:lpstr>
      <vt:lpstr>catpn_1_LAHV_51</vt:lpstr>
      <vt:lpstr>catpn_1_MAHB_1</vt:lpstr>
      <vt:lpstr>catpn_1_MAHV_12</vt:lpstr>
      <vt:lpstr>catpn_1_MAHV_51</vt:lpstr>
      <vt:lpstr>catpn_1_MEHB_1</vt:lpstr>
      <vt:lpstr>catpn_1_MEHV_51</vt:lpstr>
      <vt:lpstr>catpn_1_OAHB_1</vt:lpstr>
      <vt:lpstr>catpn_1_OAHV_12</vt:lpstr>
      <vt:lpstr>catpn_1_OAHV_51</vt:lpstr>
      <vt:lpstr>catpn_1_SDHB_1</vt:lpstr>
      <vt:lpstr>catpn_1_SDHV_51</vt:lpstr>
      <vt:lpstr>catpn_1_SKHB_1</vt:lpstr>
      <vt:lpstr>catpn_1_SKHV_51</vt:lpstr>
      <vt:lpstr>catpn_1_STHB_1</vt:lpstr>
      <vt:lpstr>catpn_1_STHV_51</vt:lpstr>
      <vt:lpstr>catpn_1_VAHB_1</vt:lpstr>
      <vt:lpstr>catpn_1_VAHV_12</vt:lpstr>
      <vt:lpstr>catpn_1_VAHV_51</vt:lpstr>
      <vt:lpstr>catpn_1_VAZB_1</vt:lpstr>
      <vt:lpstr>catpn_1_VAZV_51</vt:lpstr>
      <vt:lpstr>catpn_1_VEHB_1</vt:lpstr>
      <vt:lpstr>catpn_1_VEHV_51</vt:lpstr>
      <vt:lpstr>catpn_1_VEZB_1</vt:lpstr>
      <vt:lpstr>catpn_1_VEZV_51</vt:lpstr>
      <vt:lpstr>catpn_1_VLHB_1</vt:lpstr>
      <vt:lpstr>catpn_1_VLHV_12</vt:lpstr>
      <vt:lpstr>catpn_1_VLHV_51</vt:lpstr>
      <vt:lpstr>catpn_1_VTHB_1</vt:lpstr>
      <vt:lpstr>catpn_1_VTHV_12</vt:lpstr>
      <vt:lpstr>catpn_1_VTHV_2</vt:lpstr>
      <vt:lpstr>catpn_1_VTHV_51</vt:lpstr>
      <vt:lpstr>catpn_2_WKPHB_1</vt:lpstr>
      <vt:lpstr>catpn_2_WKRHB_1</vt:lpstr>
      <vt:lpstr>catpn_2_WMEHB_1</vt:lpstr>
      <vt:lpstr>catpn_2_WSKHB_1</vt:lpstr>
      <vt:lpstr>catpn_2_WSTHB_1</vt:lpstr>
      <vt:lpstr>catpn_2_WVAHB_1</vt:lpstr>
      <vt:lpstr>catpn_2_WVEHB_1</vt:lpstr>
      <vt:lpstr>catpn_2_WVEZB_1</vt:lpstr>
      <vt:lpstr>catpn_2_WVLHB_1</vt:lpstr>
      <vt:lpstr>catpn_2_WVTHB_1</vt:lpstr>
      <vt:lpstr>catpn_3_XKPHB_1</vt:lpstr>
      <vt:lpstr>catpn_3_XKRHB_1</vt:lpstr>
      <vt:lpstr>catpn_3_XMEHB_1</vt:lpstr>
      <vt:lpstr>catpn_3_XSKHB_1</vt:lpstr>
      <vt:lpstr>catpn_3_XSTHB_1</vt:lpstr>
      <vt:lpstr>catpn_3_XVAHB_1</vt:lpstr>
      <vt:lpstr>catpn_3_XVEHB_1</vt:lpstr>
      <vt:lpstr>catpn_3_XVEZB_1</vt:lpstr>
      <vt:lpstr>catpn_3_XVLHB_1</vt:lpstr>
      <vt:lpstr>catpn_3_XVTHB_1</vt:lpstr>
      <vt:lpstr>cattf_1_BKHB_1</vt:lpstr>
      <vt:lpstr>cattf_1_BKHV_51</vt:lpstr>
      <vt:lpstr>cattf_1_BKZB_1</vt:lpstr>
      <vt:lpstr>cattf_1_BKZV_51</vt:lpstr>
      <vt:lpstr>cattf_1_BVHB_1</vt:lpstr>
      <vt:lpstr>cattf_1_BVHV_51</vt:lpstr>
      <vt:lpstr>cattf_1_BVZB_1</vt:lpstr>
      <vt:lpstr>cattf_1_BVZV_51</vt:lpstr>
      <vt:lpstr>cattf_1_KPHB_1</vt:lpstr>
      <vt:lpstr>cattf_1_KPHV_51</vt:lpstr>
      <vt:lpstr>cattf_1_KRHB_1</vt:lpstr>
      <vt:lpstr>cattf_1_KRHV_51</vt:lpstr>
      <vt:lpstr>cattf_1_LAHB_1</vt:lpstr>
      <vt:lpstr>cattf_1_LAHV_51</vt:lpstr>
      <vt:lpstr>cattf_1_MAHB_1</vt:lpstr>
      <vt:lpstr>cattf_1_MAHV_12</vt:lpstr>
      <vt:lpstr>cattf_1_MAHV_51</vt:lpstr>
      <vt:lpstr>cattf_1_MEHB_1</vt:lpstr>
      <vt:lpstr>cattf_1_MEHV_51</vt:lpstr>
      <vt:lpstr>cattf_1_OAHB_1</vt:lpstr>
      <vt:lpstr>cattf_1_OAHV_12</vt:lpstr>
      <vt:lpstr>cattf_1_OAHV_51</vt:lpstr>
      <vt:lpstr>cattf_1_SDHB_1</vt:lpstr>
      <vt:lpstr>cattf_1_SDHV_51</vt:lpstr>
      <vt:lpstr>cattf_1_SKHB_1</vt:lpstr>
      <vt:lpstr>cattf_1_SKHV_51</vt:lpstr>
      <vt:lpstr>cattf_1_STHB_1</vt:lpstr>
      <vt:lpstr>cattf_1_STHV_51</vt:lpstr>
      <vt:lpstr>cattf_1_VAHB_1</vt:lpstr>
      <vt:lpstr>cattf_1_VAHV_12</vt:lpstr>
      <vt:lpstr>cattf_1_VAHV_51</vt:lpstr>
      <vt:lpstr>cattf_1_VAZB_1</vt:lpstr>
      <vt:lpstr>cattf_1_VAZV_51</vt:lpstr>
      <vt:lpstr>cattf_1_VEHB_1</vt:lpstr>
      <vt:lpstr>cattf_1_VEHV_51</vt:lpstr>
      <vt:lpstr>cattf_1_VEZB_1</vt:lpstr>
      <vt:lpstr>cattf_1_VEZV_51</vt:lpstr>
      <vt:lpstr>cattf_1_VLHB_1</vt:lpstr>
      <vt:lpstr>cattf_1_VLHV_12</vt:lpstr>
      <vt:lpstr>cattf_1_VLHV_51</vt:lpstr>
      <vt:lpstr>cattf_1_VTHB_1</vt:lpstr>
      <vt:lpstr>cattf_1_VTHV_12</vt:lpstr>
      <vt:lpstr>cattf_1_VTHV_2</vt:lpstr>
      <vt:lpstr>cattf_1_VTHV_51</vt:lpstr>
      <vt:lpstr>cattf_2_WKPHB_1</vt:lpstr>
      <vt:lpstr>cattf_2_WKRHB_1</vt:lpstr>
      <vt:lpstr>cattf_2_WMEHB_1</vt:lpstr>
      <vt:lpstr>cattf_2_WSKHB_1</vt:lpstr>
      <vt:lpstr>cattf_2_WSTHB_1</vt:lpstr>
      <vt:lpstr>cattf_2_WVAHB_1</vt:lpstr>
      <vt:lpstr>cattf_2_WVEHB_1</vt:lpstr>
      <vt:lpstr>cattf_2_WVEZB_1</vt:lpstr>
      <vt:lpstr>cattf_2_WVLHB_1</vt:lpstr>
      <vt:lpstr>cattf_2_WVTHB_1</vt:lpstr>
      <vt:lpstr>cattf_3_XKPHB_1</vt:lpstr>
      <vt:lpstr>cattf_3_XKRHB_1</vt:lpstr>
      <vt:lpstr>cattf_3_XMEHB_1</vt:lpstr>
      <vt:lpstr>cattf_3_XSKHB_1</vt:lpstr>
      <vt:lpstr>cattf_3_XSTHB_1</vt:lpstr>
      <vt:lpstr>cattf_3_XVAHB_1</vt:lpstr>
      <vt:lpstr>cattf_3_XVEHB_1</vt:lpstr>
      <vt:lpstr>cattf_3_XVEZB_1</vt:lpstr>
      <vt:lpstr>cattf_3_XVLHB_1</vt:lpstr>
      <vt:lpstr>cattf_3_XVTHB_1</vt:lpstr>
      <vt:lpstr>dagenperjaar1</vt:lpstr>
      <vt:lpstr>dagenperjaar2</vt:lpstr>
      <vt:lpstr>dagenperjaar3</vt:lpstr>
      <vt:lpstr>dagenperweek1</vt:lpstr>
      <vt:lpstr>dagenperweek2</vt:lpstr>
      <vt:lpstr>dagenperweek3</vt:lpstr>
      <vt:lpstr>dagsoorttabel1</vt:lpstr>
      <vt:lpstr>dagsoorttabel2</vt:lpstr>
      <vt:lpstr>dagsoorttabel3</vt:lpstr>
      <vt:lpstr>dagwerk1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dagwerk49</vt:lpstr>
      <vt:lpstr>dagwerk5</vt:lpstr>
      <vt:lpstr>dagwerk50</vt:lpstr>
      <vt:lpstr>dagwerk51</vt:lpstr>
      <vt:lpstr>dagwerk52</vt:lpstr>
      <vt:lpstr>dagwerk53</vt:lpstr>
      <vt:lpstr>dagwerk54</vt:lpstr>
      <vt:lpstr>dagwerk55</vt:lpstr>
      <vt:lpstr>dagwerk56</vt:lpstr>
      <vt:lpstr>dagwerk57</vt:lpstr>
      <vt:lpstr>dagwerk58</vt:lpstr>
      <vt:lpstr>dagwerk59</vt:lpstr>
      <vt:lpstr>dagwerk6</vt:lpstr>
      <vt:lpstr>dagwerk60</vt:lpstr>
      <vt:lpstr>dagwerk61</vt:lpstr>
      <vt:lpstr>dagwerk62</vt:lpstr>
      <vt:lpstr>dagwerk7</vt:lpstr>
      <vt:lpstr>dagwerk8</vt:lpstr>
      <vt:lpstr>dagwerk9</vt:lpstr>
      <vt:lpstr>dagwerktabel1</vt:lpstr>
      <vt:lpstr>dagwerktabel2</vt:lpstr>
      <vt:lpstr>dagwerktabel3</vt:lpstr>
      <vt:lpstr>gemuurtarief1</vt:lpstr>
      <vt:lpstr>gemuurtarief2</vt:lpstr>
      <vt:lpstr>gemuurtarief3</vt:lpstr>
      <vt:lpstr>kengetaltabel1</vt:lpstr>
      <vt:lpstr>kengetaltabel2</vt:lpstr>
      <vt:lpstr>kengetaltabel3</vt:lpstr>
      <vt:lpstr>object1_gemuurtarief1</vt:lpstr>
      <vt:lpstr>object1_opptabel1</vt:lpstr>
      <vt:lpstr>object1_opptabel2</vt:lpstr>
      <vt:lpstr>object1_opptabel3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object2_gemuurtarief2</vt:lpstr>
      <vt:lpstr>object2_gemuurtarief3</vt:lpstr>
      <vt:lpstr>object2_opptabel1</vt:lpstr>
      <vt:lpstr>object2_opptabel2</vt:lpstr>
      <vt:lpstr>object2_opptabel3</vt:lpstr>
      <vt:lpstr>object2_prijsdag1</vt:lpstr>
      <vt:lpstr>object2_prijsdag2</vt:lpstr>
      <vt:lpstr>object2_prijsdag3</vt:lpstr>
      <vt:lpstr>object2_prijsjaar1</vt:lpstr>
      <vt:lpstr>object2_prijsjaar2</vt:lpstr>
      <vt:lpstr>object2_prijsjaar3</vt:lpstr>
      <vt:lpstr>object2_urendag1</vt:lpstr>
      <vt:lpstr>object2_urendag2</vt:lpstr>
      <vt:lpstr>object2_urendag3</vt:lpstr>
      <vt:lpstr>object2_urendaghf1</vt:lpstr>
      <vt:lpstr>object2_urendaghf2</vt:lpstr>
      <vt:lpstr>object2_urendaghf3</vt:lpstr>
      <vt:lpstr>object2_urenjaar1</vt:lpstr>
      <vt:lpstr>object2_urenjaar2</vt:lpstr>
      <vt:lpstr>object2_urenjaar3</vt:lpstr>
      <vt:lpstr>object3_gemuurtarief1</vt:lpstr>
      <vt:lpstr>object3_gemuurtarief2</vt:lpstr>
      <vt:lpstr>object3_gemuurtarief3</vt:lpstr>
      <vt:lpstr>object3_opptabel1</vt:lpstr>
      <vt:lpstr>object3_opptabel2</vt:lpstr>
      <vt:lpstr>object3_opptabel3</vt:lpstr>
      <vt:lpstr>object3_prijsdag1</vt:lpstr>
      <vt:lpstr>object3_prijsdag2</vt:lpstr>
      <vt:lpstr>object3_prijsdag3</vt:lpstr>
      <vt:lpstr>object3_prijsjaar1</vt:lpstr>
      <vt:lpstr>object3_prijsjaar2</vt:lpstr>
      <vt:lpstr>object3_prijsjaar3</vt:lpstr>
      <vt:lpstr>object3_urendag1</vt:lpstr>
      <vt:lpstr>object3_urendag2</vt:lpstr>
      <vt:lpstr>object3_urendag3</vt:lpstr>
      <vt:lpstr>object3_urendaghf1</vt:lpstr>
      <vt:lpstr>object3_urendaghf2</vt:lpstr>
      <vt:lpstr>object3_urendaghf3</vt:lpstr>
      <vt:lpstr>object3_urenjaar1</vt:lpstr>
      <vt:lpstr>object3_urenjaar2</vt:lpstr>
      <vt:lpstr>object3_urenjaar3</vt:lpstr>
      <vt:lpstr>objectprijs1_1</vt:lpstr>
      <vt:lpstr>objectprijs2_1</vt:lpstr>
      <vt:lpstr>objectprijs2_2</vt:lpstr>
      <vt:lpstr>objectprijs2_3</vt:lpstr>
      <vt:lpstr>objectprijs3_1</vt:lpstr>
      <vt:lpstr>objectprijs3_2</vt:lpstr>
      <vt:lpstr>objectprijs3_3</vt:lpstr>
      <vt:lpstr>objecturen1_1</vt:lpstr>
      <vt:lpstr>objecturen2_1</vt:lpstr>
      <vt:lpstr>objecturen2_2</vt:lpstr>
      <vt:lpstr>objecturen2_3</vt:lpstr>
      <vt:lpstr>objecturen3_1</vt:lpstr>
      <vt:lpstr>objecturen3_2</vt:lpstr>
      <vt:lpstr>objecturen3_3</vt:lpstr>
      <vt:lpstr>objecturenhf1_1</vt:lpstr>
      <vt:lpstr>objecturenhf2_1</vt:lpstr>
      <vt:lpstr>objecturenhf2_2</vt:lpstr>
      <vt:lpstr>objecturenhf2_3</vt:lpstr>
      <vt:lpstr>objecturenhf3_1</vt:lpstr>
      <vt:lpstr>objecturenhf3_2</vt:lpstr>
      <vt:lpstr>objecturenhf3_3</vt:lpstr>
      <vt:lpstr>prijsdag1</vt:lpstr>
      <vt:lpstr>prijsdag2</vt:lpstr>
      <vt:lpstr>prijsdag3</vt:lpstr>
      <vt:lpstr>prijsjaar</vt:lpstr>
      <vt:lpstr>prijsjaar1</vt:lpstr>
      <vt:lpstr>prijsjaar2</vt:lpstr>
      <vt:lpstr>prijsjaar3</vt:lpstr>
      <vt:lpstr>prijsjaarregie</vt:lpstr>
      <vt:lpstr>prijsjaarregie1</vt:lpstr>
      <vt:lpstr>prijsjaartotaal</vt:lpstr>
      <vt:lpstr>prijsjaartotaal1</vt:lpstr>
      <vt:lpstr>prijsjaartotaal2</vt:lpstr>
      <vt:lpstr>prijsjaartotaal3</vt:lpstr>
      <vt:lpstr>prijsjaartotaaloverzicht</vt:lpstr>
      <vt:lpstr>prijsmaandtotaal1</vt:lpstr>
      <vt:lpstr>prijsmaandtotaal2</vt:lpstr>
      <vt:lpstr>prijsmaandtotaal3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prodnorm49</vt:lpstr>
      <vt:lpstr>prodnorm5</vt:lpstr>
      <vt:lpstr>prodnorm50</vt:lpstr>
      <vt:lpstr>prodnorm51</vt:lpstr>
      <vt:lpstr>prodnorm52</vt:lpstr>
      <vt:lpstr>prodnorm53</vt:lpstr>
      <vt:lpstr>prodnorm54</vt:lpstr>
      <vt:lpstr>prodnorm55</vt:lpstr>
      <vt:lpstr>prodnorm56</vt:lpstr>
      <vt:lpstr>prodnorm57</vt:lpstr>
      <vt:lpstr>prodnorm58</vt:lpstr>
      <vt:lpstr>prodnorm59</vt:lpstr>
      <vt:lpstr>prodnorm6</vt:lpstr>
      <vt:lpstr>prodnorm60</vt:lpstr>
      <vt:lpstr>prodnorm61</vt:lpstr>
      <vt:lpstr>prodnorm62</vt:lpstr>
      <vt:lpstr>prodnorm7</vt:lpstr>
      <vt:lpstr>prodnorm8</vt:lpstr>
      <vt:lpstr>prodnorm9</vt:lpstr>
      <vt:lpstr>taakfreqtabel1</vt:lpstr>
      <vt:lpstr>taakfreqtabel2</vt:lpstr>
      <vt:lpstr>taakfreqtabel3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Tariefopbouw6</vt:lpstr>
      <vt:lpstr>Tariefopbouw7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TariefOpbouwBasisloon9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TariefOpbouwDirecteKosten9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TariefOpbouwErvaring9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TariefOpbouwIndirecteKosten9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TariefOpbouwNaam9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TariefOpbouwRisicoWinst9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TariefOpbouwRisicoWinstPercentage9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TariefOpbouwTarief9</vt:lpstr>
      <vt:lpstr>TariefOpbouwTarief9DN</vt:lpstr>
      <vt:lpstr>TariefOpbouwTarief9W</vt:lpstr>
      <vt:lpstr>TariefOpbouwTarief9X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TariefOpbouwTotaalLoonkosten9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TariefOpbouwUurloon9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TariefOpbouwUurloonkosten9</vt:lpstr>
      <vt:lpstr>tarieftabel1</vt:lpstr>
      <vt:lpstr>tarieftabel2</vt:lpstr>
      <vt:lpstr>tarieftabel3</vt:lpstr>
      <vt:lpstr>TariefUitvoering1</vt:lpstr>
      <vt:lpstr>TariefUitvoering2</vt:lpstr>
      <vt:lpstr>TariefUitvoering3</vt:lpstr>
      <vt:lpstr>TariefUitvoering4</vt:lpstr>
      <vt:lpstr>TariefUitvoering5</vt:lpstr>
      <vt:lpstr>TariefUitvoering6</vt:lpstr>
      <vt:lpstr>TariefUitvoering7</vt:lpstr>
      <vt:lpstr>urendag1</vt:lpstr>
      <vt:lpstr>urendag2</vt:lpstr>
      <vt:lpstr>urendag3</vt:lpstr>
      <vt:lpstr>urenjaar</vt:lpstr>
      <vt:lpstr>urenjaar1</vt:lpstr>
      <vt:lpstr>urenjaar2</vt:lpstr>
      <vt:lpstr>urenjaar3</vt:lpstr>
      <vt:lpstr>urenjaartotaal</vt:lpstr>
      <vt:lpstr>urenjaartotaal1</vt:lpstr>
      <vt:lpstr>urenjaartotaal2</vt:lpstr>
      <vt:lpstr>urenjaartotaal3</vt:lpstr>
      <vt:lpstr>urenjaartotaalhf</vt:lpstr>
      <vt:lpstr>urenjaartotaalhf1</vt:lpstr>
      <vt:lpstr>urenjaartotaalhf2</vt:lpstr>
      <vt:lpstr>urenjaartotaalhf3</vt:lpstr>
      <vt:lpstr>urenjaartotaaloverzicht</vt:lpstr>
      <vt:lpstr>urenjaartotaaloverzichthf</vt:lpstr>
      <vt:lpstr>uurfactortabel1</vt:lpstr>
      <vt:lpstr>uurfactortabel2</vt:lpstr>
      <vt:lpstr>uurfactortabel3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  <vt:lpstr>uurtarief49</vt:lpstr>
      <vt:lpstr>uurtarief5</vt:lpstr>
      <vt:lpstr>uurtarief50</vt:lpstr>
      <vt:lpstr>uurtarief51</vt:lpstr>
      <vt:lpstr>uurtarief52</vt:lpstr>
      <vt:lpstr>uurtarief53</vt:lpstr>
      <vt:lpstr>uurtarief54</vt:lpstr>
      <vt:lpstr>uurtarief55</vt:lpstr>
      <vt:lpstr>uurtarief56</vt:lpstr>
      <vt:lpstr>uurtarief57</vt:lpstr>
      <vt:lpstr>uurtarief58</vt:lpstr>
      <vt:lpstr>uurtarief59</vt:lpstr>
      <vt:lpstr>uurtarief6</vt:lpstr>
      <vt:lpstr>uurtarief60</vt:lpstr>
      <vt:lpstr>uurtarief61</vt:lpstr>
      <vt:lpstr>uurtarief62</vt:lpstr>
      <vt:lpstr>uurtarief7</vt:lpstr>
      <vt:lpstr>uurtarief8</vt:lpstr>
      <vt:lpstr>uurtarief9</vt:lpstr>
      <vt:lpstr>vp_regie</vt:lpstr>
      <vt:lpstr>vp_regulier</vt:lpstr>
      <vt:lpstr>vp_variant</vt:lpstr>
      <vt:lpstr>vu_regulier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Boomsma</dc:creator>
  <cp:lastModifiedBy>Eric Boomsma</cp:lastModifiedBy>
  <dcterms:created xsi:type="dcterms:W3CDTF">2025-12-16T07:54:00Z</dcterms:created>
  <dcterms:modified xsi:type="dcterms:W3CDTF">2025-12-16T07:58:15Z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0x010100B2E878B86CCE724FA929DD211EA7BC27</vt:lpwstr>
  </property>
  <property fmtid="{D5CDD505-2E9C-101B-9397-08002B2CF9AE}" pid="3" name="MediaServiceImageTags">
    <vt:lpwstr/>
  </property>
</Properties>
</file>