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.sharepoint.com/sites/01265/Gedeelde documenten/General/Werkmappen/Ernst Schilpzand/01 - Projecten/13 - WS/gemaal Helsdeur/gemaal Werk W&amp;C/"/>
    </mc:Choice>
  </mc:AlternateContent>
  <xr:revisionPtr revIDLastSave="0" documentId="8_{C138B76C-ECA1-470E-BCD3-1FECA2DA4AC1}" xr6:coauthVersionLast="47" xr6:coauthVersionMax="47" xr10:uidLastSave="{00000000-0000-0000-0000-000000000000}"/>
  <workbookProtection lockStructure="1"/>
  <bookViews>
    <workbookView xWindow="-120" yWindow="-120" windowWidth="29040" windowHeight="15840" firstSheet="35" activeTab="41" xr2:uid="{0B906C56-1AC9-479F-8307-264808DF39D8}"/>
  </bookViews>
  <sheets>
    <sheet name="Test plan Electric Machines" sheetId="26" r:id="rId1"/>
    <sheet name="1. Machine Test Document" sheetId="14" r:id="rId2"/>
    <sheet name="1.1 Project Information" sheetId="42" r:id="rId3"/>
    <sheet name="1.2 Test approval" sheetId="43" r:id="rId4"/>
    <sheet name="2.1 Test Protocols" sheetId="13" r:id="rId5"/>
    <sheet name="3.1.1 Visual Inspection" sheetId="44" r:id="rId6"/>
    <sheet name="3.1.2 Visual Inspection" sheetId="45" r:id="rId7"/>
    <sheet name="3.1.3 Visual Inspection" sheetId="46" r:id="rId8"/>
    <sheet name="3.2. Basic Tests" sheetId="47" r:id="rId9"/>
    <sheet name="3.3 Insulation Resistance Cold" sheetId="17" r:id="rId10"/>
    <sheet name="3.4 Resistance Winding Cold" sheetId="4" r:id="rId11"/>
    <sheet name="3.5 RTD PT-100 Cold" sheetId="49" r:id="rId12"/>
    <sheet name="3.6 PTC stop" sheetId="9" r:id="rId13"/>
    <sheet name="3.7 PTC warning" sheetId="10" r:id="rId14"/>
    <sheet name="3.8 Insulation HiPot AC" sheetId="21" r:id="rId15"/>
    <sheet name="3.9 BEMF(Cold)" sheetId="11" r:id="rId16"/>
    <sheet name="3.10 Overspeed Test" sheetId="41" r:id="rId17"/>
    <sheet name="3.11 Temperature Rise Test ETD" sheetId="51" r:id="rId18"/>
    <sheet name="3.12 Temp. Rise Test Bearings" sheetId="52" r:id="rId19"/>
    <sheet name="3.13 Resistance Winding Hot" sheetId="6" r:id="rId20"/>
    <sheet name="3.14 Winding Rise Test Calc" sheetId="7" r:id="rId21"/>
    <sheet name="3.15.1 Load Test 1" sheetId="24" r:id="rId22"/>
    <sheet name="3.15.2 Load Test 2" sheetId="35" r:id="rId23"/>
    <sheet name="3.16 No-Load Test" sheetId="25" r:id="rId24"/>
    <sheet name="3.17.1 Vibration test" sheetId="37" r:id="rId25"/>
    <sheet name="3.17.2 Vibration test" sheetId="36" r:id="rId26"/>
    <sheet name="3.18.1 Noise test" sheetId="38" r:id="rId27"/>
    <sheet name="3.18.2 Noise test" sheetId="39" r:id="rId28"/>
    <sheet name="3.19 Locked Rotor Test" sheetId="53" r:id="rId29"/>
    <sheet name="3.20 BEMF(Hot)" sheetId="16" r:id="rId30"/>
    <sheet name="3.21 Insulation Resistance Hot" sheetId="19" r:id="rId31"/>
    <sheet name="3.22 RTD PT-100 Hot" sheetId="50" r:id="rId32"/>
    <sheet name="Annex 1.1  Spec. Machine" sheetId="28" r:id="rId33"/>
    <sheet name="Annex 1.2  Spec. Machine " sheetId="32" r:id="rId34"/>
    <sheet name="Annex 1.3  Spec. Machine " sheetId="33" r:id="rId35"/>
    <sheet name="Annex 2" sheetId="40" r:id="rId36"/>
    <sheet name="Annex 3.1 Specifications VFD" sheetId="29" r:id="rId37"/>
    <sheet name="Annex 3.2 Specifications VFD" sheetId="30" r:id="rId38"/>
    <sheet name="Annex 4  PT100" sheetId="31" r:id="rId39"/>
    <sheet name="Specification machine" sheetId="1" r:id="rId40"/>
    <sheet name="Settings (no)load" sheetId="34" r:id="rId41"/>
    <sheet name="Notes" sheetId="55" r:id="rId42"/>
  </sheets>
  <externalReferences>
    <externalReference r:id="rId43"/>
  </externalReferences>
  <definedNames>
    <definedName name="_Hlk146095846" localSheetId="1">'1. Machine Test Document'!#REF!</definedName>
    <definedName name="_Hlk146095846" localSheetId="4">'2.1 Test Protocols'!#REF!</definedName>
    <definedName name="_Hlk146095846" localSheetId="0">'Test plan Electric Machines'!#REF!</definedName>
    <definedName name="_Toc156308983" localSheetId="2">'1.1 Project Information'!$B$7</definedName>
    <definedName name="_Toc156308983" localSheetId="3">'1.2 Test approval'!#REF!</definedName>
    <definedName name="_Toc156308983" localSheetId="5">'3.1.1 Visual Inspection'!$B$6</definedName>
    <definedName name="_Toc156308983" localSheetId="6">'3.1.2 Visual Inspection'!$B$6</definedName>
    <definedName name="_Toc156308983" localSheetId="7">'3.1.3 Visual Inspection'!$B$6</definedName>
    <definedName name="_Toc156308983" localSheetId="8">'3.2. Basic Tests'!$B$6</definedName>
    <definedName name="_Toc156308984" localSheetId="2">'1.1 Project Information'!$B$16</definedName>
    <definedName name="_Toc156308984" localSheetId="3">'1.2 Test approval'!$B$9</definedName>
    <definedName name="_Toc156308984" localSheetId="5">'3.1.1 Visual Inspection'!#REF!</definedName>
    <definedName name="_Toc156308984" localSheetId="6">'3.1.2 Visual Inspection'!#REF!</definedName>
    <definedName name="_Toc156308984" localSheetId="7">'3.1.3 Visual Inspection'!#REF!</definedName>
    <definedName name="_Toc156308984" localSheetId="8">'3.2. Basic Tests'!#REF!</definedName>
    <definedName name="_Toc156308985" localSheetId="2">'1.1 Project Information'!$B$25</definedName>
    <definedName name="_Toc156308985" localSheetId="3">'1.2 Test approval'!$B$12</definedName>
    <definedName name="_Toc156308985" localSheetId="5">'3.1.1 Visual Inspection'!#REF!</definedName>
    <definedName name="_Toc156308985" localSheetId="6">'3.1.2 Visual Inspection'!#REF!</definedName>
    <definedName name="_Toc156308985" localSheetId="7">'3.1.3 Visual Inspection'!#REF!</definedName>
    <definedName name="_Toc156308985" localSheetId="8">'3.2. Basic Tests'!#REF!</definedName>
    <definedName name="_Toc156308986" localSheetId="2">'1.1 Project Information'!$H$7</definedName>
    <definedName name="_Toc156308986" localSheetId="3">'1.2 Test approval'!#REF!</definedName>
    <definedName name="_Toc156308986" localSheetId="5">'3.1.1 Visual Inspection'!$J$6</definedName>
    <definedName name="_Toc156308986" localSheetId="6">'3.1.2 Visual Inspection'!$J$6</definedName>
    <definedName name="_Toc156308986" localSheetId="7">'3.1.3 Visual Inspection'!$J$6</definedName>
    <definedName name="_Toc156308986" localSheetId="8">'3.2. Basic Tests'!$J$6</definedName>
    <definedName name="_Toc156308987" localSheetId="2">'1.1 Project Information'!$H$16</definedName>
    <definedName name="_Toc156308987" localSheetId="3">'1.2 Test approval'!$F$9</definedName>
    <definedName name="_Toc156308987" localSheetId="5">'3.1.1 Visual Inspection'!#REF!</definedName>
    <definedName name="_Toc156308987" localSheetId="6">'3.1.2 Visual Inspection'!#REF!</definedName>
    <definedName name="_Toc156308987" localSheetId="7">'3.1.3 Visual Inspection'!#REF!</definedName>
    <definedName name="_Toc156308987" localSheetId="8">'3.2. Basic Tests'!#REF!</definedName>
    <definedName name="_Toc156308988" localSheetId="2">'1.1 Project Information'!$H$25</definedName>
    <definedName name="_Toc156308988" localSheetId="3">'1.2 Test approval'!$F$12</definedName>
    <definedName name="_Toc156308988" localSheetId="5">'3.1.1 Visual Inspection'!#REF!</definedName>
    <definedName name="_Toc156308988" localSheetId="6">'3.1.2 Visual Inspection'!#REF!</definedName>
    <definedName name="_Toc156308988" localSheetId="7">'3.1.3 Visual Inspection'!#REF!</definedName>
    <definedName name="_Toc156308988" localSheetId="8">'3.2. Basic Tests'!#REF!</definedName>
    <definedName name="_Toc156308991" localSheetId="3">'1.2 Test approval'!$B$6</definedName>
    <definedName name="_Toc156308992" localSheetId="3">'1.2 Test approval'!#REF!</definedName>
    <definedName name="_Toc156309008" localSheetId="7">'3.1.3 Visual Inspection'!$B$8</definedName>
    <definedName name="_Toc156309008" localSheetId="8">'3.2. Basic Tests'!$B$8</definedName>
    <definedName name="_Toc156309047" localSheetId="36">'Annex 3.1 Specifications VFD'!#REF!</definedName>
    <definedName name="_Toc156309047" localSheetId="37">'Annex 3.2 Specifications VFD'!$B$5</definedName>
    <definedName name="_Toc156309047" localSheetId="38">'Annex 4  PT100'!$B$4</definedName>
    <definedName name="_Toc156309050" localSheetId="35">'Annex 2'!$B$2</definedName>
    <definedName name="_xlnm.Print_Area" localSheetId="1">'1. Machine Test Document'!$B$2:$I$35</definedName>
    <definedName name="_xlnm.Print_Area" localSheetId="2">'1.1 Project Information'!$B$2:$I$32</definedName>
    <definedName name="_xlnm.Print_Area" localSheetId="3">'1.2 Test approval'!$B$7:$F$21</definedName>
    <definedName name="_xlnm.Print_Area" localSheetId="4">'2.1 Test Protocols'!$A$1:$H$35</definedName>
    <definedName name="_xlnm.Print_Area" localSheetId="5">'3.1.1 Visual Inspection'!$B$1:$K$38</definedName>
    <definedName name="_xlnm.Print_Area" localSheetId="6">'3.1.2 Visual Inspection'!$B$2:$K$32</definedName>
    <definedName name="_xlnm.Print_Area" localSheetId="7">'3.1.3 Visual Inspection'!$A$6:$K$36</definedName>
    <definedName name="_xlnm.Print_Area" localSheetId="16">'3.10 Overspeed Test'!#REF!</definedName>
    <definedName name="_xlnm.Print_Area" localSheetId="17">'3.11 Temperature Rise Test ETD'!#REF!</definedName>
    <definedName name="_xlnm.Print_Area" localSheetId="18">'3.12 Temp. Rise Test Bearings'!#REF!</definedName>
    <definedName name="_xlnm.Print_Area" localSheetId="19">'3.13 Resistance Winding Hot'!$B$2:$L$18</definedName>
    <definedName name="_xlnm.Print_Area" localSheetId="20">'3.14 Winding Rise Test Calc'!$B$1:$K$23</definedName>
    <definedName name="_xlnm.Print_Area" localSheetId="21">'3.15.1 Load Test 1'!$A$1:$W$31</definedName>
    <definedName name="_xlnm.Print_Area" localSheetId="22">'3.15.2 Load Test 2'!$A$1:$W$31</definedName>
    <definedName name="_xlnm.Print_Area" localSheetId="23">'3.16 No-Load Test'!$A$1:$Q$31</definedName>
    <definedName name="_xlnm.Print_Area" localSheetId="24">'3.17.1 Vibration test'!#REF!</definedName>
    <definedName name="_xlnm.Print_Area" localSheetId="25">'3.17.2 Vibration test'!#REF!</definedName>
    <definedName name="_xlnm.Print_Area" localSheetId="27">'3.18.2 Noise test'!#REF!</definedName>
    <definedName name="_xlnm.Print_Area" localSheetId="28">'3.19 Locked Rotor Test'!$A$2:$I$37</definedName>
    <definedName name="_xlnm.Print_Area" localSheetId="8">'3.2. Basic Tests'!$B$1:$K$16</definedName>
    <definedName name="_xlnm.Print_Area" localSheetId="29">'3.20 BEMF(Hot)'!$A$2:$I$36</definedName>
    <definedName name="_xlnm.Print_Area" localSheetId="30">'3.21 Insulation Resistance Hot'!$A$2:$H$35</definedName>
    <definedName name="_xlnm.Print_Area" localSheetId="31">'3.22 RTD PT-100 Hot'!#REF!</definedName>
    <definedName name="_xlnm.Print_Area" localSheetId="9">'3.3 Insulation Resistance Cold'!$A$2:$H$35</definedName>
    <definedName name="_xlnm.Print_Area" localSheetId="10">'3.4 Resistance Winding Cold'!$B$3:$K$17</definedName>
    <definedName name="_xlnm.Print_Area" localSheetId="11">'3.5 RTD PT-100 Cold'!#REF!</definedName>
    <definedName name="_xlnm.Print_Area" localSheetId="12">'3.6 PTC stop'!$B$2:$K$32</definedName>
    <definedName name="_xlnm.Print_Area" localSheetId="13">'3.7 PTC warning'!$B$1:$K$32</definedName>
    <definedName name="_xlnm.Print_Area" localSheetId="14">'3.8 Insulation HiPot AC'!$B$3:$H$35</definedName>
    <definedName name="_xlnm.Print_Area" localSheetId="15">'3.9 BEMF(Cold)'!$A$2:$H$36</definedName>
    <definedName name="_xlnm.Print_Area" localSheetId="35">'Annex 2'!$A$2:$J$39</definedName>
    <definedName name="_xlnm.Print_Area" localSheetId="41">Notes!$A$1:$C$45</definedName>
    <definedName name="_xlnm.Print_Area" localSheetId="40">'Settings (no)load'!#REF!</definedName>
    <definedName name="_xlnm.Print_Area" localSheetId="0">'Test plan Electric Machines'!$A$1:$M$40</definedName>
    <definedName name="_xlnm.Print_Titles" localSheetId="35">'Annex 2'!$2:$7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8" l="1"/>
  <c r="G22" i="28"/>
  <c r="E23" i="28"/>
  <c r="F23" i="28"/>
  <c r="E22" i="28"/>
  <c r="F22" i="28"/>
  <c r="F21" i="28"/>
  <c r="E21" i="28"/>
  <c r="E27" i="28"/>
  <c r="F27" i="28"/>
  <c r="G27" i="28"/>
  <c r="G28" i="28"/>
  <c r="F28" i="28"/>
  <c r="E28" i="28"/>
  <c r="G37" i="28"/>
  <c r="F37" i="28"/>
  <c r="E37" i="28"/>
  <c r="G36" i="28"/>
  <c r="F36" i="28"/>
  <c r="E36" i="28"/>
  <c r="G35" i="28"/>
  <c r="F35" i="28"/>
  <c r="E35" i="28"/>
  <c r="G34" i="28"/>
  <c r="F34" i="28"/>
  <c r="E34" i="28"/>
  <c r="E33" i="28"/>
  <c r="F31" i="28"/>
  <c r="E31" i="28"/>
  <c r="F30" i="28"/>
  <c r="E30" i="28"/>
  <c r="G16" i="28"/>
  <c r="G15" i="28"/>
  <c r="F15" i="28"/>
  <c r="E16" i="28"/>
  <c r="E15" i="28"/>
  <c r="B36" i="32"/>
  <c r="B6" i="34"/>
  <c r="B9" i="34"/>
  <c r="Q28" i="35" s="1"/>
  <c r="F27" i="35"/>
  <c r="F28" i="35"/>
  <c r="F29" i="35"/>
  <c r="F30" i="35"/>
  <c r="F31" i="35"/>
  <c r="M27" i="35"/>
  <c r="M28" i="35"/>
  <c r="M29" i="35"/>
  <c r="M30" i="35"/>
  <c r="M31" i="35"/>
  <c r="M22" i="34"/>
  <c r="M23" i="34"/>
  <c r="M24" i="34"/>
  <c r="M25" i="34"/>
  <c r="M21" i="34"/>
  <c r="M12" i="34"/>
  <c r="M11" i="34"/>
  <c r="M10" i="34"/>
  <c r="M29" i="24" s="1"/>
  <c r="M9" i="34"/>
  <c r="M28" i="24" s="1"/>
  <c r="M8" i="34"/>
  <c r="M27" i="24" s="1"/>
  <c r="M31" i="24"/>
  <c r="M30" i="24"/>
  <c r="R27" i="35" a="1"/>
  <c r="R27" i="35" s="1"/>
  <c r="R22" i="35"/>
  <c r="R21" i="35"/>
  <c r="R20" i="35"/>
  <c r="R19" i="35"/>
  <c r="R18" i="35"/>
  <c r="R13" i="35"/>
  <c r="R12" i="35"/>
  <c r="R11" i="35"/>
  <c r="R10" i="35"/>
  <c r="R9" i="35"/>
  <c r="B9" i="35"/>
  <c r="C9" i="35"/>
  <c r="E9" i="35"/>
  <c r="B10" i="35"/>
  <c r="C10" i="35"/>
  <c r="E10" i="35"/>
  <c r="B11" i="35"/>
  <c r="C11" i="35"/>
  <c r="E11" i="35"/>
  <c r="B12" i="35"/>
  <c r="C12" i="35"/>
  <c r="E12" i="35"/>
  <c r="B13" i="35"/>
  <c r="C13" i="35"/>
  <c r="E13" i="35"/>
  <c r="B9" i="24"/>
  <c r="E9" i="24"/>
  <c r="B10" i="24"/>
  <c r="E10" i="24"/>
  <c r="B11" i="24"/>
  <c r="E11" i="24"/>
  <c r="B12" i="24"/>
  <c r="E12" i="24"/>
  <c r="B13" i="24"/>
  <c r="E13" i="24"/>
  <c r="N36" i="34"/>
  <c r="A36" i="34"/>
  <c r="B29" i="34"/>
  <c r="L36" i="34" s="1"/>
  <c r="B17" i="34"/>
  <c r="K24" i="34"/>
  <c r="I23" i="34"/>
  <c r="K23" i="34"/>
  <c r="I22" i="34"/>
  <c r="J22" i="34" s="1"/>
  <c r="I24" i="34"/>
  <c r="J24" i="34" s="1"/>
  <c r="I25" i="34"/>
  <c r="I21" i="34"/>
  <c r="J21" i="34" s="1"/>
  <c r="K22" i="34"/>
  <c r="K25" i="34"/>
  <c r="K21" i="34"/>
  <c r="B8" i="34"/>
  <c r="H22" i="34" s="1"/>
  <c r="D10" i="35" s="1"/>
  <c r="B16" i="34"/>
  <c r="C18" i="34" s="1"/>
  <c r="K9" i="34"/>
  <c r="F28" i="24" s="1"/>
  <c r="B7" i="34"/>
  <c r="G8" i="16"/>
  <c r="E8" i="16"/>
  <c r="C43" i="1"/>
  <c r="F16" i="28" s="1"/>
  <c r="F43" i="1"/>
  <c r="C4" i="16"/>
  <c r="K30" i="24"/>
  <c r="R22" i="24"/>
  <c r="R21" i="24"/>
  <c r="R20" i="24"/>
  <c r="R19" i="24"/>
  <c r="R18" i="24"/>
  <c r="R10" i="24"/>
  <c r="R11" i="24"/>
  <c r="R12" i="24"/>
  <c r="R13" i="24"/>
  <c r="R9" i="24"/>
  <c r="C10" i="9"/>
  <c r="F142" i="1"/>
  <c r="E10" i="9" s="1"/>
  <c r="C198" i="1"/>
  <c r="D26" i="51" s="1"/>
  <c r="C197" i="1"/>
  <c r="C59" i="1"/>
  <c r="M58" i="1"/>
  <c r="N58" i="1" s="1"/>
  <c r="M57" i="1"/>
  <c r="N57" i="1" s="1"/>
  <c r="M56" i="1"/>
  <c r="C60" i="1" s="1"/>
  <c r="L58" i="1"/>
  <c r="F56" i="1" s="1"/>
  <c r="L57" i="1"/>
  <c r="L56" i="1"/>
  <c r="F57" i="1" s="1"/>
  <c r="G12" i="6"/>
  <c r="G11" i="6"/>
  <c r="G10" i="6"/>
  <c r="G12" i="4"/>
  <c r="G11" i="4"/>
  <c r="G10" i="4"/>
  <c r="B199" i="1"/>
  <c r="D199" i="1"/>
  <c r="B200" i="1"/>
  <c r="D200" i="1"/>
  <c r="B207" i="1"/>
  <c r="D16" i="4"/>
  <c r="D16" i="6"/>
  <c r="H25" i="34" l="1"/>
  <c r="D13" i="35" s="1"/>
  <c r="H21" i="34"/>
  <c r="D9" i="35" s="1"/>
  <c r="H24" i="34"/>
  <c r="D12" i="35" s="1"/>
  <c r="H23" i="34"/>
  <c r="D11" i="35" s="1"/>
  <c r="Q27" i="35"/>
  <c r="Q28" i="24"/>
  <c r="Q31" i="24"/>
  <c r="Q30" i="35"/>
  <c r="Q31" i="35"/>
  <c r="Q30" i="24"/>
  <c r="Q29" i="35"/>
  <c r="Q27" i="24"/>
  <c r="Q29" i="24"/>
  <c r="C36" i="34"/>
  <c r="F36" i="34"/>
  <c r="I36" i="34"/>
  <c r="H12" i="34"/>
  <c r="D13" i="24" s="1"/>
  <c r="K8" i="34"/>
  <c r="F27" i="24" s="1"/>
  <c r="K12" i="34"/>
  <c r="F31" i="24" s="1"/>
  <c r="K10" i="34"/>
  <c r="F29" i="24" s="1"/>
  <c r="K11" i="34"/>
  <c r="F30" i="24" s="1"/>
  <c r="G21" i="34"/>
  <c r="F21" i="34" s="1"/>
  <c r="J25" i="34"/>
  <c r="G25" i="34" s="1"/>
  <c r="F25" i="34" s="1"/>
  <c r="G24" i="34"/>
  <c r="F24" i="34" s="1"/>
  <c r="J23" i="34"/>
  <c r="G23" i="34" s="1"/>
  <c r="F23" i="34" s="1"/>
  <c r="G22" i="34"/>
  <c r="F22" i="34" s="1"/>
  <c r="H9" i="34"/>
  <c r="D10" i="24" s="1"/>
  <c r="H10" i="34"/>
  <c r="D11" i="24" s="1"/>
  <c r="H11" i="34"/>
  <c r="D12" i="24" s="1"/>
  <c r="H8" i="34"/>
  <c r="D9" i="24" s="1"/>
  <c r="I8" i="34"/>
  <c r="J8" i="34" s="1"/>
  <c r="I11" i="34"/>
  <c r="J11" i="34" s="1"/>
  <c r="I10" i="34"/>
  <c r="J10" i="34" s="1"/>
  <c r="I9" i="34"/>
  <c r="J9" i="34" s="1"/>
  <c r="G9" i="34" s="1"/>
  <c r="C10" i="24" s="1"/>
  <c r="I12" i="34"/>
  <c r="J12" i="34" s="1"/>
  <c r="G12" i="34" s="1"/>
  <c r="C13" i="24" s="1"/>
  <c r="F11" i="7"/>
  <c r="F12" i="7"/>
  <c r="D24" i="51"/>
  <c r="N56" i="1"/>
  <c r="D25" i="51"/>
  <c r="F10" i="7"/>
  <c r="G8" i="34" l="1"/>
  <c r="C9" i="24" s="1"/>
  <c r="G11" i="34"/>
  <c r="C12" i="24" s="1"/>
  <c r="G10" i="34"/>
  <c r="C11" i="24" s="1"/>
  <c r="F28" i="1"/>
  <c r="E19" i="33"/>
  <c r="G71" i="1"/>
  <c r="C40" i="1"/>
  <c r="G32" i="53"/>
  <c r="G33" i="53"/>
  <c r="G34" i="53"/>
  <c r="G35" i="53"/>
  <c r="G36" i="53"/>
  <c r="G31" i="53"/>
  <c r="D32" i="53"/>
  <c r="D33" i="53"/>
  <c r="D34" i="53"/>
  <c r="D35" i="53"/>
  <c r="D36" i="53"/>
  <c r="D31" i="53"/>
  <c r="B25" i="14"/>
  <c r="E10" i="6"/>
  <c r="C36" i="1"/>
  <c r="F29" i="30"/>
  <c r="R31" i="35" a="1"/>
  <c r="R31" i="35" s="1"/>
  <c r="R30" i="35" a="1"/>
  <c r="R30" i="35" s="1"/>
  <c r="R29" i="35" a="1"/>
  <c r="R29" i="35" s="1"/>
  <c r="R28" i="35" a="1"/>
  <c r="R28" i="35" s="1"/>
  <c r="R28" i="24" a="1"/>
  <c r="R28" i="24" s="1"/>
  <c r="R29" i="24" a="1"/>
  <c r="R29" i="24" s="1"/>
  <c r="R30" i="24" a="1"/>
  <c r="R30" i="24" s="1"/>
  <c r="R31" i="24" a="1"/>
  <c r="R31" i="24" s="1"/>
  <c r="R27" i="24" a="1"/>
  <c r="R27" i="24" s="1"/>
  <c r="T11" i="24"/>
  <c r="S11" i="24"/>
  <c r="S19" i="35"/>
  <c r="T19" i="35"/>
  <c r="U19" i="35"/>
  <c r="S20" i="35"/>
  <c r="T20" i="35"/>
  <c r="U20" i="35"/>
  <c r="S21" i="35"/>
  <c r="T21" i="35"/>
  <c r="U21" i="35"/>
  <c r="S22" i="35"/>
  <c r="T22" i="35"/>
  <c r="U22" i="35"/>
  <c r="U18" i="35"/>
  <c r="T18" i="35"/>
  <c r="S18" i="35"/>
  <c r="S10" i="35"/>
  <c r="T10" i="35"/>
  <c r="U10" i="35"/>
  <c r="S11" i="35"/>
  <c r="T11" i="35"/>
  <c r="U11" i="35"/>
  <c r="S12" i="35"/>
  <c r="T12" i="35"/>
  <c r="U12" i="35"/>
  <c r="S13" i="35"/>
  <c r="T13" i="35"/>
  <c r="U13" i="35"/>
  <c r="U9" i="35"/>
  <c r="T9" i="35"/>
  <c r="S9" i="35"/>
  <c r="U18" i="24"/>
  <c r="U19" i="24"/>
  <c r="U20" i="24"/>
  <c r="U21" i="24"/>
  <c r="U22" i="24"/>
  <c r="S19" i="24"/>
  <c r="T19" i="24"/>
  <c r="S20" i="24"/>
  <c r="T20" i="24"/>
  <c r="S21" i="24"/>
  <c r="T21" i="24"/>
  <c r="S22" i="24"/>
  <c r="T22" i="24"/>
  <c r="T18" i="24"/>
  <c r="S18" i="24"/>
  <c r="U12" i="24"/>
  <c r="T12" i="24"/>
  <c r="S12" i="24"/>
  <c r="S13" i="24"/>
  <c r="T13" i="24"/>
  <c r="U13" i="24"/>
  <c r="S9" i="24"/>
  <c r="T9" i="24"/>
  <c r="U9" i="24"/>
  <c r="S10" i="24"/>
  <c r="T10" i="24"/>
  <c r="U10" i="24"/>
  <c r="U11" i="24"/>
  <c r="D7" i="32"/>
  <c r="D36" i="32"/>
  <c r="D34" i="32"/>
  <c r="I31" i="35" l="1"/>
  <c r="J31" i="35" s="1"/>
  <c r="O31" i="35" s="1"/>
  <c r="I30" i="35"/>
  <c r="J30" i="35" s="1"/>
  <c r="O30" i="35" s="1"/>
  <c r="I29" i="35"/>
  <c r="J29" i="35" s="1"/>
  <c r="O29" i="35" s="1"/>
  <c r="I28" i="35"/>
  <c r="J28" i="35" s="1"/>
  <c r="O28" i="35" s="1"/>
  <c r="I27" i="35"/>
  <c r="J27" i="35" s="1"/>
  <c r="O27" i="35" s="1"/>
  <c r="I27" i="24"/>
  <c r="J27" i="24" s="1"/>
  <c r="O27" i="24" s="1"/>
  <c r="I28" i="24"/>
  <c r="J28" i="24" s="1"/>
  <c r="O28" i="24" s="1"/>
  <c r="I29" i="24"/>
  <c r="J29" i="24" s="1"/>
  <c r="O29" i="24" s="1"/>
  <c r="I31" i="24"/>
  <c r="J31" i="24" s="1"/>
  <c r="O31" i="24" s="1"/>
  <c r="I30" i="24"/>
  <c r="J30" i="24" s="1"/>
  <c r="O30" i="24" s="1"/>
  <c r="L70" i="1"/>
  <c r="G70" i="1"/>
  <c r="E70" i="1"/>
  <c r="C9" i="45"/>
  <c r="J28" i="1"/>
  <c r="L37" i="1"/>
  <c r="J70" i="1" l="1"/>
  <c r="F10" i="28"/>
  <c r="J69" i="1"/>
  <c r="F16" i="9"/>
  <c r="C23" i="52"/>
  <c r="C22" i="52"/>
  <c r="G9" i="52"/>
  <c r="G9" i="51"/>
  <c r="C25" i="51"/>
  <c r="E25" i="51" s="1"/>
  <c r="C26" i="51"/>
  <c r="E26" i="51" s="1"/>
  <c r="C24" i="51"/>
  <c r="F24" i="51" s="1"/>
  <c r="G26" i="16"/>
  <c r="G27" i="16" s="1"/>
  <c r="G28" i="16" s="1"/>
  <c r="G26" i="11"/>
  <c r="G27" i="11" s="1"/>
  <c r="G28" i="11" s="1"/>
  <c r="B14" i="11"/>
  <c r="E23" i="50"/>
  <c r="E22" i="50"/>
  <c r="E21" i="50"/>
  <c r="E20" i="50"/>
  <c r="E19" i="50"/>
  <c r="E18" i="50"/>
  <c r="E17" i="50"/>
  <c r="E16" i="50"/>
  <c r="E15" i="50"/>
  <c r="E14" i="50"/>
  <c r="G5" i="50"/>
  <c r="F5" i="50"/>
  <c r="F2" i="50"/>
  <c r="G5" i="49"/>
  <c r="F5" i="49"/>
  <c r="E15" i="49"/>
  <c r="E16" i="49"/>
  <c r="E17" i="49"/>
  <c r="E18" i="49"/>
  <c r="E19" i="49"/>
  <c r="E20" i="49"/>
  <c r="E21" i="49"/>
  <c r="E22" i="49"/>
  <c r="E23" i="49"/>
  <c r="E14" i="49"/>
  <c r="F2" i="49"/>
  <c r="G30" i="33"/>
  <c r="G31" i="33"/>
  <c r="G32" i="33"/>
  <c r="G33" i="33"/>
  <c r="G34" i="33"/>
  <c r="G37" i="33"/>
  <c r="G38" i="33"/>
  <c r="F30" i="33"/>
  <c r="F31" i="33"/>
  <c r="F32" i="33"/>
  <c r="F33" i="33"/>
  <c r="F34" i="33"/>
  <c r="F35" i="33"/>
  <c r="F36" i="33"/>
  <c r="F37" i="33"/>
  <c r="F38" i="33"/>
  <c r="E25" i="33"/>
  <c r="E30" i="33"/>
  <c r="E31" i="33"/>
  <c r="E32" i="33"/>
  <c r="E33" i="33"/>
  <c r="E34" i="33"/>
  <c r="E35" i="33"/>
  <c r="E36" i="33"/>
  <c r="E37" i="33"/>
  <c r="E38" i="33"/>
  <c r="C8" i="47"/>
  <c r="C10" i="47"/>
  <c r="C9" i="47"/>
  <c r="C12" i="46"/>
  <c r="C11" i="46"/>
  <c r="C10" i="46"/>
  <c r="C9" i="46"/>
  <c r="C8" i="46"/>
  <c r="C27" i="45"/>
  <c r="C26" i="45"/>
  <c r="C23" i="45"/>
  <c r="C25" i="45"/>
  <c r="C24" i="45"/>
  <c r="C11" i="45"/>
  <c r="C38" i="44"/>
  <c r="C27" i="44"/>
  <c r="C26" i="44"/>
  <c r="G25" i="44"/>
  <c r="C24" i="44"/>
  <c r="C25" i="44"/>
  <c r="C23" i="44"/>
  <c r="C18" i="44"/>
  <c r="C19" i="44"/>
  <c r="C17" i="44"/>
  <c r="C16" i="44"/>
  <c r="C15" i="44"/>
  <c r="C14" i="44"/>
  <c r="C13" i="44"/>
  <c r="C12" i="44"/>
  <c r="C11" i="44"/>
  <c r="C11" i="42"/>
  <c r="C10" i="44"/>
  <c r="C8" i="44"/>
  <c r="C9" i="44"/>
  <c r="C14" i="42"/>
  <c r="C13" i="42"/>
  <c r="C10" i="42"/>
  <c r="D29" i="41"/>
  <c r="C16" i="38"/>
  <c r="C15" i="38"/>
  <c r="D14" i="38"/>
  <c r="C14" i="38"/>
  <c r="C12" i="38" s="1"/>
  <c r="F29" i="39"/>
  <c r="D11" i="38"/>
  <c r="C11" i="38"/>
  <c r="C6" i="37"/>
  <c r="D6" i="37"/>
  <c r="D5" i="37"/>
  <c r="C5" i="37"/>
  <c r="C4" i="37"/>
  <c r="D3" i="37"/>
  <c r="C3" i="37"/>
  <c r="F30" i="36"/>
  <c r="D35" i="11"/>
  <c r="P9" i="25"/>
  <c r="O9" i="25"/>
  <c r="N9" i="25"/>
  <c r="M9" i="25"/>
  <c r="L9" i="25"/>
  <c r="K9" i="25"/>
  <c r="H9" i="25"/>
  <c r="G9" i="25"/>
  <c r="F9" i="25"/>
  <c r="D9" i="25"/>
  <c r="E9" i="25"/>
  <c r="C9" i="25"/>
  <c r="K28" i="24"/>
  <c r="L28" i="24" s="1"/>
  <c r="K29" i="24"/>
  <c r="L29" i="24" s="1"/>
  <c r="L30" i="24"/>
  <c r="K31" i="24"/>
  <c r="L31" i="24" s="1"/>
  <c r="E22" i="35"/>
  <c r="E31" i="35" s="1"/>
  <c r="E21" i="35"/>
  <c r="E30" i="35" s="1"/>
  <c r="E29" i="35"/>
  <c r="E28" i="35"/>
  <c r="E27" i="35"/>
  <c r="K31" i="35"/>
  <c r="L31" i="35" s="1"/>
  <c r="K30" i="35"/>
  <c r="L30" i="35" s="1"/>
  <c r="K29" i="35"/>
  <c r="L29" i="35" s="1"/>
  <c r="K28" i="35"/>
  <c r="L28" i="35" s="1"/>
  <c r="K27" i="35"/>
  <c r="L27" i="35" s="1"/>
  <c r="D4" i="35"/>
  <c r="E22" i="24"/>
  <c r="E21" i="24"/>
  <c r="E29" i="24"/>
  <c r="E19" i="24"/>
  <c r="E18" i="24"/>
  <c r="O10" i="25"/>
  <c r="E10" i="33"/>
  <c r="E11" i="33"/>
  <c r="F11" i="33"/>
  <c r="E12" i="33"/>
  <c r="F12" i="33"/>
  <c r="G12" i="33"/>
  <c r="E13" i="33"/>
  <c r="F13" i="33"/>
  <c r="G13" i="33"/>
  <c r="E5" i="33"/>
  <c r="E6" i="33"/>
  <c r="F6" i="33"/>
  <c r="E7" i="33"/>
  <c r="F7" i="33"/>
  <c r="E8" i="33"/>
  <c r="F8" i="33"/>
  <c r="E26" i="33"/>
  <c r="F26" i="33"/>
  <c r="E27" i="33"/>
  <c r="F27" i="33"/>
  <c r="B30" i="28"/>
  <c r="B31" i="28"/>
  <c r="C31" i="28"/>
  <c r="B34" i="33"/>
  <c r="B35" i="33"/>
  <c r="C35" i="33"/>
  <c r="B36" i="33"/>
  <c r="C36" i="33"/>
  <c r="E17" i="33"/>
  <c r="E18" i="33"/>
  <c r="F18" i="33"/>
  <c r="F19" i="33"/>
  <c r="E20" i="33"/>
  <c r="F20" i="33"/>
  <c r="E21" i="33"/>
  <c r="F21" i="33"/>
  <c r="C31" i="33"/>
  <c r="B31" i="33"/>
  <c r="B32" i="33"/>
  <c r="B25" i="33"/>
  <c r="B26" i="33"/>
  <c r="C26" i="33"/>
  <c r="B27" i="33"/>
  <c r="C27" i="33"/>
  <c r="D27" i="33"/>
  <c r="B28" i="33"/>
  <c r="C28" i="33"/>
  <c r="D28" i="33"/>
  <c r="B17" i="33"/>
  <c r="B18" i="33"/>
  <c r="C18" i="33"/>
  <c r="B19" i="33"/>
  <c r="C19" i="33"/>
  <c r="B20" i="33"/>
  <c r="C20" i="33"/>
  <c r="B21" i="33"/>
  <c r="C21" i="33"/>
  <c r="D21" i="33"/>
  <c r="B22" i="33"/>
  <c r="C22" i="33"/>
  <c r="D22" i="33"/>
  <c r="B23" i="33"/>
  <c r="C23" i="33"/>
  <c r="D23" i="33"/>
  <c r="B5" i="33"/>
  <c r="B6" i="33"/>
  <c r="C6" i="33"/>
  <c r="B7" i="33"/>
  <c r="C7" i="33"/>
  <c r="B8" i="33"/>
  <c r="C8" i="33"/>
  <c r="B9" i="33"/>
  <c r="C9" i="33"/>
  <c r="B10" i="33"/>
  <c r="C10" i="33"/>
  <c r="B11" i="33"/>
  <c r="C11" i="33"/>
  <c r="D11" i="33"/>
  <c r="B12" i="33"/>
  <c r="C12" i="33"/>
  <c r="D12" i="33"/>
  <c r="B13" i="33"/>
  <c r="C13" i="33"/>
  <c r="D29" i="32"/>
  <c r="D30" i="32"/>
  <c r="B5" i="32"/>
  <c r="B6" i="32"/>
  <c r="C6" i="32"/>
  <c r="B7" i="32"/>
  <c r="C7" i="32"/>
  <c r="B8" i="32"/>
  <c r="C8" i="32"/>
  <c r="B9" i="32"/>
  <c r="C9" i="32"/>
  <c r="B10" i="32"/>
  <c r="C10" i="32"/>
  <c r="B11" i="32"/>
  <c r="C11" i="32"/>
  <c r="B12" i="32"/>
  <c r="C12" i="32"/>
  <c r="B13" i="32"/>
  <c r="C13" i="32"/>
  <c r="B15" i="32"/>
  <c r="B16" i="32"/>
  <c r="C16" i="32"/>
  <c r="B17" i="32"/>
  <c r="C17" i="32"/>
  <c r="B19" i="32"/>
  <c r="B20" i="32"/>
  <c r="C20" i="32"/>
  <c r="B21" i="32"/>
  <c r="C21" i="32"/>
  <c r="B22" i="32"/>
  <c r="C22" i="32"/>
  <c r="B23" i="32"/>
  <c r="C23" i="32"/>
  <c r="B24" i="32"/>
  <c r="C24" i="32"/>
  <c r="B25" i="32"/>
  <c r="C25" i="32"/>
  <c r="B26" i="32"/>
  <c r="C26" i="32"/>
  <c r="B27" i="32"/>
  <c r="C27" i="32"/>
  <c r="B28" i="32"/>
  <c r="C28" i="32"/>
  <c r="B29" i="32"/>
  <c r="C29" i="32"/>
  <c r="B30" i="32"/>
  <c r="C30" i="32"/>
  <c r="B31" i="32"/>
  <c r="C31" i="32"/>
  <c r="B33" i="32"/>
  <c r="B34" i="32"/>
  <c r="C34" i="32"/>
  <c r="B35" i="32"/>
  <c r="C35" i="32"/>
  <c r="C36" i="32"/>
  <c r="B21" i="28"/>
  <c r="B22" i="28"/>
  <c r="C22" i="28"/>
  <c r="D22" i="28"/>
  <c r="B23" i="28"/>
  <c r="C23" i="28"/>
  <c r="D23" i="28"/>
  <c r="B24" i="28"/>
  <c r="C24" i="28"/>
  <c r="D24" i="28"/>
  <c r="B25" i="28"/>
  <c r="C25" i="28"/>
  <c r="D25" i="28"/>
  <c r="B26" i="28"/>
  <c r="C26" i="28"/>
  <c r="D26" i="28"/>
  <c r="B27" i="28"/>
  <c r="C27" i="28"/>
  <c r="D27" i="28"/>
  <c r="B28" i="28"/>
  <c r="C28" i="28"/>
  <c r="D28" i="28"/>
  <c r="B14" i="28"/>
  <c r="B15" i="28"/>
  <c r="C15" i="28"/>
  <c r="B16" i="28"/>
  <c r="C16" i="28"/>
  <c r="D16" i="28"/>
  <c r="B17" i="28"/>
  <c r="C17" i="28"/>
  <c r="D17" i="28"/>
  <c r="B18" i="28"/>
  <c r="C18" i="28"/>
  <c r="D18" i="28"/>
  <c r="B19" i="28"/>
  <c r="C19" i="28"/>
  <c r="D19" i="28"/>
  <c r="C12" i="28"/>
  <c r="B33" i="28"/>
  <c r="B34" i="28"/>
  <c r="C34" i="28"/>
  <c r="D34" i="28"/>
  <c r="B35" i="28"/>
  <c r="C35" i="28"/>
  <c r="D35" i="28"/>
  <c r="B36" i="28"/>
  <c r="C36" i="28"/>
  <c r="D36" i="28"/>
  <c r="B37" i="28"/>
  <c r="C37" i="28"/>
  <c r="D37" i="28"/>
  <c r="B38" i="28"/>
  <c r="C38" i="28"/>
  <c r="G13" i="28"/>
  <c r="E5" i="28"/>
  <c r="E6" i="28"/>
  <c r="F6" i="28"/>
  <c r="G6" i="28"/>
  <c r="E7" i="28"/>
  <c r="F7" i="28"/>
  <c r="G7" i="28"/>
  <c r="E8" i="28"/>
  <c r="F8" i="28"/>
  <c r="G8" i="28"/>
  <c r="E9" i="28"/>
  <c r="G9" i="28"/>
  <c r="E10" i="28"/>
  <c r="G10" i="28"/>
  <c r="E11" i="28"/>
  <c r="F11" i="28"/>
  <c r="G11" i="28"/>
  <c r="E12" i="28"/>
  <c r="F12" i="28"/>
  <c r="G12" i="28"/>
  <c r="E13" i="28"/>
  <c r="F13" i="28"/>
  <c r="E14" i="28"/>
  <c r="E17" i="28"/>
  <c r="F17" i="28"/>
  <c r="G17" i="28"/>
  <c r="E18" i="28"/>
  <c r="F18" i="28"/>
  <c r="E19" i="28"/>
  <c r="F19" i="28"/>
  <c r="G19" i="28"/>
  <c r="E20" i="28"/>
  <c r="F20" i="28"/>
  <c r="G20" i="28"/>
  <c r="E24" i="28"/>
  <c r="F24" i="28"/>
  <c r="G24" i="28"/>
  <c r="E25" i="28"/>
  <c r="F25" i="28"/>
  <c r="G25" i="28"/>
  <c r="E26" i="28"/>
  <c r="F26" i="28"/>
  <c r="G26" i="28"/>
  <c r="B5" i="28"/>
  <c r="B6" i="28"/>
  <c r="C6" i="28"/>
  <c r="B7" i="28"/>
  <c r="C7" i="28"/>
  <c r="B8" i="28"/>
  <c r="C8" i="28"/>
  <c r="B9" i="28"/>
  <c r="C9" i="28"/>
  <c r="B10" i="28"/>
  <c r="C10" i="28"/>
  <c r="B11" i="28"/>
  <c r="C11" i="28"/>
  <c r="B12" i="28"/>
  <c r="F27" i="10"/>
  <c r="F28" i="10"/>
  <c r="F29" i="10"/>
  <c r="F30" i="10"/>
  <c r="F31" i="10"/>
  <c r="F17" i="10"/>
  <c r="F18" i="10"/>
  <c r="F19" i="10"/>
  <c r="F20" i="10"/>
  <c r="F21" i="10"/>
  <c r="F16" i="10"/>
  <c r="F27" i="9"/>
  <c r="F28" i="9"/>
  <c r="F29" i="9"/>
  <c r="F30" i="9"/>
  <c r="F31" i="9"/>
  <c r="F18" i="9"/>
  <c r="F19" i="9"/>
  <c r="F20" i="9"/>
  <c r="F21" i="9"/>
  <c r="P26" i="25"/>
  <c r="O26" i="25"/>
  <c r="N26" i="25"/>
  <c r="M26" i="25"/>
  <c r="L26" i="25"/>
  <c r="K26" i="25"/>
  <c r="D26" i="25"/>
  <c r="E26" i="25"/>
  <c r="F26" i="25"/>
  <c r="G26" i="25"/>
  <c r="H26" i="25"/>
  <c r="C26" i="25"/>
  <c r="P25" i="25"/>
  <c r="O25" i="25"/>
  <c r="N25" i="25"/>
  <c r="M25" i="25"/>
  <c r="L25" i="25"/>
  <c r="K25" i="25"/>
  <c r="D25" i="25"/>
  <c r="E25" i="25"/>
  <c r="F25" i="25"/>
  <c r="G25" i="25"/>
  <c r="H25" i="25"/>
  <c r="C25" i="25"/>
  <c r="D4" i="25"/>
  <c r="D4" i="24"/>
  <c r="K27" i="24"/>
  <c r="C8" i="21"/>
  <c r="F8" i="21" s="1"/>
  <c r="C7" i="21"/>
  <c r="F7" i="21" s="1"/>
  <c r="G35" i="21"/>
  <c r="D35" i="21"/>
  <c r="D34" i="21"/>
  <c r="D33" i="21"/>
  <c r="H30" i="21"/>
  <c r="D30" i="21"/>
  <c r="H29" i="21"/>
  <c r="D29" i="21"/>
  <c r="H28" i="21"/>
  <c r="D28" i="21"/>
  <c r="H25" i="21"/>
  <c r="D25" i="21"/>
  <c r="H24" i="21"/>
  <c r="D24" i="21"/>
  <c r="H23" i="21"/>
  <c r="D23" i="21"/>
  <c r="H22" i="21"/>
  <c r="D22" i="21"/>
  <c r="H19" i="21"/>
  <c r="D19" i="21"/>
  <c r="H18" i="21"/>
  <c r="D18" i="21"/>
  <c r="H17" i="21"/>
  <c r="D17" i="21"/>
  <c r="H14" i="21"/>
  <c r="D14" i="21"/>
  <c r="H13" i="21"/>
  <c r="D13" i="21"/>
  <c r="H12" i="21"/>
  <c r="D12" i="21"/>
  <c r="D35" i="19"/>
  <c r="H30" i="19"/>
  <c r="D30" i="19"/>
  <c r="H29" i="19"/>
  <c r="D29" i="19"/>
  <c r="H28" i="19"/>
  <c r="D28" i="19"/>
  <c r="H25" i="19"/>
  <c r="D25" i="19"/>
  <c r="H24" i="19"/>
  <c r="D24" i="19"/>
  <c r="H23" i="19"/>
  <c r="D23" i="19"/>
  <c r="H20" i="19"/>
  <c r="D20" i="19"/>
  <c r="H19" i="19"/>
  <c r="D19" i="19"/>
  <c r="H18" i="19"/>
  <c r="D18" i="19"/>
  <c r="H17" i="19"/>
  <c r="D17" i="19"/>
  <c r="H14" i="19"/>
  <c r="D14" i="19"/>
  <c r="H13" i="19"/>
  <c r="D13" i="19"/>
  <c r="H12" i="19"/>
  <c r="D12" i="19"/>
  <c r="H9" i="19"/>
  <c r="D9" i="19"/>
  <c r="H8" i="19"/>
  <c r="D8" i="19"/>
  <c r="H7" i="19"/>
  <c r="D7" i="19"/>
  <c r="H30" i="17"/>
  <c r="H29" i="17"/>
  <c r="H28" i="17"/>
  <c r="H25" i="17"/>
  <c r="H24" i="17"/>
  <c r="H23" i="17"/>
  <c r="H20" i="17"/>
  <c r="H19" i="17"/>
  <c r="H18" i="17"/>
  <c r="H17" i="17"/>
  <c r="H14" i="17"/>
  <c r="H13" i="17"/>
  <c r="H12" i="17"/>
  <c r="H9" i="17"/>
  <c r="H8" i="17"/>
  <c r="H7" i="17"/>
  <c r="D30" i="17"/>
  <c r="D29" i="17"/>
  <c r="D28" i="17"/>
  <c r="D25" i="17"/>
  <c r="D24" i="17"/>
  <c r="D23" i="17"/>
  <c r="D20" i="17"/>
  <c r="D19" i="17"/>
  <c r="D18" i="17"/>
  <c r="D17" i="17"/>
  <c r="D14" i="17"/>
  <c r="D13" i="17"/>
  <c r="D12" i="17"/>
  <c r="D9" i="17"/>
  <c r="D8" i="17"/>
  <c r="D7" i="17"/>
  <c r="D35" i="17"/>
  <c r="D35" i="16"/>
  <c r="C26" i="16"/>
  <c r="C25" i="16"/>
  <c r="C21" i="16"/>
  <c r="C22" i="16" s="1"/>
  <c r="B14" i="16"/>
  <c r="F4" i="16"/>
  <c r="C4" i="11"/>
  <c r="D11" i="7"/>
  <c r="D12" i="7"/>
  <c r="D10" i="7"/>
  <c r="C21" i="7"/>
  <c r="C11" i="7"/>
  <c r="C12" i="7"/>
  <c r="C10" i="7"/>
  <c r="E10" i="7" s="1"/>
  <c r="J12" i="4"/>
  <c r="J11" i="4"/>
  <c r="J10" i="4"/>
  <c r="J10" i="6"/>
  <c r="J11" i="6"/>
  <c r="J12" i="6"/>
  <c r="J26" i="9"/>
  <c r="J27" i="9"/>
  <c r="J28" i="9"/>
  <c r="J29" i="9"/>
  <c r="J30" i="9"/>
  <c r="J31" i="9"/>
  <c r="J10" i="9"/>
  <c r="F38" i="1"/>
  <c r="F37" i="1" s="1"/>
  <c r="E29" i="41" l="1"/>
  <c r="D33" i="41" s="1"/>
  <c r="F23" i="52"/>
  <c r="E23" i="52"/>
  <c r="F22" i="52"/>
  <c r="E22" i="52"/>
  <c r="G30" i="16"/>
  <c r="E24" i="51"/>
  <c r="F26" i="51"/>
  <c r="F25" i="51"/>
  <c r="G29" i="16"/>
  <c r="F17" i="49"/>
  <c r="G17" i="49" s="1"/>
  <c r="F22" i="50"/>
  <c r="G22" i="50" s="1"/>
  <c r="F16" i="50"/>
  <c r="G16" i="50" s="1"/>
  <c r="F20" i="50"/>
  <c r="G20" i="50" s="1"/>
  <c r="F15" i="50"/>
  <c r="G15" i="50" s="1"/>
  <c r="F19" i="50"/>
  <c r="G19" i="50" s="1"/>
  <c r="F23" i="50"/>
  <c r="G23" i="50" s="1"/>
  <c r="F17" i="50"/>
  <c r="G17" i="50" s="1"/>
  <c r="F21" i="50"/>
  <c r="G21" i="50" s="1"/>
  <c r="F14" i="50"/>
  <c r="G14" i="50" s="1"/>
  <c r="F18" i="50"/>
  <c r="G18" i="50" s="1"/>
  <c r="F23" i="49"/>
  <c r="G23" i="49" s="1"/>
  <c r="F16" i="49"/>
  <c r="G16" i="49" s="1"/>
  <c r="F15" i="49"/>
  <c r="G15" i="49" s="1"/>
  <c r="F14" i="49"/>
  <c r="G14" i="49" s="1"/>
  <c r="F22" i="49"/>
  <c r="G22" i="49" s="1"/>
  <c r="F21" i="49"/>
  <c r="G21" i="49" s="1"/>
  <c r="F20" i="49"/>
  <c r="G20" i="49" s="1"/>
  <c r="F19" i="49"/>
  <c r="G19" i="49" s="1"/>
  <c r="F18" i="49"/>
  <c r="G18" i="49" s="1"/>
  <c r="E31" i="24"/>
  <c r="E30" i="24"/>
  <c r="E28" i="24"/>
  <c r="N28" i="24"/>
  <c r="N31" i="35"/>
  <c r="N31" i="24"/>
  <c r="N27" i="35"/>
  <c r="N28" i="35"/>
  <c r="N30" i="24"/>
  <c r="G10" i="25"/>
  <c r="E18" i="35"/>
  <c r="N30" i="35"/>
  <c r="E20" i="35"/>
  <c r="E19" i="35"/>
  <c r="N29" i="24"/>
  <c r="C27" i="16"/>
  <c r="G21" i="16"/>
  <c r="E27" i="24"/>
  <c r="E20" i="24"/>
  <c r="C14" i="16"/>
  <c r="C25" i="11"/>
  <c r="C26" i="11"/>
  <c r="G30" i="11" s="1"/>
  <c r="C21" i="11"/>
  <c r="G29" i="11" s="1"/>
  <c r="F4" i="11"/>
  <c r="G8" i="11"/>
  <c r="E8" i="11"/>
  <c r="F40" i="1"/>
  <c r="C35" i="1" s="1"/>
  <c r="F14" i="28"/>
  <c r="J31" i="10"/>
  <c r="J30" i="10"/>
  <c r="J29" i="10"/>
  <c r="J28" i="10"/>
  <c r="J27" i="10"/>
  <c r="J26" i="10"/>
  <c r="F26" i="10"/>
  <c r="J21" i="10"/>
  <c r="J20" i="10"/>
  <c r="J19" i="10"/>
  <c r="J18" i="10"/>
  <c r="J17" i="10"/>
  <c r="J16" i="10"/>
  <c r="J11" i="10"/>
  <c r="J10" i="10"/>
  <c r="C21" i="24" l="1"/>
  <c r="C30" i="24" s="1"/>
  <c r="B21" i="24"/>
  <c r="B30" i="24" s="1"/>
  <c r="C30" i="16"/>
  <c r="C28" i="16"/>
  <c r="C18" i="24"/>
  <c r="C27" i="24" s="1"/>
  <c r="B18" i="24"/>
  <c r="B27" i="24" s="1"/>
  <c r="C19" i="24"/>
  <c r="C28" i="24" s="1"/>
  <c r="B19" i="24"/>
  <c r="B28" i="24" s="1"/>
  <c r="C22" i="35"/>
  <c r="C31" i="35" s="1"/>
  <c r="B22" i="35"/>
  <c r="B31" i="35" s="1"/>
  <c r="C21" i="35"/>
  <c r="C30" i="35" s="1"/>
  <c r="B21" i="35"/>
  <c r="B30" i="35" s="1"/>
  <c r="C18" i="35"/>
  <c r="C27" i="35" s="1"/>
  <c r="B18" i="35"/>
  <c r="B27" i="35" s="1"/>
  <c r="C22" i="24"/>
  <c r="C31" i="24" s="1"/>
  <c r="B22" i="24"/>
  <c r="B31" i="24" s="1"/>
  <c r="C20" i="35"/>
  <c r="C29" i="35" s="1"/>
  <c r="B20" i="35"/>
  <c r="B29" i="35" s="1"/>
  <c r="B19" i="35"/>
  <c r="B28" i="35" s="1"/>
  <c r="C19" i="35"/>
  <c r="C28" i="35" s="1"/>
  <c r="C20" i="24"/>
  <c r="C29" i="24" s="1"/>
  <c r="B20" i="24"/>
  <c r="B29" i="24" s="1"/>
  <c r="H10" i="25"/>
  <c r="P10" i="25"/>
  <c r="F10" i="25"/>
  <c r="N10" i="25"/>
  <c r="E10" i="25"/>
  <c r="M10" i="25"/>
  <c r="L10" i="25"/>
  <c r="D10" i="25"/>
  <c r="C10" i="25"/>
  <c r="K10" i="25"/>
  <c r="N29" i="35"/>
  <c r="C5" i="11"/>
  <c r="C9" i="11" s="1"/>
  <c r="G14" i="28"/>
  <c r="C5" i="16"/>
  <c r="G14" i="16"/>
  <c r="C15" i="16"/>
  <c r="E14" i="16"/>
  <c r="G21" i="11"/>
  <c r="C27" i="11"/>
  <c r="C14" i="11"/>
  <c r="G14" i="11" s="1"/>
  <c r="C22" i="11"/>
  <c r="F26" i="9"/>
  <c r="J21" i="9"/>
  <c r="J20" i="9"/>
  <c r="J19" i="9"/>
  <c r="J18" i="9"/>
  <c r="J17" i="9"/>
  <c r="J16" i="9"/>
  <c r="F17" i="9"/>
  <c r="J11" i="9"/>
  <c r="G150" i="1"/>
  <c r="G151" i="1"/>
  <c r="G152" i="1"/>
  <c r="G153" i="1"/>
  <c r="G154" i="1"/>
  <c r="G149" i="1"/>
  <c r="C143" i="1"/>
  <c r="C154" i="1"/>
  <c r="C153" i="1"/>
  <c r="C151" i="1"/>
  <c r="C152" i="1"/>
  <c r="C145" i="1"/>
  <c r="D21" i="7"/>
  <c r="F21" i="7"/>
  <c r="H21" i="7" s="1"/>
  <c r="E11" i="6"/>
  <c r="G16" i="6"/>
  <c r="I16" i="6" s="1"/>
  <c r="G16" i="4"/>
  <c r="I16" i="4" s="1"/>
  <c r="E10" i="4"/>
  <c r="F41" i="1"/>
  <c r="E73" i="1"/>
  <c r="E72" i="1"/>
  <c r="C11" i="9" l="1"/>
  <c r="F143" i="1"/>
  <c r="E11" i="9" s="1"/>
  <c r="C32" i="33"/>
  <c r="F145" i="1"/>
  <c r="E10" i="10" s="1"/>
  <c r="P30" i="24"/>
  <c r="E11" i="4"/>
  <c r="C10" i="11"/>
  <c r="C30" i="11"/>
  <c r="C28" i="11"/>
  <c r="D12" i="4"/>
  <c r="D10" i="4"/>
  <c r="F10" i="4" s="1"/>
  <c r="P28" i="35"/>
  <c r="U28" i="24"/>
  <c r="P28" i="24"/>
  <c r="P29" i="35"/>
  <c r="U31" i="24"/>
  <c r="P31" i="24"/>
  <c r="S27" i="24"/>
  <c r="P27" i="24"/>
  <c r="P27" i="35"/>
  <c r="P30" i="35"/>
  <c r="U29" i="24"/>
  <c r="P29" i="24"/>
  <c r="P31" i="35"/>
  <c r="D10" i="6"/>
  <c r="F10" i="6" s="1"/>
  <c r="F9" i="28"/>
  <c r="I10" i="7"/>
  <c r="B9" i="16"/>
  <c r="C9" i="16"/>
  <c r="C16" i="16"/>
  <c r="E15" i="16"/>
  <c r="G15" i="16"/>
  <c r="E14" i="11"/>
  <c r="C15" i="11"/>
  <c r="G15" i="11" s="1"/>
  <c r="B9" i="11"/>
  <c r="G9" i="11"/>
  <c r="C10" i="10"/>
  <c r="C18" i="9"/>
  <c r="C19" i="9"/>
  <c r="C20" i="9"/>
  <c r="C21" i="9"/>
  <c r="C146" i="1"/>
  <c r="D151" i="1"/>
  <c r="D152" i="1"/>
  <c r="D153" i="1"/>
  <c r="D12" i="6"/>
  <c r="D11" i="6"/>
  <c r="F11" i="6" s="1"/>
  <c r="E12" i="6"/>
  <c r="D11" i="4"/>
  <c r="E12" i="4"/>
  <c r="C58" i="1"/>
  <c r="F146" i="1" l="1"/>
  <c r="E11" i="10" s="1"/>
  <c r="C11" i="10"/>
  <c r="F12" i="4"/>
  <c r="F11" i="4"/>
  <c r="F12" i="6"/>
  <c r="E9" i="11"/>
  <c r="C11" i="11"/>
  <c r="E11" i="11" s="1"/>
  <c r="G10" i="11"/>
  <c r="E10" i="11"/>
  <c r="C29" i="11"/>
  <c r="U27" i="24"/>
  <c r="T27" i="24"/>
  <c r="U31" i="35"/>
  <c r="T31" i="35"/>
  <c r="S31" i="35"/>
  <c r="D22" i="35"/>
  <c r="D31" i="35" s="1"/>
  <c r="D20" i="35"/>
  <c r="D29" i="35" s="1"/>
  <c r="D19" i="35"/>
  <c r="D28" i="35" s="1"/>
  <c r="D18" i="35"/>
  <c r="D27" i="35" s="1"/>
  <c r="D21" i="35"/>
  <c r="D30" i="35" s="1"/>
  <c r="D21" i="24"/>
  <c r="D30" i="24" s="1"/>
  <c r="T29" i="35"/>
  <c r="U29" i="35"/>
  <c r="S29" i="35"/>
  <c r="T30" i="35"/>
  <c r="S30" i="35"/>
  <c r="U30" i="35"/>
  <c r="T27" i="35"/>
  <c r="S27" i="35"/>
  <c r="U27" i="35"/>
  <c r="T29" i="24"/>
  <c r="S29" i="24"/>
  <c r="S28" i="35"/>
  <c r="T28" i="35"/>
  <c r="U28" i="35"/>
  <c r="S28" i="24"/>
  <c r="T28" i="24"/>
  <c r="T31" i="24"/>
  <c r="S31" i="24"/>
  <c r="U30" i="24"/>
  <c r="S30" i="24"/>
  <c r="T30" i="24"/>
  <c r="L27" i="24"/>
  <c r="N27" i="24" s="1"/>
  <c r="D19" i="24"/>
  <c r="D28" i="24" s="1"/>
  <c r="D22" i="24"/>
  <c r="D31" i="24" s="1"/>
  <c r="D20" i="24"/>
  <c r="D29" i="24" s="1"/>
  <c r="D18" i="24"/>
  <c r="D27" i="24" s="1"/>
  <c r="G10" i="7"/>
  <c r="H10" i="7"/>
  <c r="C10" i="16"/>
  <c r="G9" i="16"/>
  <c r="E9" i="16"/>
  <c r="E16" i="16"/>
  <c r="G16" i="16"/>
  <c r="E11" i="7"/>
  <c r="I11" i="7" s="1"/>
  <c r="E12" i="7"/>
  <c r="I12" i="7" s="1"/>
  <c r="E15" i="11"/>
  <c r="C16" i="11"/>
  <c r="G16" i="11" s="1"/>
  <c r="C21" i="10"/>
  <c r="C18" i="10"/>
  <c r="C20" i="10"/>
  <c r="C19" i="10"/>
  <c r="C29" i="9"/>
  <c r="C28" i="9"/>
  <c r="C31" i="9"/>
  <c r="C30" i="9"/>
  <c r="D154" i="1"/>
  <c r="I11" i="6"/>
  <c r="I10" i="6"/>
  <c r="H10" i="6"/>
  <c r="H11" i="4"/>
  <c r="I11" i="4"/>
  <c r="I10" i="4"/>
  <c r="H10" i="4"/>
  <c r="G11" i="11" l="1"/>
  <c r="C29" i="16"/>
  <c r="G10" i="16"/>
  <c r="E10" i="16"/>
  <c r="C11" i="16"/>
  <c r="G11" i="7"/>
  <c r="H11" i="7"/>
  <c r="G12" i="7"/>
  <c r="H12" i="7"/>
  <c r="H11" i="6"/>
  <c r="E16" i="11"/>
  <c r="C29" i="10"/>
  <c r="C31" i="10"/>
  <c r="C30" i="10"/>
  <c r="C28" i="10"/>
  <c r="H12" i="6"/>
  <c r="I12" i="6"/>
  <c r="H12" i="4"/>
  <c r="I12" i="4"/>
  <c r="E11" i="16" l="1"/>
  <c r="G11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<sst xmlns="http://schemas.openxmlformats.org/spreadsheetml/2006/main" count="2337" uniqueCount="1097">
  <si>
    <t xml:space="preserve"> </t>
  </si>
  <si>
    <t>Test plan Electric Machines</t>
  </si>
  <si>
    <t>Author</t>
  </si>
  <si>
    <t>E.J. Schilpzand</t>
  </si>
  <si>
    <t>Registration number</t>
  </si>
  <si>
    <t>Date</t>
  </si>
  <si>
    <t>Version</t>
  </si>
  <si>
    <t>0.2.1</t>
  </si>
  <si>
    <t>Status</t>
  </si>
  <si>
    <t>Definitive</t>
  </si>
  <si>
    <t>Section</t>
  </si>
  <si>
    <t>HHNK PAO</t>
  </si>
  <si>
    <t>Total Pages</t>
  </si>
  <si>
    <t>Machine Test Requirements</t>
  </si>
  <si>
    <r>
      <t xml:space="preserve">Torque measurement or calculated </t>
    </r>
    <r>
      <rPr>
        <b/>
        <vertAlign val="superscript"/>
        <sz val="11"/>
        <color theme="1"/>
        <rFont val="Verdana"/>
        <family val="2"/>
      </rPr>
      <t>(1)</t>
    </r>
  </si>
  <si>
    <t>Machine test performed with:</t>
  </si>
  <si>
    <t xml:space="preserve">- torque measurement </t>
  </si>
  <si>
    <t>X</t>
  </si>
  <si>
    <t>- calculated torque</t>
  </si>
  <si>
    <r>
      <t>Variable Frequency Drive (VFD)</t>
    </r>
    <r>
      <rPr>
        <b/>
        <vertAlign val="superscript"/>
        <sz val="11"/>
        <color theme="1"/>
        <rFont val="Verdana"/>
        <family val="2"/>
      </rPr>
      <t xml:space="preserve"> (1)</t>
    </r>
  </si>
  <si>
    <t>Machine tests performed:</t>
  </si>
  <si>
    <t xml:space="preserve">- without VFD </t>
  </si>
  <si>
    <t>- with VFD from test bench</t>
  </si>
  <si>
    <t>- with new VFD of end-user HHNK</t>
  </si>
  <si>
    <r>
      <t xml:space="preserve">Machine Testing Witnesses </t>
    </r>
    <r>
      <rPr>
        <b/>
        <vertAlign val="superscript"/>
        <sz val="11"/>
        <color theme="1"/>
        <rFont val="Verdana"/>
        <family val="2"/>
      </rPr>
      <t>(1)</t>
    </r>
  </si>
  <si>
    <t>Witnesses machine testing of end-user HHNK:</t>
  </si>
  <si>
    <t>- No</t>
  </si>
  <si>
    <t>- Yes</t>
  </si>
  <si>
    <t>(2 persons HHNK)</t>
  </si>
  <si>
    <t>Abbreviations in Test Plan</t>
  </si>
  <si>
    <t>N.A. = Not Applicable</t>
  </si>
  <si>
    <t xml:space="preserve">N.I.  = Not Inspected </t>
  </si>
  <si>
    <t>N.T. = Not Tested</t>
  </si>
  <si>
    <t xml:space="preserve">This Test Plan has been drawn up for testing one electrical machine. </t>
  </si>
  <si>
    <t>If multiple machines are supplied, copy the Test Plan and apply it repeatedly.</t>
  </si>
  <si>
    <r>
      <t>1.1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>Project</t>
    </r>
  </si>
  <si>
    <r>
      <t>1.4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>Test location</t>
    </r>
  </si>
  <si>
    <t>Project name</t>
  </si>
  <si>
    <t>Gemaal De Helsdeur</t>
  </si>
  <si>
    <t>Company name</t>
  </si>
  <si>
    <t>Pump number</t>
  </si>
  <si>
    <t>P1</t>
  </si>
  <si>
    <t>Visiting address</t>
  </si>
  <si>
    <t>Motor type</t>
  </si>
  <si>
    <t>Postal address</t>
  </si>
  <si>
    <t>Serial number</t>
  </si>
  <si>
    <t>Telephone</t>
  </si>
  <si>
    <t>Motor description</t>
  </si>
  <si>
    <t>e-mail</t>
  </si>
  <si>
    <t>Power</t>
  </si>
  <si>
    <t>kW</t>
  </si>
  <si>
    <t>Website</t>
  </si>
  <si>
    <t>Speed</t>
  </si>
  <si>
    <t>rpm</t>
  </si>
  <si>
    <t>Order nr.</t>
  </si>
  <si>
    <r>
      <t>1.2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>Manufacturer</t>
    </r>
  </si>
  <si>
    <r>
      <rPr>
        <b/>
        <sz val="11"/>
        <color theme="1"/>
        <rFont val="Verdana"/>
        <family val="2"/>
      </rPr>
      <t>1.5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>Customer</t>
    </r>
  </si>
  <si>
    <t>Order nr</t>
  </si>
  <si>
    <r>
      <t>1.3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 xml:space="preserve">Supplier </t>
    </r>
  </si>
  <si>
    <r>
      <rPr>
        <b/>
        <sz val="11"/>
        <color theme="1"/>
        <rFont val="Verdana"/>
        <family val="2"/>
      </rPr>
      <t>1.6</t>
    </r>
    <r>
      <rPr>
        <b/>
        <sz val="7"/>
        <color theme="1"/>
        <rFont val="Times New Roman"/>
        <family val="1"/>
      </rPr>
      <t xml:space="preserve">     </t>
    </r>
    <r>
      <rPr>
        <b/>
        <sz val="11"/>
        <color theme="1"/>
        <rFont val="Verdana"/>
        <family val="2"/>
      </rPr>
      <t>End customer</t>
    </r>
  </si>
  <si>
    <r>
      <t>Hoogheemraadschap</t>
    </r>
    <r>
      <rPr>
        <sz val="10"/>
        <color theme="1"/>
        <rFont val="Verdana"/>
        <family val="2"/>
      </rPr>
      <t xml:space="preserve"> Hollands Noorderkwartier (HHNK)</t>
    </r>
  </si>
  <si>
    <t>Stationsplein 136, 1703 WC  Heerhugowaard, Nederland</t>
  </si>
  <si>
    <t>Postbus 250, 1700 AG Heerhugowaard, Nederland</t>
  </si>
  <si>
    <t>+31(0)72-582 8282</t>
  </si>
  <si>
    <t>n.a.</t>
  </si>
  <si>
    <t>www.hhnk.nl</t>
  </si>
  <si>
    <t>Function</t>
  </si>
  <si>
    <t>Name and signature</t>
  </si>
  <si>
    <t>Signature</t>
  </si>
  <si>
    <t>Company</t>
  </si>
  <si>
    <t>Place and Date</t>
  </si>
  <si>
    <t xml:space="preserve">Electric machine measured by 
</t>
  </si>
  <si>
    <t xml:space="preserve">Bakker </t>
  </si>
  <si>
    <t xml:space="preserve">Electric machine test approved by supplier
</t>
  </si>
  <si>
    <t xml:space="preserve">Electric machine test approved by tester of test location
</t>
  </si>
  <si>
    <t>DAC DirectDrives</t>
  </si>
  <si>
    <t xml:space="preserve">Electric machine test approved by customer
</t>
  </si>
  <si>
    <t>BWM</t>
  </si>
  <si>
    <t xml:space="preserve">Electric machine test approved by end customer
</t>
  </si>
  <si>
    <t>HHNK</t>
  </si>
  <si>
    <t>Company stamp test location</t>
  </si>
  <si>
    <t xml:space="preserve">Test Status </t>
  </si>
  <si>
    <t xml:space="preserve">                      Not - approved
                      Approved</t>
  </si>
  <si>
    <t>Mandatory Tests IM</t>
  </si>
  <si>
    <t>Mandatory Tests PM</t>
  </si>
  <si>
    <t>IEC-34-1</t>
  </si>
  <si>
    <t>Test Sequence</t>
  </si>
  <si>
    <t>previous test doc.</t>
  </si>
  <si>
    <t>3.1</t>
  </si>
  <si>
    <t>Visual Inspection</t>
  </si>
  <si>
    <t>R</t>
  </si>
  <si>
    <t>4.1</t>
  </si>
  <si>
    <t>3.2</t>
  </si>
  <si>
    <t>Basic Tests</t>
  </si>
  <si>
    <t>4.2</t>
  </si>
  <si>
    <t>3.3</t>
  </si>
  <si>
    <t>Insulation resistance (cold)</t>
  </si>
  <si>
    <t>4.3.1 +4.3</t>
  </si>
  <si>
    <t>3.4</t>
  </si>
  <si>
    <t>Winding resistance method (cold)</t>
  </si>
  <si>
    <t>4.4</t>
  </si>
  <si>
    <t>3.5</t>
  </si>
  <si>
    <t>Resistance measurement PT-100 (cold)</t>
  </si>
  <si>
    <t>3.6</t>
  </si>
  <si>
    <t>Resistance PTC stop (cold)</t>
  </si>
  <si>
    <t>8.1</t>
  </si>
  <si>
    <t>3.7</t>
  </si>
  <si>
    <t>Resistance PTC warning (cold)</t>
  </si>
  <si>
    <t>8.2</t>
  </si>
  <si>
    <t>3.8</t>
  </si>
  <si>
    <t xml:space="preserve">Insulation AC High Potential Test (AC HiPot) </t>
  </si>
  <si>
    <t>4.5.1 +4.5</t>
  </si>
  <si>
    <t>3.9</t>
  </si>
  <si>
    <t>BEMF measurement (cold)</t>
  </si>
  <si>
    <t>-</t>
  </si>
  <si>
    <t>only in case of PM machine</t>
  </si>
  <si>
    <t>4.6</t>
  </si>
  <si>
    <t>3.10</t>
  </si>
  <si>
    <t xml:space="preserve">Overspeed test </t>
  </si>
  <si>
    <t>4.7</t>
  </si>
  <si>
    <t>3.11</t>
  </si>
  <si>
    <t>Temperature Rise Test ETD (cold &amp; hot)</t>
  </si>
  <si>
    <t>4.12</t>
  </si>
  <si>
    <t>3.12</t>
  </si>
  <si>
    <t>Temperature Rise Test Bearings (cold &amp; hot)</t>
  </si>
  <si>
    <t>4.14</t>
  </si>
  <si>
    <t>3.13</t>
  </si>
  <si>
    <t>Winding resistance method (hot)</t>
  </si>
  <si>
    <t>4.15</t>
  </si>
  <si>
    <t>3.14</t>
  </si>
  <si>
    <t>Calculated winding temperature rise test</t>
  </si>
  <si>
    <t>4.13</t>
  </si>
  <si>
    <t>3.15</t>
  </si>
  <si>
    <t>Load test</t>
  </si>
  <si>
    <t>4.9</t>
  </si>
  <si>
    <t>3.16</t>
  </si>
  <si>
    <t>No-load test</t>
  </si>
  <si>
    <t>4.11</t>
  </si>
  <si>
    <t>3.17</t>
  </si>
  <si>
    <t xml:space="preserve">Vibration test </t>
  </si>
  <si>
    <t>4.18</t>
  </si>
  <si>
    <t>3.18</t>
  </si>
  <si>
    <t>Noise test</t>
  </si>
  <si>
    <t>4.19</t>
  </si>
  <si>
    <t>3.19</t>
  </si>
  <si>
    <t>Locked rotor test</t>
  </si>
  <si>
    <t>only in case of IM machine</t>
  </si>
  <si>
    <t>4.8</t>
  </si>
  <si>
    <t>3.20</t>
  </si>
  <si>
    <t>BEMF measurement (hot)</t>
  </si>
  <si>
    <t>4.16</t>
  </si>
  <si>
    <t>3.21</t>
  </si>
  <si>
    <t xml:space="preserve">Insulation tests (hot) </t>
  </si>
  <si>
    <t>4.17</t>
  </si>
  <si>
    <t>3.22</t>
  </si>
  <si>
    <t>Resistance measurement PT-100 (hot)</t>
  </si>
  <si>
    <t>(a) Mandatory Tests to perform are depending on machine type: IM = Induction Machine,  PM = Permanent Magnet Machine (Surface Mounted);</t>
  </si>
  <si>
    <t>(b) Non-Salient;</t>
  </si>
  <si>
    <t xml:space="preserve">(c) X = Mandatory test that has been carried out, depents on IM or PM. </t>
  </si>
  <si>
    <t xml:space="preserve">(d) IEC-34, refers to the comparable tests according to norm NEN EN IEC 60034-1, R = Routine Test, T=Type Test, - = not specified. </t>
  </si>
  <si>
    <t xml:space="preserve">3.1.1.1 Check values nameplate
</t>
  </si>
  <si>
    <t>Check values nameplate</t>
  </si>
  <si>
    <t>Imposed</t>
  </si>
  <si>
    <t>Remarks</t>
  </si>
  <si>
    <t>Pass</t>
  </si>
  <si>
    <t>Fail</t>
  </si>
  <si>
    <t>N.A.</t>
  </si>
  <si>
    <t>N.I.</t>
  </si>
  <si>
    <t>Fabricate</t>
  </si>
  <si>
    <t>Type</t>
  </si>
  <si>
    <t>Voltage</t>
  </si>
  <si>
    <t>V</t>
  </si>
  <si>
    <t>Current</t>
  </si>
  <si>
    <t>A</t>
  </si>
  <si>
    <t>PF</t>
  </si>
  <si>
    <t>100% full load</t>
  </si>
  <si>
    <t>Efficiency</t>
  </si>
  <si>
    <t>%</t>
  </si>
  <si>
    <t>Frequency</t>
  </si>
  <si>
    <t>Hz</t>
  </si>
  <si>
    <t>Connection</t>
  </si>
  <si>
    <t>Rated torque (full load)</t>
  </si>
  <si>
    <t>Nm</t>
  </si>
  <si>
    <t>3.1.1.2 Check specifications</t>
  </si>
  <si>
    <t>Check specifications</t>
  </si>
  <si>
    <t>Frame material</t>
  </si>
  <si>
    <t>Cooling medium</t>
  </si>
  <si>
    <t>Cooling type</t>
  </si>
  <si>
    <t>IC416 - TEFV - Totally Enclosed Force Ventilated (ventilated with independent fan)</t>
  </si>
  <si>
    <t>Paint colour</t>
  </si>
  <si>
    <t>3.1.1.3 Check parts position</t>
  </si>
  <si>
    <t>Check parts position</t>
  </si>
  <si>
    <t>Main terminal box</t>
  </si>
  <si>
    <t>drawing …..</t>
  </si>
  <si>
    <t>Aux. terminal box</t>
  </si>
  <si>
    <t>Heater</t>
  </si>
  <si>
    <t>Cool Fan</t>
  </si>
  <si>
    <t>Cool Fan Motor</t>
  </si>
  <si>
    <t>Lubrication points</t>
  </si>
  <si>
    <t>Vibration measuring points</t>
  </si>
  <si>
    <t>Mounting arrangement</t>
  </si>
  <si>
    <t>3.1.2.1 Check dimensions</t>
  </si>
  <si>
    <t>Check dimensions</t>
  </si>
  <si>
    <t>Main cable glands</t>
  </si>
  <si>
    <t>Aux. cable glands</t>
  </si>
  <si>
    <t>Motor outer dimensions</t>
  </si>
  <si>
    <t>Motor frame</t>
  </si>
  <si>
    <t>Flange</t>
  </si>
  <si>
    <t>Shaft coupling</t>
  </si>
  <si>
    <t>3.1.2.2 Check housing protection</t>
  </si>
  <si>
    <t>Check housing protection</t>
  </si>
  <si>
    <t>Motor</t>
  </si>
  <si>
    <t>3.1.2.3 Check terminal coding</t>
  </si>
  <si>
    <t>Check terminal coding</t>
  </si>
  <si>
    <t>3.1.3.1 Check bearings</t>
  </si>
  <si>
    <t>Check bearings</t>
  </si>
  <si>
    <t>Bearing DE</t>
  </si>
  <si>
    <t>Bearing NDE</t>
  </si>
  <si>
    <t>Bearing NDE insulated</t>
  </si>
  <si>
    <t>Bearings filled with lubrication</t>
  </si>
  <si>
    <t>Shaft grounding ring</t>
  </si>
  <si>
    <t>3.1.3.2 Check for damage and/or production errors</t>
  </si>
  <si>
    <t>Check for damage and/or 
production errors</t>
  </si>
  <si>
    <t>3.2.1 Check weight and inertia measurements</t>
  </si>
  <si>
    <t>Check weight and inertia measurements</t>
  </si>
  <si>
    <t>Total weight of the machine</t>
  </si>
  <si>
    <t>kg</t>
  </si>
  <si>
    <t xml:space="preserve">max. lifting weight crane </t>
  </si>
  <si>
    <t>Total weight of the rotor</t>
  </si>
  <si>
    <t>Moment of inertia rotor</t>
  </si>
  <si>
    <t>Kgm^2</t>
  </si>
  <si>
    <t>3.2.2 Check Rotor shaft is sufficiently centred</t>
  </si>
  <si>
    <t>Check Rotor shaft is sufficiently centred</t>
  </si>
  <si>
    <t>Is the rotor shaft mechanically centred?</t>
  </si>
  <si>
    <t>Is the rotor shaft magnetically centred?</t>
  </si>
  <si>
    <t>Note:</t>
  </si>
  <si>
    <t>Pumpstation De Helsdeur: Max. lifting weight crane 12,5 ton. (12.500 kg)</t>
  </si>
  <si>
    <t>Test Voltage</t>
  </si>
  <si>
    <t>VDC</t>
  </si>
  <si>
    <t>Norm Insulation Resistance &gt;=</t>
  </si>
  <si>
    <r>
      <t>M</t>
    </r>
    <r>
      <rPr>
        <sz val="9"/>
        <color theme="1"/>
        <rFont val="Aptos Narrow"/>
        <family val="2"/>
      </rPr>
      <t>Ω</t>
    </r>
  </si>
  <si>
    <t>Stator Winding 
phase-phase</t>
  </si>
  <si>
    <r>
      <t>Riso(M</t>
    </r>
    <r>
      <rPr>
        <b/>
        <sz val="9"/>
        <color theme="1"/>
        <rFont val="Aptos Narrow"/>
        <family val="2"/>
      </rPr>
      <t>Ω</t>
    </r>
    <r>
      <rPr>
        <b/>
        <sz val="9"/>
        <color theme="1"/>
        <rFont val="Verdana"/>
        <family val="2"/>
      </rPr>
      <t>)</t>
    </r>
  </si>
  <si>
    <t xml:space="preserve">Temperature Measurement Stator
phase-ground </t>
  </si>
  <si>
    <t>U-V</t>
  </si>
  <si>
    <t>PT100 U-PE (main)</t>
  </si>
  <si>
    <t>V-W</t>
  </si>
  <si>
    <t>PT100 V-PE (main)</t>
  </si>
  <si>
    <t>W-V</t>
  </si>
  <si>
    <t>PT100 W-PE (main)</t>
  </si>
  <si>
    <t>Stator Winding  
phase-ground</t>
  </si>
  <si>
    <t>U-PE</t>
  </si>
  <si>
    <t>PT100 U-PE (spare)</t>
  </si>
  <si>
    <t>V-PE</t>
  </si>
  <si>
    <t>PT100 V-PE (spare)</t>
  </si>
  <si>
    <t>W-PE</t>
  </si>
  <si>
    <t>PT100 W-PE (spare)</t>
  </si>
  <si>
    <t>Thermal protection
phase-PE</t>
  </si>
  <si>
    <t xml:space="preserve">Temperature Measurement Bearings
phase-ground </t>
  </si>
  <si>
    <t>PTC stop (main)</t>
  </si>
  <si>
    <t>PT100 DE - PE (main)</t>
  </si>
  <si>
    <t>PTC stop (spare)</t>
  </si>
  <si>
    <t>PT100 DE - PE (spare)</t>
  </si>
  <si>
    <t>PTC warning (main)</t>
  </si>
  <si>
    <t>PT100 NDE - PE (main)</t>
  </si>
  <si>
    <t>PTC warning (spare)</t>
  </si>
  <si>
    <t>PT100 NDE - PE (spare)</t>
  </si>
  <si>
    <t>Auxiliaries Fan stator winding phase-phase</t>
  </si>
  <si>
    <t>Auxiliaries Heater 
phase-ground</t>
  </si>
  <si>
    <t>heater L1-PE</t>
  </si>
  <si>
    <t>Auxiliaries Fan stator winding phase-PE</t>
  </si>
  <si>
    <t>Auxiliaries</t>
  </si>
  <si>
    <t>N.T.</t>
  </si>
  <si>
    <t>Rs stator winding phases, cold</t>
  </si>
  <si>
    <t>Tolerance</t>
  </si>
  <si>
    <t>Test Results</t>
  </si>
  <si>
    <t>Rs, Measured</t>
  </si>
  <si>
    <t>Rs, Calculated</t>
  </si>
  <si>
    <t>Rs, Imposed</t>
  </si>
  <si>
    <t>Calculated</t>
  </si>
  <si>
    <r>
      <t>m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 xml:space="preserve"> @ Ta</t>
    </r>
  </si>
  <si>
    <r>
      <t>m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 xml:space="preserve"> @ Ts</t>
    </r>
  </si>
  <si>
    <r>
      <t>m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 xml:space="preserve">  </t>
    </r>
  </si>
  <si>
    <t xml:space="preserve">U1 - U2 </t>
  </si>
  <si>
    <t>V1 - V2</t>
  </si>
  <si>
    <t>W1 - W2</t>
  </si>
  <si>
    <t>Ta Tambient</t>
  </si>
  <si>
    <t>Ts Tstandard</t>
  </si>
  <si>
    <r>
      <rPr>
        <b/>
        <vertAlign val="superscript"/>
        <sz val="9"/>
        <color indexed="8"/>
        <rFont val="Verdana"/>
        <family val="2"/>
      </rPr>
      <t>0</t>
    </r>
    <r>
      <rPr>
        <b/>
        <sz val="9"/>
        <color indexed="8"/>
        <rFont val="Verdana"/>
        <family val="2"/>
      </rPr>
      <t>C</t>
    </r>
  </si>
  <si>
    <t>Winding material</t>
  </si>
  <si>
    <t>k</t>
  </si>
  <si>
    <t>Tambient</t>
  </si>
  <si>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</t>
    </r>
  </si>
  <si>
    <t>W</t>
  </si>
  <si>
    <t>Fault class</t>
  </si>
  <si>
    <t>F0,1</t>
  </si>
  <si>
    <t>IEC 60751</t>
  </si>
  <si>
    <t>R0</t>
  </si>
  <si>
    <t>F0,1   class B 1/3 DIN</t>
  </si>
  <si>
    <t>B</t>
  </si>
  <si>
    <t>F0,15</t>
  </si>
  <si>
    <t>F0,15 class A</t>
  </si>
  <si>
    <r>
      <t xml:space="preserve">C, t &lt; 0 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</t>
    </r>
  </si>
  <si>
    <t>F0,3</t>
  </si>
  <si>
    <t>F0,3   class B</t>
  </si>
  <si>
    <r>
      <t xml:space="preserve">C, t &gt;= 0 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</t>
    </r>
  </si>
  <si>
    <t>F0,6</t>
  </si>
  <si>
    <t>F0,6   class 2B</t>
  </si>
  <si>
    <t>Temperature</t>
  </si>
  <si>
    <t xml:space="preserve">R Measured </t>
  </si>
  <si>
    <r>
      <t xml:space="preserve">T Calculated 
</t>
    </r>
    <r>
      <rPr>
        <sz val="9"/>
        <color theme="1"/>
        <rFont val="Verdana"/>
        <family val="2"/>
      </rP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</t>
    </r>
    <r>
      <rPr>
        <b/>
        <sz val="9"/>
        <color theme="1"/>
        <rFont val="Verdana"/>
        <family val="2"/>
      </rPr>
      <t xml:space="preserve">
</t>
    </r>
  </si>
  <si>
    <r>
      <t xml:space="preserve">Tolerance 
</t>
    </r>
    <r>
      <rPr>
        <sz val="9"/>
        <color theme="1"/>
        <rFont val="Verdana"/>
        <family val="2"/>
      </rP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</t>
    </r>
  </si>
  <si>
    <t xml:space="preserve">PT-100 Test </t>
  </si>
  <si>
    <t>measurement</t>
  </si>
  <si>
    <r>
      <t>(</t>
    </r>
    <r>
      <rPr>
        <sz val="9"/>
        <color theme="1"/>
        <rFont val="Symbol"/>
        <family val="1"/>
        <charset val="2"/>
      </rPr>
      <t>W</t>
    </r>
    <r>
      <rPr>
        <sz val="9"/>
        <color theme="1"/>
        <rFont val="Verdana"/>
        <family val="2"/>
      </rPr>
      <t>)</t>
    </r>
  </si>
  <si>
    <r>
      <t>PT100 U</t>
    </r>
    <r>
      <rPr>
        <vertAlign val="subscript"/>
        <sz val="9"/>
        <color theme="1"/>
        <rFont val="Verdana"/>
        <family val="2"/>
      </rPr>
      <t>1</t>
    </r>
  </si>
  <si>
    <r>
      <t>PT100 U</t>
    </r>
    <r>
      <rPr>
        <vertAlign val="subscript"/>
        <sz val="9"/>
        <color theme="1"/>
        <rFont val="Verdana"/>
        <family val="2"/>
      </rPr>
      <t>2</t>
    </r>
  </si>
  <si>
    <r>
      <t>PT100 V</t>
    </r>
    <r>
      <rPr>
        <vertAlign val="subscript"/>
        <sz val="9"/>
        <color theme="1"/>
        <rFont val="Verdana"/>
        <family val="2"/>
      </rPr>
      <t>1</t>
    </r>
  </si>
  <si>
    <r>
      <t>PT100 V</t>
    </r>
    <r>
      <rPr>
        <vertAlign val="subscript"/>
        <sz val="9"/>
        <color theme="1"/>
        <rFont val="Verdana"/>
        <family val="2"/>
      </rPr>
      <t>2</t>
    </r>
  </si>
  <si>
    <r>
      <t>PT100 W</t>
    </r>
    <r>
      <rPr>
        <vertAlign val="subscript"/>
        <sz val="9"/>
        <color theme="1"/>
        <rFont val="Verdana"/>
        <family val="2"/>
      </rPr>
      <t>1</t>
    </r>
  </si>
  <si>
    <r>
      <t>PT100 W</t>
    </r>
    <r>
      <rPr>
        <vertAlign val="subscript"/>
        <sz val="9"/>
        <color theme="1"/>
        <rFont val="Verdana"/>
        <family val="2"/>
      </rPr>
      <t>2</t>
    </r>
  </si>
  <si>
    <r>
      <t>PT100 DE</t>
    </r>
    <r>
      <rPr>
        <vertAlign val="subscript"/>
        <sz val="9"/>
        <color theme="1"/>
        <rFont val="Verdana"/>
        <family val="2"/>
      </rPr>
      <t>1</t>
    </r>
  </si>
  <si>
    <r>
      <t>PT100 DE</t>
    </r>
    <r>
      <rPr>
        <vertAlign val="subscript"/>
        <sz val="9"/>
        <color theme="1"/>
        <rFont val="Verdana"/>
        <family val="2"/>
      </rPr>
      <t>2</t>
    </r>
  </si>
  <si>
    <r>
      <t>PT100 NDE</t>
    </r>
    <r>
      <rPr>
        <vertAlign val="subscript"/>
        <sz val="9"/>
        <color theme="1"/>
        <rFont val="Verdana"/>
        <family val="2"/>
      </rPr>
      <t>1</t>
    </r>
  </si>
  <si>
    <r>
      <t>PT100 NDE</t>
    </r>
    <r>
      <rPr>
        <vertAlign val="subscript"/>
        <sz val="9"/>
        <color theme="1"/>
        <rFont val="Verdana"/>
        <family val="2"/>
      </rPr>
      <t>2</t>
    </r>
  </si>
  <si>
    <r>
      <t>RTD = R</t>
    </r>
    <r>
      <rPr>
        <i/>
        <sz val="12"/>
        <color rgb="FF202122"/>
        <rFont val="Arial"/>
        <family val="2"/>
      </rPr>
      <t>esistance </t>
    </r>
    <r>
      <rPr>
        <b/>
        <i/>
        <sz val="12"/>
        <color rgb="FF202122"/>
        <rFont val="Arial"/>
        <family val="2"/>
      </rPr>
      <t>T</t>
    </r>
    <r>
      <rPr>
        <i/>
        <sz val="12"/>
        <color rgb="FF202122"/>
        <rFont val="Arial"/>
        <family val="2"/>
      </rPr>
      <t>emperature </t>
    </r>
    <r>
      <rPr>
        <b/>
        <i/>
        <sz val="12"/>
        <color rgb="FF202122"/>
        <rFont val="Arial"/>
        <family val="2"/>
      </rPr>
      <t>D</t>
    </r>
    <r>
      <rPr>
        <i/>
        <sz val="12"/>
        <color rgb="FF202122"/>
        <rFont val="Arial"/>
        <family val="2"/>
      </rPr>
      <t>etector</t>
    </r>
  </si>
  <si>
    <r>
      <t xml:space="preserve"> PTC T</t>
    </r>
    <r>
      <rPr>
        <vertAlign val="subscript"/>
        <sz val="12"/>
        <color rgb="FF606060"/>
        <rFont val="Arial"/>
        <family val="2"/>
      </rPr>
      <t>NF</t>
    </r>
    <r>
      <rPr>
        <sz val="12"/>
        <color rgb="FF606060"/>
        <rFont val="Arial"/>
        <family val="2"/>
      </rPr>
      <t xml:space="preserve"> = nominal trip temperature.</t>
    </r>
  </si>
  <si>
    <t xml:space="preserve">To check the proper functioning of the triplet PTC, measurements at both lower and higher operating temperatures are sufficient! </t>
  </si>
  <si>
    <t>If in doubt, see the table for proper PTC operation.</t>
  </si>
  <si>
    <t>Inspection Results PTC wire colours</t>
  </si>
  <si>
    <t>(Stop)</t>
  </si>
  <si>
    <t>PTC STOP sensor</t>
  </si>
  <si>
    <t>Temperature values</t>
  </si>
  <si>
    <t>PTC Wire Colours Triplet</t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</si>
  <si>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(main)</t>
    </r>
  </si>
  <si>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 xml:space="preserve">C    </t>
    </r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</si>
  <si>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(spare)</t>
    </r>
  </si>
  <si>
    <t>(each phase, in serie U, V, W)</t>
  </si>
  <si>
    <t>Test Results PTC resistance</t>
  </si>
  <si>
    <t>(Stop, main)</t>
  </si>
  <si>
    <t>Resistance PTC STOP sensor, main</t>
  </si>
  <si>
    <r>
      <t>Temperature (</t>
    </r>
    <r>
      <rPr>
        <b/>
        <vertAlign val="superscript"/>
        <sz val="9"/>
        <color theme="1"/>
        <rFont val="Verdana"/>
        <family val="2"/>
      </rPr>
      <t>0</t>
    </r>
    <r>
      <rPr>
        <b/>
        <sz val="9"/>
        <color theme="1"/>
        <rFont val="Verdana"/>
        <family val="2"/>
      </rPr>
      <t>C)</t>
    </r>
  </si>
  <si>
    <r>
      <rPr>
        <b/>
        <sz val="8"/>
        <color theme="1"/>
        <rFont val="Verdana"/>
        <family val="2"/>
      </rPr>
      <t xml:space="preserve">Measu- ring voltage </t>
    </r>
    <r>
      <rPr>
        <b/>
        <sz val="9"/>
        <color theme="1"/>
        <rFont val="Verdana"/>
        <family val="2"/>
      </rPr>
      <t>(VDC)</t>
    </r>
  </si>
  <si>
    <r>
      <t>Single PTC (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>)</t>
    </r>
  </si>
  <si>
    <r>
      <t>Triple PTC (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>)</t>
    </r>
  </si>
  <si>
    <r>
      <t>Resistance,  PTC 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-  5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 (max)</t>
    </r>
  </si>
  <si>
    <r>
      <t>Resistance,  PTC 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(typ)</t>
    </r>
  </si>
  <si>
    <r>
      <t>Resistance,  PTC 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+  5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 (min)</t>
    </r>
  </si>
  <si>
    <r>
      <t>Resistance,  PTC 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+ 15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 (min)</t>
    </r>
  </si>
  <si>
    <t>(Stop, spare)</t>
  </si>
  <si>
    <t>Resistance PTC STOP sensor, spare</t>
  </si>
  <si>
    <r>
      <t>Type-A,  Resistance PTC 25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 (max)</t>
    </r>
  </si>
  <si>
    <r>
      <t>Type-B,  Resistance PTC 25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 (max)</t>
    </r>
  </si>
  <si>
    <t>(Warning)</t>
  </si>
  <si>
    <t>PTC Warning sensor</t>
  </si>
  <si>
    <t>(Warning, main)</t>
  </si>
  <si>
    <t>Resistance PTC Warning sensor, main</t>
  </si>
  <si>
    <t>(Warning, spare)</t>
  </si>
  <si>
    <t>Resistance PTC Warning sensor, spare</t>
  </si>
  <si>
    <t>Rated voltage windings</t>
  </si>
  <si>
    <t>VAC</t>
  </si>
  <si>
    <t>Test Voltage Percentage</t>
  </si>
  <si>
    <t>Test voltage auxiliaries</t>
  </si>
  <si>
    <t>100% first time, 80% repetitive</t>
  </si>
  <si>
    <t>Description</t>
  </si>
  <si>
    <t>Test Voltage IEC34-1</t>
  </si>
  <si>
    <t>Test Time</t>
  </si>
  <si>
    <t>Statorwinding</t>
  </si>
  <si>
    <t>60 sec</t>
  </si>
  <si>
    <t>Auxiliarias</t>
  </si>
  <si>
    <t>15 sec</t>
  </si>
  <si>
    <t>HiPot(AC)</t>
  </si>
  <si>
    <t>heater L1 - PE</t>
  </si>
  <si>
    <t>HiPot (AC)</t>
  </si>
  <si>
    <t>Ubemf specification</t>
  </si>
  <si>
    <t>BEMF test, only in case of PM machine</t>
  </si>
  <si>
    <t xml:space="preserve">Ubemf (cold) </t>
  </si>
  <si>
    <t>at</t>
  </si>
  <si>
    <t>rated speed</t>
  </si>
  <si>
    <t>Tol. Min</t>
  </si>
  <si>
    <t>Tol Max</t>
  </si>
  <si>
    <t>At rated rpm</t>
  </si>
  <si>
    <t>Typical</t>
  </si>
  <si>
    <t>Upk (peak)</t>
  </si>
  <si>
    <t>Upk-pk</t>
  </si>
  <si>
    <t>With measured speed</t>
  </si>
  <si>
    <t>Tol. Max</t>
  </si>
  <si>
    <t>Voltage and speed  measured</t>
  </si>
  <si>
    <t>Measured Upk-pk</t>
  </si>
  <si>
    <t>measured</t>
  </si>
  <si>
    <t>calc.</t>
  </si>
  <si>
    <t>Ubemf</t>
  </si>
  <si>
    <t>Measured</t>
  </si>
  <si>
    <t>rated frequency</t>
  </si>
  <si>
    <t>pole pairs</t>
  </si>
  <si>
    <t>pp.</t>
  </si>
  <si>
    <t>w</t>
  </si>
  <si>
    <t>rad/s</t>
  </si>
  <si>
    <r>
      <t xml:space="preserve">Ke = Upk / </t>
    </r>
    <r>
      <rPr>
        <sz val="9"/>
        <color theme="1"/>
        <rFont val="Symbol"/>
        <family val="1"/>
        <charset val="2"/>
      </rPr>
      <t>w</t>
    </r>
  </si>
  <si>
    <t>V.s/rad</t>
  </si>
  <si>
    <t>T period</t>
  </si>
  <si>
    <t>msec</t>
  </si>
  <si>
    <t>BEMF (cold)</t>
  </si>
  <si>
    <t>Mechanical test how the machine performs at a higher speed and measurement Bemf.</t>
  </si>
  <si>
    <t>Fig. 3.9: Mechanical overspeed test and BEMF.</t>
  </si>
  <si>
    <t>Test speed (%)</t>
  </si>
  <si>
    <t>n (rpm)</t>
  </si>
  <si>
    <t>Test speed (rpm)</t>
  </si>
  <si>
    <t>Test time (s)</t>
  </si>
  <si>
    <t>IEC 60034-1</t>
  </si>
  <si>
    <t>Overspeed test</t>
  </si>
  <si>
    <t>Test</t>
  </si>
  <si>
    <t>Measured speed (rpm)</t>
  </si>
  <si>
    <t>Norm test speed (rpm)</t>
  </si>
  <si>
    <t xml:space="preserve">Overspeed  </t>
  </si>
  <si>
    <t>Overspeed</t>
  </si>
  <si>
    <t>Embedded temperature detector method (ETD)</t>
  </si>
  <si>
    <t>The temperature is determined by means of temperature detectors (e.g. resistance thermometers, RTD = Resistance Temperature Detector, PT-100) built into the machine during construction, at points which are inaccessible after the machine is completed.</t>
  </si>
  <si>
    <t>RTD stator winding phases, cold</t>
  </si>
  <si>
    <t>T Measured</t>
  </si>
  <si>
    <t>Temperature Rise Test ETD</t>
  </si>
  <si>
    <r>
      <rPr>
        <sz val="9"/>
        <color theme="1"/>
        <rFont val="Verdana"/>
        <family val="2"/>
      </rP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</t>
    </r>
  </si>
  <si>
    <t>Ta Tambient, cold</t>
  </si>
  <si>
    <t>RTD stator winding phases, hot</t>
  </si>
  <si>
    <t xml:space="preserve">Powered by VFD </t>
  </si>
  <si>
    <t>VFD = Variable Frequency Drive</t>
  </si>
  <si>
    <t>(y/n)</t>
  </si>
  <si>
    <t>y</t>
  </si>
  <si>
    <t>Ta Tambient, hot</t>
  </si>
  <si>
    <t>ETD-method
stator winding 
temperature rise test</t>
  </si>
  <si>
    <r>
      <rPr>
        <b/>
        <sz val="9"/>
        <color theme="1"/>
        <rFont val="Symbol"/>
        <family val="1"/>
        <charset val="2"/>
      </rPr>
      <t>DQ</t>
    </r>
    <r>
      <rPr>
        <b/>
        <vertAlign val="subscript"/>
        <sz val="9"/>
        <color theme="1"/>
        <rFont val="Verdana"/>
        <family val="2"/>
      </rPr>
      <t xml:space="preserve">u </t>
    </r>
    <r>
      <rPr>
        <b/>
        <sz val="9"/>
        <color theme="1"/>
        <rFont val="Verdana"/>
        <family val="2"/>
      </rPr>
      <t>temperature rise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stator winding</t>
    </r>
    <r>
      <rPr>
        <sz val="9"/>
        <color theme="1"/>
        <rFont val="Verdana"/>
        <family val="2"/>
      </rPr>
      <t xml:space="preserve"> by PT100(hot) minus PT100(cold)</t>
    </r>
    <r>
      <rPr>
        <sz val="9"/>
        <color theme="1"/>
        <rFont val="Symbol"/>
        <family val="1"/>
        <charset val="2"/>
      </rPr>
      <t xml:space="preserve"> </t>
    </r>
  </si>
  <si>
    <t>Maxium rise temperature  imposed</t>
  </si>
  <si>
    <r>
      <rPr>
        <b/>
        <sz val="9"/>
        <color theme="1"/>
        <rFont val="Symbol"/>
        <family val="1"/>
        <charset val="2"/>
      </rPr>
      <t>DQ</t>
    </r>
    <r>
      <rPr>
        <b/>
        <vertAlign val="subscript"/>
        <sz val="9"/>
        <color theme="1"/>
        <rFont val="Verdana"/>
        <family val="2"/>
      </rPr>
      <t xml:space="preserve">v </t>
    </r>
    <r>
      <rPr>
        <b/>
        <sz val="9"/>
        <color theme="1"/>
        <rFont val="Verdana"/>
        <family val="2"/>
      </rPr>
      <t>+ ta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absolute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temperature stator winding </t>
    </r>
  </si>
  <si>
    <r>
      <t>DQ</t>
    </r>
    <r>
      <rPr>
        <b/>
        <vertAlign val="subscript"/>
        <sz val="9"/>
        <color theme="1"/>
        <rFont val="Verdana"/>
        <family val="2"/>
      </rPr>
      <t xml:space="preserve">v </t>
    </r>
    <r>
      <rPr>
        <b/>
        <sz val="9"/>
        <color theme="1"/>
        <rFont val="Verdana"/>
        <family val="2"/>
      </rPr>
      <t>+ ta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absolute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temperature stator winding </t>
    </r>
  </si>
  <si>
    <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 xml:space="preserve">C)  </t>
    </r>
  </si>
  <si>
    <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  ta cold</t>
    </r>
  </si>
  <si>
    <r>
      <t>(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 ta hot</t>
    </r>
  </si>
  <si>
    <t>Embedded temperature detector method (ETD) or Thermometer method (without ETD on bearings)</t>
  </si>
  <si>
    <t xml:space="preserve">The temperature is determined by means of temperature detectors (e.g. resistance thermometers, RTD = Resistance Temperature Detector, PT-100) built into the machine during construction, at points which are inaccessible after the machine is completed. Or the temperature is determined by thermometers applied (RTD, PT-100 or thermocouples) to accessible surfaces of the
completed machine. </t>
  </si>
  <si>
    <t>Drive End (DE)</t>
  </si>
  <si>
    <t>Non Drive end (NDE)</t>
  </si>
  <si>
    <r>
      <rPr>
        <b/>
        <sz val="9"/>
        <color theme="1"/>
        <rFont val="Verdana"/>
        <family val="2"/>
      </rPr>
      <t>Note</t>
    </r>
    <r>
      <rPr>
        <sz val="9"/>
        <color theme="1"/>
        <rFont val="Verdana"/>
        <family val="2"/>
      </rPr>
      <t>:</t>
    </r>
  </si>
  <si>
    <t>Bearing temperature directly measured after temperature rise test.</t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</si>
  <si>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Drive End (DE);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</si>
  <si>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sz val="9"/>
        <color theme="1"/>
        <rFont val="Verdana"/>
        <family val="2"/>
      </rPr>
      <t>Non Drive End (NDE).</t>
    </r>
  </si>
  <si>
    <t xml:space="preserve">Ta Tambient, hot </t>
  </si>
  <si>
    <r>
      <rPr>
        <b/>
        <sz val="9"/>
        <color theme="1"/>
        <rFont val="Symbol"/>
        <family val="1"/>
        <charset val="2"/>
      </rPr>
      <t>DQ</t>
    </r>
    <r>
      <rPr>
        <b/>
        <vertAlign val="subscript"/>
        <sz val="9"/>
        <color theme="1"/>
        <rFont val="Verdana"/>
        <family val="2"/>
      </rPr>
      <t xml:space="preserve">u </t>
    </r>
    <r>
      <rPr>
        <b/>
        <sz val="9"/>
        <color theme="1"/>
        <rFont val="Verdana"/>
        <family val="2"/>
      </rPr>
      <t>temperature rise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bearings</t>
    </r>
    <r>
      <rPr>
        <sz val="9"/>
        <color theme="1"/>
        <rFont val="Verdana"/>
        <family val="2"/>
      </rPr>
      <t xml:space="preserve"> by PT100(hot) minus PT100(cold)</t>
    </r>
    <r>
      <rPr>
        <sz val="9"/>
        <color theme="1"/>
        <rFont val="Symbol"/>
        <family val="1"/>
        <charset val="2"/>
      </rPr>
      <t xml:space="preserve"> </t>
    </r>
  </si>
  <si>
    <t>Maxium  temperature  imposed</t>
  </si>
  <si>
    <r>
      <t>DQ</t>
    </r>
    <r>
      <rPr>
        <b/>
        <vertAlign val="subscript"/>
        <sz val="9"/>
        <color theme="1"/>
        <rFont val="Verdana"/>
        <family val="2"/>
      </rPr>
      <t xml:space="preserve">v </t>
    </r>
    <r>
      <rPr>
        <b/>
        <sz val="9"/>
        <color theme="1"/>
        <rFont val="Verdana"/>
        <family val="2"/>
      </rPr>
      <t>+ ta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absolute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temperature bearings</t>
    </r>
  </si>
  <si>
    <r>
      <t>DQ</t>
    </r>
    <r>
      <rPr>
        <b/>
        <vertAlign val="subscript"/>
        <sz val="9"/>
        <color theme="1"/>
        <rFont val="Verdana"/>
        <family val="2"/>
      </rPr>
      <t xml:space="preserve">v </t>
    </r>
    <r>
      <rPr>
        <b/>
        <sz val="9"/>
        <color theme="1"/>
        <rFont val="Verdana"/>
        <family val="2"/>
      </rPr>
      <t>+ ta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>absolute</t>
    </r>
    <r>
      <rPr>
        <b/>
        <vertAlign val="subscript"/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temperature bearings </t>
    </r>
  </si>
  <si>
    <t>Rs stator winding phases, hot</t>
  </si>
  <si>
    <t>N.A</t>
  </si>
  <si>
    <t>Resistance Winding Test</t>
  </si>
  <si>
    <t>see 3.4 Cold</t>
  </si>
  <si>
    <t>see 3.13 Hot</t>
  </si>
  <si>
    <t>Rs stator winding phases</t>
  </si>
  <si>
    <t>Temperature Rise</t>
  </si>
  <si>
    <r>
      <t>m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 xml:space="preserve"> @ T1</t>
    </r>
  </si>
  <si>
    <r>
      <t>m</t>
    </r>
    <r>
      <rPr>
        <b/>
        <sz val="9"/>
        <color theme="1"/>
        <rFont val="Symbol"/>
        <family val="1"/>
        <charset val="2"/>
      </rPr>
      <t>W</t>
    </r>
    <r>
      <rPr>
        <b/>
        <sz val="9"/>
        <color theme="1"/>
        <rFont val="Verdana"/>
        <family val="2"/>
      </rPr>
      <t xml:space="preserve"> @ T2</t>
    </r>
  </si>
  <si>
    <t>T1 Cold</t>
  </si>
  <si>
    <t>T2 Hot</t>
  </si>
  <si>
    <t>Load Test 1</t>
  </si>
  <si>
    <t>Power calculation factor</t>
  </si>
  <si>
    <t>Pin VSD</t>
  </si>
  <si>
    <t>x</t>
  </si>
  <si>
    <t>Machine load test 1: 25%, 50%, 75%, 100% and 110% of rated power at rated speed.</t>
  </si>
  <si>
    <t>Pin motor</t>
  </si>
  <si>
    <r>
      <t>P</t>
    </r>
    <r>
      <rPr>
        <b/>
        <vertAlign val="subscript"/>
        <sz val="11"/>
        <color theme="1"/>
        <rFont val="Verdana"/>
        <family val="2"/>
      </rPr>
      <t>in</t>
    </r>
    <r>
      <rPr>
        <b/>
        <sz val="11"/>
        <color theme="1"/>
        <rFont val="Verdana"/>
        <family val="2"/>
      </rPr>
      <t xml:space="preserve"> VSD</t>
    </r>
  </si>
  <si>
    <t>Load</t>
  </si>
  <si>
    <t>Tolerance (U.I.PF versus P)</t>
  </si>
  <si>
    <t>(%)</t>
  </si>
  <si>
    <t>(kW)</t>
  </si>
  <si>
    <t>(Hz)</t>
  </si>
  <si>
    <t>(rpm)</t>
  </si>
  <si>
    <r>
      <t>U</t>
    </r>
    <r>
      <rPr>
        <vertAlign val="subscript"/>
        <sz val="10"/>
        <color theme="1"/>
        <rFont val="Verdana"/>
        <family val="2"/>
      </rPr>
      <t>L1</t>
    </r>
    <r>
      <rPr>
        <sz val="10"/>
        <color theme="1"/>
        <rFont val="Verdana"/>
        <family val="2"/>
      </rPr>
      <t>(V)</t>
    </r>
  </si>
  <si>
    <r>
      <t>U</t>
    </r>
    <r>
      <rPr>
        <vertAlign val="subscript"/>
        <sz val="10"/>
        <color theme="1"/>
        <rFont val="Verdana"/>
        <family val="2"/>
      </rPr>
      <t>L2</t>
    </r>
    <r>
      <rPr>
        <sz val="10"/>
        <color theme="1"/>
        <rFont val="Verdana"/>
        <family val="2"/>
      </rPr>
      <t>(V)</t>
    </r>
  </si>
  <si>
    <r>
      <t>U</t>
    </r>
    <r>
      <rPr>
        <vertAlign val="subscript"/>
        <sz val="10"/>
        <color theme="1"/>
        <rFont val="Verdana"/>
        <family val="2"/>
      </rPr>
      <t>L3</t>
    </r>
    <r>
      <rPr>
        <sz val="10"/>
        <color theme="1"/>
        <rFont val="Verdana"/>
        <family val="2"/>
      </rPr>
      <t>(V)</t>
    </r>
  </si>
  <si>
    <r>
      <t>I</t>
    </r>
    <r>
      <rPr>
        <vertAlign val="subscript"/>
        <sz val="10"/>
        <color theme="1"/>
        <rFont val="Verdana"/>
        <family val="2"/>
      </rPr>
      <t>L1</t>
    </r>
    <r>
      <rPr>
        <sz val="10"/>
        <color theme="1"/>
        <rFont val="Verdana"/>
        <family val="2"/>
      </rPr>
      <t>(A)</t>
    </r>
  </si>
  <si>
    <r>
      <t>I</t>
    </r>
    <r>
      <rPr>
        <vertAlign val="subscript"/>
        <sz val="10"/>
        <color theme="1"/>
        <rFont val="Verdana"/>
        <family val="2"/>
      </rPr>
      <t>L2</t>
    </r>
    <r>
      <rPr>
        <sz val="10"/>
        <color theme="1"/>
        <rFont val="Verdana"/>
        <family val="2"/>
      </rPr>
      <t>(A)</t>
    </r>
  </si>
  <si>
    <r>
      <t>I</t>
    </r>
    <r>
      <rPr>
        <vertAlign val="subscript"/>
        <sz val="10"/>
        <color theme="1"/>
        <rFont val="Verdana"/>
        <family val="2"/>
      </rPr>
      <t>L3</t>
    </r>
    <r>
      <rPr>
        <sz val="10"/>
        <color theme="1"/>
        <rFont val="Verdana"/>
        <family val="2"/>
      </rPr>
      <t>(A)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</si>
  <si>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L1</t>
    </r>
    <r>
      <rPr>
        <sz val="10"/>
        <color theme="1"/>
        <rFont val="Verdana"/>
        <family val="2"/>
      </rPr>
      <t>(-)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</si>
  <si>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L2</t>
    </r>
    <r>
      <rPr>
        <sz val="10"/>
        <color theme="1"/>
        <rFont val="Verdana"/>
        <family val="2"/>
      </rPr>
      <t>(-)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</si>
  <si>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L3</t>
    </r>
    <r>
      <rPr>
        <sz val="10"/>
        <color theme="1"/>
        <rFont val="Verdana"/>
        <family val="2"/>
      </rPr>
      <t>(-)</t>
    </r>
  </si>
  <si>
    <r>
      <t>Pin</t>
    </r>
    <r>
      <rPr>
        <vertAlign val="subscript"/>
        <sz val="10"/>
        <color theme="1"/>
        <rFont val="Verdana"/>
        <family val="2"/>
      </rPr>
      <t>L1</t>
    </r>
    <r>
      <rPr>
        <sz val="10"/>
        <color theme="1"/>
        <rFont val="Verdana"/>
        <family val="2"/>
      </rPr>
      <t>(kW)</t>
    </r>
  </si>
  <si>
    <r>
      <t>Pin</t>
    </r>
    <r>
      <rPr>
        <vertAlign val="subscript"/>
        <sz val="10"/>
        <color theme="1"/>
        <rFont val="Verdana"/>
        <family val="2"/>
      </rPr>
      <t>L2</t>
    </r>
    <r>
      <rPr>
        <sz val="10"/>
        <color theme="1"/>
        <rFont val="Verdana"/>
        <family val="2"/>
      </rPr>
      <t>(kW)</t>
    </r>
  </si>
  <si>
    <r>
      <t>Pin</t>
    </r>
    <r>
      <rPr>
        <vertAlign val="subscript"/>
        <sz val="10"/>
        <color theme="1"/>
        <rFont val="Verdana"/>
        <family val="2"/>
      </rPr>
      <t>L3</t>
    </r>
    <r>
      <rPr>
        <sz val="10"/>
        <color theme="1"/>
        <rFont val="Verdana"/>
        <family val="2"/>
      </rPr>
      <t>(kW)</t>
    </r>
  </si>
  <si>
    <t>Pin (kW)</t>
  </si>
  <si>
    <t>Tol. U(%)</t>
  </si>
  <si>
    <t>Tol. V(%)</t>
  </si>
  <si>
    <t>Tol. W(%)</t>
  </si>
  <si>
    <r>
      <t>P</t>
    </r>
    <r>
      <rPr>
        <b/>
        <vertAlign val="subscript"/>
        <sz val="11"/>
        <color theme="1"/>
        <rFont val="Verdana"/>
        <family val="2"/>
      </rPr>
      <t>in</t>
    </r>
    <r>
      <rPr>
        <b/>
        <sz val="11"/>
        <color theme="1"/>
        <rFont val="Verdana"/>
        <family val="2"/>
      </rPr>
      <t xml:space="preserve"> Motor</t>
    </r>
  </si>
  <si>
    <r>
      <t>U</t>
    </r>
    <r>
      <rPr>
        <vertAlign val="subscript"/>
        <sz val="10"/>
        <color theme="1"/>
        <rFont val="Verdana"/>
        <family val="2"/>
      </rPr>
      <t>U</t>
    </r>
    <r>
      <rPr>
        <sz val="10"/>
        <color theme="1"/>
        <rFont val="Verdana"/>
        <family val="2"/>
      </rPr>
      <t>(V)</t>
    </r>
  </si>
  <si>
    <r>
      <t>U</t>
    </r>
    <r>
      <rPr>
        <vertAlign val="subscript"/>
        <sz val="10"/>
        <color theme="1"/>
        <rFont val="Verdana"/>
        <family val="2"/>
      </rPr>
      <t>V</t>
    </r>
    <r>
      <rPr>
        <sz val="10"/>
        <color theme="1"/>
        <rFont val="Verdana"/>
        <family val="2"/>
      </rPr>
      <t>(V)</t>
    </r>
  </si>
  <si>
    <r>
      <t>U</t>
    </r>
    <r>
      <rPr>
        <vertAlign val="subscript"/>
        <sz val="10"/>
        <color theme="1"/>
        <rFont val="Verdana"/>
        <family val="2"/>
      </rPr>
      <t>w</t>
    </r>
    <r>
      <rPr>
        <sz val="10"/>
        <color theme="1"/>
        <rFont val="Verdana"/>
        <family val="2"/>
      </rPr>
      <t>(V)</t>
    </r>
  </si>
  <si>
    <r>
      <t>I</t>
    </r>
    <r>
      <rPr>
        <vertAlign val="subscript"/>
        <sz val="10"/>
        <color theme="1"/>
        <rFont val="Verdana"/>
        <family val="2"/>
      </rPr>
      <t>U</t>
    </r>
    <r>
      <rPr>
        <sz val="10"/>
        <color theme="1"/>
        <rFont val="Verdana"/>
        <family val="2"/>
      </rPr>
      <t>(A)</t>
    </r>
  </si>
  <si>
    <r>
      <t>I</t>
    </r>
    <r>
      <rPr>
        <vertAlign val="subscript"/>
        <sz val="10"/>
        <color theme="1"/>
        <rFont val="Verdana"/>
        <family val="2"/>
      </rPr>
      <t>V</t>
    </r>
    <r>
      <rPr>
        <sz val="10"/>
        <color theme="1"/>
        <rFont val="Verdana"/>
        <family val="2"/>
      </rPr>
      <t>(A)</t>
    </r>
  </si>
  <si>
    <r>
      <t>I</t>
    </r>
    <r>
      <rPr>
        <vertAlign val="subscript"/>
        <sz val="10"/>
        <color theme="1"/>
        <rFont val="Verdana"/>
        <family val="2"/>
      </rPr>
      <t>w</t>
    </r>
    <r>
      <rPr>
        <sz val="10"/>
        <color theme="1"/>
        <rFont val="Verdana"/>
        <family val="2"/>
      </rPr>
      <t>(A)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</si>
  <si>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U</t>
    </r>
    <r>
      <rPr>
        <sz val="10"/>
        <color theme="1"/>
        <rFont val="Verdana"/>
        <family val="2"/>
      </rPr>
      <t>(-)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</si>
  <si>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V</t>
    </r>
    <r>
      <rPr>
        <sz val="10"/>
        <color theme="1"/>
        <rFont val="Verdana"/>
        <family val="2"/>
      </rPr>
      <t>(-)</t>
    </r>
  </si>
  <si>
    <r>
      <t>COS</t>
    </r>
    <r>
      <rPr>
        <sz val="10"/>
        <color theme="1"/>
        <rFont val="Symbol"/>
        <family val="1"/>
        <charset val="2"/>
      </rPr>
      <t xml:space="preserve"> j</t>
    </r>
    <r>
      <rPr>
        <vertAlign val="subscript"/>
        <sz val="10"/>
        <color theme="1"/>
        <rFont val="Verdana"/>
        <family val="2"/>
      </rPr>
      <t>W</t>
    </r>
    <r>
      <rPr>
        <sz val="10"/>
        <color theme="1"/>
        <rFont val="Verdana"/>
        <family val="2"/>
      </rPr>
      <t>(-)</t>
    </r>
  </si>
  <si>
    <r>
      <t>Pin</t>
    </r>
    <r>
      <rPr>
        <vertAlign val="subscript"/>
        <sz val="10"/>
        <color theme="1"/>
        <rFont val="Verdana"/>
        <family val="2"/>
      </rPr>
      <t>U</t>
    </r>
    <r>
      <rPr>
        <sz val="10"/>
        <color theme="1"/>
        <rFont val="Verdana"/>
        <family val="2"/>
      </rPr>
      <t>(kW)</t>
    </r>
  </si>
  <si>
    <r>
      <t>Pin</t>
    </r>
    <r>
      <rPr>
        <vertAlign val="subscript"/>
        <sz val="10"/>
        <color theme="1"/>
        <rFont val="Verdana"/>
        <family val="2"/>
      </rPr>
      <t>V</t>
    </r>
    <r>
      <rPr>
        <sz val="10"/>
        <color theme="1"/>
        <rFont val="Verdana"/>
        <family val="2"/>
      </rPr>
      <t>(kW)</t>
    </r>
  </si>
  <si>
    <r>
      <t>Pin</t>
    </r>
    <r>
      <rPr>
        <vertAlign val="subscript"/>
        <sz val="10"/>
        <color theme="1"/>
        <rFont val="Verdana"/>
        <family val="2"/>
      </rPr>
      <t>W</t>
    </r>
    <r>
      <rPr>
        <sz val="10"/>
        <color theme="1"/>
        <rFont val="Verdana"/>
        <family val="2"/>
      </rPr>
      <t>(kW)</t>
    </r>
  </si>
  <si>
    <r>
      <t>P</t>
    </r>
    <r>
      <rPr>
        <b/>
        <vertAlign val="subscript"/>
        <sz val="11"/>
        <color theme="1"/>
        <rFont val="Verdana"/>
        <family val="2"/>
      </rPr>
      <t>out</t>
    </r>
    <r>
      <rPr>
        <b/>
        <sz val="11"/>
        <color theme="1"/>
        <rFont val="Verdana"/>
        <family val="2"/>
      </rPr>
      <t xml:space="preserve"> Motor</t>
    </r>
  </si>
  <si>
    <t>Calc.</t>
  </si>
  <si>
    <t>Tolerance (asymetric current)</t>
  </si>
  <si>
    <t xml:space="preserve">T(Nm) </t>
  </si>
  <si>
    <t>T(Nm)</t>
  </si>
  <si>
    <t>n(rpm)</t>
  </si>
  <si>
    <t>n(rad/s)</t>
  </si>
  <si>
    <t>Pn out(kW)</t>
  </si>
  <si>
    <t>Pn in(kW)</t>
  </si>
  <si>
    <r>
      <rPr>
        <sz val="10"/>
        <color theme="1"/>
        <rFont val="Symbol"/>
        <family val="1"/>
        <charset val="2"/>
      </rPr>
      <t>h</t>
    </r>
    <r>
      <rPr>
        <sz val="10"/>
        <color theme="1"/>
        <rFont val="Verdana"/>
        <family val="2"/>
      </rPr>
      <t xml:space="preserve"> (%)</t>
    </r>
  </si>
  <si>
    <r>
      <rPr>
        <sz val="10"/>
        <color theme="1"/>
        <rFont val="Symbol"/>
        <family val="1"/>
        <charset val="2"/>
      </rPr>
      <t>h</t>
    </r>
    <r>
      <rPr>
        <sz val="10"/>
        <color theme="1"/>
        <rFont val="Verdana"/>
        <family val="2"/>
      </rPr>
      <t xml:space="preserve"> motor (%)</t>
    </r>
  </si>
  <si>
    <t>Pout&gt;=Pr</t>
  </si>
  <si>
    <t>T &gt;= Tr</t>
  </si>
  <si>
    <t>Ir(A)</t>
  </si>
  <si>
    <t>Load Test 2</t>
  </si>
  <si>
    <t>Machine load test 2: Five load and speed points selected from pumpcurve.</t>
  </si>
  <si>
    <r>
      <rPr>
        <sz val="10"/>
        <color theme="1"/>
        <rFont val="Symbol"/>
        <family val="1"/>
        <charset val="2"/>
      </rPr>
      <t>h</t>
    </r>
    <r>
      <rPr>
        <sz val="10"/>
        <color theme="1"/>
        <rFont val="Verdana"/>
        <family val="2"/>
      </rPr>
      <t xml:space="preserve"> motor(%)</t>
    </r>
  </si>
  <si>
    <t>No-Load Test</t>
  </si>
  <si>
    <r>
      <t>P</t>
    </r>
    <r>
      <rPr>
        <b/>
        <vertAlign val="subscript"/>
        <sz val="11"/>
        <color theme="1"/>
        <rFont val="Verdana"/>
        <family val="2"/>
      </rPr>
      <t>in</t>
    </r>
    <r>
      <rPr>
        <b/>
        <sz val="11"/>
        <color theme="1"/>
        <rFont val="Verdana"/>
        <family val="2"/>
      </rPr>
      <t xml:space="preserve"> VSD (grid)</t>
    </r>
  </si>
  <si>
    <r>
      <t>P</t>
    </r>
    <r>
      <rPr>
        <b/>
        <vertAlign val="subscript"/>
        <sz val="11"/>
        <color theme="1"/>
        <rFont val="Verdana"/>
        <family val="2"/>
      </rPr>
      <t>in</t>
    </r>
    <r>
      <rPr>
        <b/>
        <sz val="11"/>
        <color theme="1"/>
        <rFont val="Verdana"/>
        <family val="2"/>
      </rPr>
      <t xml:space="preserve"> Motor </t>
    </r>
  </si>
  <si>
    <r>
      <t>U</t>
    </r>
    <r>
      <rPr>
        <vertAlign val="subscript"/>
        <sz val="11"/>
        <color theme="1"/>
        <rFont val="Verdana"/>
        <family val="2"/>
      </rPr>
      <t>0</t>
    </r>
    <r>
      <rPr>
        <sz val="11"/>
        <color theme="1"/>
        <rFont val="Verdana"/>
        <family val="2"/>
      </rPr>
      <t>(%)</t>
    </r>
  </si>
  <si>
    <r>
      <t>U</t>
    </r>
    <r>
      <rPr>
        <vertAlign val="subscript"/>
        <sz val="11"/>
        <color theme="1"/>
        <rFont val="Verdana"/>
        <family val="2"/>
      </rPr>
      <t>0</t>
    </r>
    <r>
      <rPr>
        <sz val="11"/>
        <color theme="1"/>
        <rFont val="Verdana"/>
        <family val="2"/>
      </rPr>
      <t>(V)</t>
    </r>
  </si>
  <si>
    <t>f(Hz)</t>
  </si>
  <si>
    <r>
      <t>U</t>
    </r>
    <r>
      <rPr>
        <vertAlign val="subscript"/>
        <sz val="11"/>
        <color theme="1"/>
        <rFont val="Verdana"/>
        <family val="2"/>
      </rPr>
      <t>L1</t>
    </r>
    <r>
      <rPr>
        <sz val="11"/>
        <color theme="1"/>
        <rFont val="Verdana"/>
        <family val="2"/>
      </rPr>
      <t>(V)</t>
    </r>
  </si>
  <si>
    <r>
      <t>U</t>
    </r>
    <r>
      <rPr>
        <vertAlign val="subscript"/>
        <sz val="11"/>
        <color theme="1"/>
        <rFont val="Verdana"/>
        <family val="2"/>
      </rPr>
      <t>U</t>
    </r>
    <r>
      <rPr>
        <sz val="11"/>
        <color theme="1"/>
        <rFont val="Verdana"/>
        <family val="2"/>
      </rPr>
      <t>(V)</t>
    </r>
  </si>
  <si>
    <r>
      <t>U</t>
    </r>
    <r>
      <rPr>
        <vertAlign val="subscript"/>
        <sz val="11"/>
        <color theme="1"/>
        <rFont val="Verdana"/>
        <family val="2"/>
      </rPr>
      <t>L2</t>
    </r>
    <r>
      <rPr>
        <sz val="11"/>
        <color theme="1"/>
        <rFont val="Verdana"/>
        <family val="2"/>
      </rPr>
      <t>(V)</t>
    </r>
  </si>
  <si>
    <r>
      <t>U</t>
    </r>
    <r>
      <rPr>
        <vertAlign val="subscript"/>
        <sz val="11"/>
        <color theme="1"/>
        <rFont val="Verdana"/>
        <family val="2"/>
      </rPr>
      <t>V</t>
    </r>
    <r>
      <rPr>
        <sz val="11"/>
        <color theme="1"/>
        <rFont val="Verdana"/>
        <family val="2"/>
      </rPr>
      <t>(V)</t>
    </r>
  </si>
  <si>
    <r>
      <t>U</t>
    </r>
    <r>
      <rPr>
        <vertAlign val="subscript"/>
        <sz val="11"/>
        <color theme="1"/>
        <rFont val="Verdana"/>
        <family val="2"/>
      </rPr>
      <t>L3</t>
    </r>
    <r>
      <rPr>
        <sz val="11"/>
        <color theme="1"/>
        <rFont val="Verdana"/>
        <family val="2"/>
      </rPr>
      <t>(V)</t>
    </r>
  </si>
  <si>
    <r>
      <t>U</t>
    </r>
    <r>
      <rPr>
        <vertAlign val="subscript"/>
        <sz val="11"/>
        <color theme="1"/>
        <rFont val="Verdana"/>
        <family val="2"/>
      </rPr>
      <t>w</t>
    </r>
    <r>
      <rPr>
        <sz val="11"/>
        <color theme="1"/>
        <rFont val="Verdana"/>
        <family val="2"/>
      </rPr>
      <t>(V)</t>
    </r>
  </si>
  <si>
    <r>
      <t>I</t>
    </r>
    <r>
      <rPr>
        <vertAlign val="subscript"/>
        <sz val="11"/>
        <color theme="1"/>
        <rFont val="Verdana"/>
        <family val="2"/>
      </rPr>
      <t>L1</t>
    </r>
    <r>
      <rPr>
        <sz val="11"/>
        <color theme="1"/>
        <rFont val="Verdana"/>
        <family val="2"/>
      </rPr>
      <t>(A)</t>
    </r>
  </si>
  <si>
    <r>
      <t>I</t>
    </r>
    <r>
      <rPr>
        <vertAlign val="subscript"/>
        <sz val="11"/>
        <color theme="1"/>
        <rFont val="Verdana"/>
        <family val="2"/>
      </rPr>
      <t>U</t>
    </r>
    <r>
      <rPr>
        <sz val="11"/>
        <color theme="1"/>
        <rFont val="Verdana"/>
        <family val="2"/>
      </rPr>
      <t>(A)</t>
    </r>
  </si>
  <si>
    <r>
      <t>I</t>
    </r>
    <r>
      <rPr>
        <vertAlign val="subscript"/>
        <sz val="11"/>
        <color theme="1"/>
        <rFont val="Verdana"/>
        <family val="2"/>
      </rPr>
      <t>L2</t>
    </r>
    <r>
      <rPr>
        <sz val="11"/>
        <color theme="1"/>
        <rFont val="Verdana"/>
        <family val="2"/>
      </rPr>
      <t>(A)</t>
    </r>
  </si>
  <si>
    <r>
      <t>I</t>
    </r>
    <r>
      <rPr>
        <vertAlign val="subscript"/>
        <sz val="11"/>
        <color theme="1"/>
        <rFont val="Verdana"/>
        <family val="2"/>
      </rPr>
      <t>V</t>
    </r>
    <r>
      <rPr>
        <sz val="11"/>
        <color theme="1"/>
        <rFont val="Verdana"/>
        <family val="2"/>
      </rPr>
      <t>(A)</t>
    </r>
  </si>
  <si>
    <r>
      <t>I</t>
    </r>
    <r>
      <rPr>
        <vertAlign val="subscript"/>
        <sz val="11"/>
        <color theme="1"/>
        <rFont val="Verdana"/>
        <family val="2"/>
      </rPr>
      <t>L3</t>
    </r>
    <r>
      <rPr>
        <sz val="11"/>
        <color theme="1"/>
        <rFont val="Verdana"/>
        <family val="2"/>
      </rPr>
      <t>(A)</t>
    </r>
  </si>
  <si>
    <r>
      <t>I</t>
    </r>
    <r>
      <rPr>
        <vertAlign val="subscript"/>
        <sz val="11"/>
        <color theme="1"/>
        <rFont val="Verdana"/>
        <family val="2"/>
      </rPr>
      <t>w</t>
    </r>
    <r>
      <rPr>
        <sz val="11"/>
        <color theme="1"/>
        <rFont val="Verdana"/>
        <family val="2"/>
      </rPr>
      <t>(A)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</si>
  <si>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L1</t>
    </r>
    <r>
      <rPr>
        <sz val="11"/>
        <color theme="1"/>
        <rFont val="Verdana"/>
        <family val="2"/>
      </rPr>
      <t>(-)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</si>
  <si>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U</t>
    </r>
    <r>
      <rPr>
        <sz val="11"/>
        <color theme="1"/>
        <rFont val="Verdana"/>
        <family val="2"/>
      </rPr>
      <t>(-)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</si>
  <si>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L2</t>
    </r>
    <r>
      <rPr>
        <sz val="11"/>
        <color theme="1"/>
        <rFont val="Verdana"/>
        <family val="2"/>
      </rPr>
      <t>(-)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</si>
  <si>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V</t>
    </r>
    <r>
      <rPr>
        <sz val="11"/>
        <color theme="1"/>
        <rFont val="Verdana"/>
        <family val="2"/>
      </rPr>
      <t>(-)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</si>
  <si>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L3</t>
    </r>
    <r>
      <rPr>
        <sz val="11"/>
        <color theme="1"/>
        <rFont val="Verdana"/>
        <family val="2"/>
      </rPr>
      <t>(-)</t>
    </r>
  </si>
  <si>
    <r>
      <t>COS</t>
    </r>
    <r>
      <rPr>
        <sz val="11"/>
        <color theme="1"/>
        <rFont val="Symbol"/>
        <family val="1"/>
        <charset val="2"/>
      </rPr>
      <t xml:space="preserve"> j</t>
    </r>
    <r>
      <rPr>
        <vertAlign val="subscript"/>
        <sz val="11"/>
        <color theme="1"/>
        <rFont val="Verdana"/>
        <family val="2"/>
      </rPr>
      <t>W</t>
    </r>
    <r>
      <rPr>
        <sz val="11"/>
        <color theme="1"/>
        <rFont val="Verdana"/>
        <family val="2"/>
      </rPr>
      <t>(-)</t>
    </r>
  </si>
  <si>
    <r>
      <t>Pin</t>
    </r>
    <r>
      <rPr>
        <vertAlign val="subscript"/>
        <sz val="11"/>
        <color theme="1"/>
        <rFont val="Verdana"/>
        <family val="2"/>
      </rPr>
      <t>L1</t>
    </r>
    <r>
      <rPr>
        <sz val="11"/>
        <color theme="1"/>
        <rFont val="Verdana"/>
        <family val="2"/>
      </rPr>
      <t>(W)</t>
    </r>
  </si>
  <si>
    <r>
      <t>Pin</t>
    </r>
    <r>
      <rPr>
        <vertAlign val="subscript"/>
        <sz val="11"/>
        <color theme="1"/>
        <rFont val="Verdana"/>
        <family val="2"/>
      </rPr>
      <t>U</t>
    </r>
    <r>
      <rPr>
        <sz val="11"/>
        <color theme="1"/>
        <rFont val="Verdana"/>
        <family val="2"/>
      </rPr>
      <t>(W)</t>
    </r>
  </si>
  <si>
    <r>
      <t>Pin</t>
    </r>
    <r>
      <rPr>
        <vertAlign val="subscript"/>
        <sz val="11"/>
        <color theme="1"/>
        <rFont val="Verdana"/>
        <family val="2"/>
      </rPr>
      <t>L2</t>
    </r>
    <r>
      <rPr>
        <sz val="11"/>
        <color theme="1"/>
        <rFont val="Verdana"/>
        <family val="2"/>
      </rPr>
      <t>(W)</t>
    </r>
  </si>
  <si>
    <r>
      <t>Pin</t>
    </r>
    <r>
      <rPr>
        <vertAlign val="subscript"/>
        <sz val="11"/>
        <color theme="1"/>
        <rFont val="Verdana"/>
        <family val="2"/>
      </rPr>
      <t>V</t>
    </r>
    <r>
      <rPr>
        <sz val="11"/>
        <color theme="1"/>
        <rFont val="Verdana"/>
        <family val="2"/>
      </rPr>
      <t>(W)</t>
    </r>
  </si>
  <si>
    <r>
      <t>Pin</t>
    </r>
    <r>
      <rPr>
        <vertAlign val="subscript"/>
        <sz val="11"/>
        <color theme="1"/>
        <rFont val="Verdana"/>
        <family val="2"/>
      </rPr>
      <t>L3</t>
    </r>
    <r>
      <rPr>
        <sz val="11"/>
        <color theme="1"/>
        <rFont val="Verdana"/>
        <family val="2"/>
      </rPr>
      <t>(W)</t>
    </r>
  </si>
  <si>
    <r>
      <t>Pin</t>
    </r>
    <r>
      <rPr>
        <vertAlign val="subscript"/>
        <sz val="11"/>
        <color theme="1"/>
        <rFont val="Verdana"/>
        <family val="2"/>
      </rPr>
      <t>W</t>
    </r>
    <r>
      <rPr>
        <sz val="11"/>
        <color theme="1"/>
        <rFont val="Verdana"/>
        <family val="2"/>
      </rPr>
      <t>(W)</t>
    </r>
  </si>
  <si>
    <t>PL (W)</t>
  </si>
  <si>
    <t>Pm (W)</t>
  </si>
  <si>
    <t>Io(A)</t>
  </si>
  <si>
    <t>P0(W)</t>
  </si>
  <si>
    <r>
      <t>Rs(m</t>
    </r>
    <r>
      <rPr>
        <sz val="11"/>
        <color theme="1"/>
        <rFont val="Aptos Narrow"/>
        <family val="2"/>
      </rPr>
      <t>Ω</t>
    </r>
    <r>
      <rPr>
        <sz val="11"/>
        <color theme="1"/>
        <rFont val="Verdana"/>
        <family val="2"/>
      </rPr>
      <t>)</t>
    </r>
  </si>
  <si>
    <r>
      <t>R</t>
    </r>
    <r>
      <rPr>
        <vertAlign val="subscript"/>
        <sz val="11"/>
        <color theme="1"/>
        <rFont val="Verdana"/>
        <family val="2"/>
      </rPr>
      <t>Fe</t>
    </r>
    <r>
      <rPr>
        <sz val="11"/>
        <color theme="1"/>
        <rFont val="Verdana"/>
        <family val="2"/>
      </rPr>
      <t>(</t>
    </r>
    <r>
      <rPr>
        <sz val="11"/>
        <color theme="1"/>
        <rFont val="Aptos Narrow"/>
        <family val="2"/>
      </rPr>
      <t>Ω)</t>
    </r>
  </si>
  <si>
    <t>Calculated resistance for core loses.</t>
  </si>
  <si>
    <t>Ld(mH)</t>
  </si>
  <si>
    <r>
      <t>X</t>
    </r>
    <r>
      <rPr>
        <vertAlign val="subscript"/>
        <sz val="11"/>
        <color theme="1"/>
        <rFont val="Verdana"/>
        <family val="2"/>
      </rPr>
      <t>m</t>
    </r>
    <r>
      <rPr>
        <sz val="11"/>
        <color theme="1"/>
        <rFont val="Verdana"/>
        <family val="2"/>
      </rPr>
      <t>(</t>
    </r>
    <r>
      <rPr>
        <sz val="11"/>
        <color theme="1"/>
        <rFont val="Aptos Narrow"/>
        <family val="2"/>
      </rPr>
      <t>Ω</t>
    </r>
    <r>
      <rPr>
        <sz val="11"/>
        <color theme="1"/>
        <rFont val="Verdana"/>
        <family val="2"/>
      </rPr>
      <t>)</t>
    </r>
  </si>
  <si>
    <t>Calculated resistance for magnetic reactance.</t>
  </si>
  <si>
    <t>Lq(mH)</t>
  </si>
  <si>
    <t>Value</t>
  </si>
  <si>
    <t>Unit</t>
  </si>
  <si>
    <t>Speed during measurement</t>
  </si>
  <si>
    <t>Vibration severity class</t>
  </si>
  <si>
    <t>Shaft height H</t>
  </si>
  <si>
    <t>Maximum velocity value &lt;=</t>
  </si>
  <si>
    <t>Machine installation (free or rigid)</t>
  </si>
  <si>
    <t>rigid</t>
  </si>
  <si>
    <t>Test rig, machine on floor or free shaft hanging in crane (preferably).</t>
  </si>
  <si>
    <t>machine on floor</t>
  </si>
  <si>
    <t>Machine position during measurement is always horizontal, regardless of the installation setup at the end customer.</t>
  </si>
  <si>
    <t xml:space="preserve"> horizontal</t>
  </si>
  <si>
    <t>Vibration severity grades</t>
  </si>
  <si>
    <t>Machine installation</t>
  </si>
  <si>
    <r>
      <t xml:space="preserve">Shaft height H </t>
    </r>
    <r>
      <rPr>
        <sz val="11"/>
        <color theme="1"/>
        <rFont val="Verdana"/>
        <family val="2"/>
      </rPr>
      <t>(mm)</t>
    </r>
  </si>
  <si>
    <r>
      <t xml:space="preserve">56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Verdana"/>
        <family val="2"/>
      </rPr>
      <t xml:space="preserve"> H </t>
    </r>
    <r>
      <rPr>
        <sz val="11"/>
        <color theme="1"/>
        <rFont val="Symbol"/>
        <family val="1"/>
        <charset val="2"/>
      </rPr>
      <t>£</t>
    </r>
    <r>
      <rPr>
        <sz val="11"/>
        <color theme="1"/>
        <rFont val="Verdana"/>
        <family val="2"/>
      </rPr>
      <t xml:space="preserve"> 132 </t>
    </r>
  </si>
  <si>
    <t>H &gt; 132</t>
  </si>
  <si>
    <t>Vrms (mm/s)</t>
  </si>
  <si>
    <t>Free suspension</t>
  </si>
  <si>
    <t>Rigid clamping</t>
  </si>
  <si>
    <t>Measuring point</t>
  </si>
  <si>
    <t>Vibration no-load  
forced cool fan on</t>
  </si>
  <si>
    <t>Vrms(mm/s)</t>
  </si>
  <si>
    <t>Vibration no-load  
forced cool fan off</t>
  </si>
  <si>
    <t xml:space="preserve">1 Axial DE
</t>
  </si>
  <si>
    <t xml:space="preserve">2 Top DE
</t>
  </si>
  <si>
    <t xml:space="preserve">3 Right side seen from shaft, halfway at DE
</t>
  </si>
  <si>
    <t>4 Right side seen from shaft, halfway at NDE</t>
  </si>
  <si>
    <t xml:space="preserve">5 Top NDE
</t>
  </si>
  <si>
    <t>Vibration Test</t>
  </si>
  <si>
    <r>
      <t>Imposed maximum value L</t>
    </r>
    <r>
      <rPr>
        <vertAlign val="subscript"/>
        <sz val="11"/>
        <color theme="1"/>
        <rFont val="Verdana"/>
        <family val="2"/>
      </rPr>
      <t>pa</t>
    </r>
  </si>
  <si>
    <t>dB(A)</t>
  </si>
  <si>
    <r>
      <t>Tolerance maximum value L</t>
    </r>
    <r>
      <rPr>
        <vertAlign val="subscript"/>
        <sz val="11"/>
        <color theme="1"/>
        <rFont val="Verdana"/>
        <family val="2"/>
      </rPr>
      <t>pa</t>
    </r>
  </si>
  <si>
    <t>Maximum value always &lt; 80 dBa (with VSD)</t>
  </si>
  <si>
    <t>Cooling description</t>
  </si>
  <si>
    <t>Machine position during measurement 
(vertical / horizontal)</t>
  </si>
  <si>
    <r>
      <t xml:space="preserve">Measuring point
</t>
    </r>
    <r>
      <rPr>
        <sz val="10"/>
        <color theme="1"/>
        <rFont val="Verdana"/>
        <family val="2"/>
      </rPr>
      <t>distance 1 meter</t>
    </r>
  </si>
  <si>
    <t>Noise no-load
forced cool fan on</t>
  </si>
  <si>
    <t xml:space="preserve"> Lpa (dBa)  </t>
  </si>
  <si>
    <t>Noise no-load
forced cool fan off</t>
  </si>
  <si>
    <t xml:space="preserve"> Lpa (dBa)</t>
  </si>
  <si>
    <t xml:space="preserve">3 Top NDE
</t>
  </si>
  <si>
    <t xml:space="preserve">4 Axial NDE
</t>
  </si>
  <si>
    <t>5 Left side seen from shaft, halfway, between DE and NDE.</t>
  </si>
  <si>
    <t>6 Right side seen from shaft, halfway, between DE and NDE.</t>
  </si>
  <si>
    <t xml:space="preserve">7 Background, machine switched off
</t>
  </si>
  <si>
    <t>Noise Test</t>
  </si>
  <si>
    <t/>
  </si>
  <si>
    <r>
      <t xml:space="preserve">Locked Rotor Test (aka: Blocked Rotor Test, Short-Circuit Test), </t>
    </r>
    <r>
      <rPr>
        <b/>
        <sz val="9"/>
        <color theme="1"/>
        <rFont val="Verdana"/>
        <family val="2"/>
      </rPr>
      <t>only in case of IM Machines</t>
    </r>
    <r>
      <rPr>
        <sz val="9"/>
        <color theme="1"/>
        <rFont val="Verdana"/>
        <family val="2"/>
      </rPr>
      <t>.</t>
    </r>
  </si>
  <si>
    <t>It determines torque, motor characteristics and short-circuit current at normal voltage.</t>
  </si>
  <si>
    <t>Procedure</t>
  </si>
  <si>
    <t>Connect circuit diagram</t>
  </si>
  <si>
    <t>Block Rotor</t>
  </si>
  <si>
    <r>
      <t xml:space="preserve">Apply </t>
    </r>
    <r>
      <rPr>
        <b/>
        <sz val="9"/>
        <color theme="1"/>
        <rFont val="Verdana"/>
        <family val="2"/>
      </rPr>
      <t>low</t>
    </r>
    <r>
      <rPr>
        <sz val="9"/>
        <color theme="1"/>
        <rFont val="Verdana"/>
        <family val="2"/>
      </rPr>
      <t xml:space="preserve"> voltage to stator (start with 0V)</t>
    </r>
  </si>
  <si>
    <t>Measure voltage, current, power, cos phi and frequency</t>
  </si>
  <si>
    <t>Increase voltage in small steps till rated current</t>
  </si>
  <si>
    <t>Rated current</t>
  </si>
  <si>
    <t>Rated voltage</t>
  </si>
  <si>
    <t>Ur(V)</t>
  </si>
  <si>
    <t>br = blocked rotor</t>
  </si>
  <si>
    <t>Isc = short circuit current at rated voltage</t>
  </si>
  <si>
    <t>Pbr = W1 + W2</t>
  </si>
  <si>
    <t>Ubr(V)</t>
  </si>
  <si>
    <t>Ibr(A)</t>
  </si>
  <si>
    <t>Isc(kA)</t>
  </si>
  <si>
    <t>W1(W)</t>
  </si>
  <si>
    <t>W2(W)</t>
  </si>
  <si>
    <t>Pbr(W)</t>
  </si>
  <si>
    <r>
      <t xml:space="preserve">Cos </t>
    </r>
    <r>
      <rPr>
        <b/>
        <sz val="14"/>
        <color theme="1"/>
        <rFont val="Symbol"/>
        <family val="1"/>
        <charset val="2"/>
      </rPr>
      <t>j</t>
    </r>
    <r>
      <rPr>
        <b/>
        <sz val="14"/>
        <color theme="1"/>
        <rFont val="Verdana"/>
        <family val="2"/>
      </rPr>
      <t xml:space="preserve"> (-)</t>
    </r>
  </si>
  <si>
    <t xml:space="preserve">Ubemf (hot) </t>
  </si>
  <si>
    <t>BEMF (hot)</t>
  </si>
  <si>
    <t>Insulation resistance (hot)</t>
  </si>
  <si>
    <r>
      <t>m</t>
    </r>
    <r>
      <rPr>
        <sz val="9"/>
        <color theme="1"/>
        <rFont val="Aptos Narrow"/>
        <family val="2"/>
      </rPr>
      <t>Ω</t>
    </r>
    <r>
      <rPr>
        <sz val="9"/>
        <color theme="1"/>
        <rFont val="Verdana"/>
        <family val="2"/>
      </rPr>
      <t xml:space="preserve">  (phase)</t>
    </r>
  </si>
  <si>
    <t>Additional specifications for predictive maintenance</t>
  </si>
  <si>
    <t>Temperature Protection PTC</t>
  </si>
  <si>
    <t xml:space="preserve">  List of used instruments</t>
  </si>
  <si>
    <t>Tag</t>
  </si>
  <si>
    <t>Serial Number</t>
  </si>
  <si>
    <t>Measurement</t>
  </si>
  <si>
    <t>Instrument</t>
  </si>
  <si>
    <t>Calibration</t>
  </si>
  <si>
    <t>Accuracy</t>
  </si>
  <si>
    <t>certificate + expiration date</t>
  </si>
  <si>
    <t>Power analyser 1</t>
  </si>
  <si>
    <t>U, I, f, PF, S, P, Q</t>
  </si>
  <si>
    <t>Current clamp L1</t>
  </si>
  <si>
    <t>Current clamp L2</t>
  </si>
  <si>
    <t>Current clamp L3</t>
  </si>
  <si>
    <t>Power analyser 2</t>
  </si>
  <si>
    <t>suitable for PWM</t>
  </si>
  <si>
    <t>Current clamp U</t>
  </si>
  <si>
    <t>Current clamp V</t>
  </si>
  <si>
    <t>Current clamp W</t>
  </si>
  <si>
    <t>Power analyser 3</t>
  </si>
  <si>
    <t>Temperature datalogger PT100</t>
  </si>
  <si>
    <t>Multi meter 1</t>
  </si>
  <si>
    <t>Multi meter 2</t>
  </si>
  <si>
    <t>Mili ohmmeter Rs</t>
  </si>
  <si>
    <t xml:space="preserve">Multi meter </t>
  </si>
  <si>
    <t>4-wire terminal</t>
  </si>
  <si>
    <t>Insulation (Megger)</t>
  </si>
  <si>
    <t>Insulation (PI+DAR)</t>
  </si>
  <si>
    <t>Dielectric strength tester</t>
  </si>
  <si>
    <t>Torque transducer</t>
  </si>
  <si>
    <t>Speed transducer</t>
  </si>
  <si>
    <t>Clock (time)</t>
  </si>
  <si>
    <t>Sound meter</t>
  </si>
  <si>
    <t>Vibration meter</t>
  </si>
  <si>
    <t>Fabricaat</t>
  </si>
  <si>
    <t>Danfoss-VACON</t>
  </si>
  <si>
    <t>Vectorcontrol</t>
  </si>
  <si>
    <t>Bescherming omhuizing</t>
  </si>
  <si>
    <t>IP-00</t>
  </si>
  <si>
    <t>in cabinet IP-54</t>
  </si>
  <si>
    <t>Bouwvorm</t>
  </si>
  <si>
    <t>2x NXN-0650-6-X0T0-NSV
1x NXI-1150-5-A0T0-ISG</t>
  </si>
  <si>
    <t>12-pulsige brug</t>
  </si>
  <si>
    <t>Serie nr.</t>
  </si>
  <si>
    <t>Nominale netspanning</t>
  </si>
  <si>
    <t>500vac</t>
  </si>
  <si>
    <t>Nominale ingangstroom</t>
  </si>
  <si>
    <t>2x 461</t>
  </si>
  <si>
    <t>Dd0Dy5</t>
  </si>
  <si>
    <t>Max. voorbeveiliging</t>
  </si>
  <si>
    <t>Nominale stroom (normaal)</t>
  </si>
  <si>
    <t>(normaal bedrijf)</t>
  </si>
  <si>
    <t>Nominaal vermogen (normaal)</t>
  </si>
  <si>
    <t>Overbelasting (normaal)</t>
  </si>
  <si>
    <t xml:space="preserve"> 1 min. elke 10 min.</t>
  </si>
  <si>
    <t>Nominale stroom (zwaar)</t>
  </si>
  <si>
    <t>Nominaal vermogen(zwaar)</t>
  </si>
  <si>
    <t>Overbelasting (zwaar)</t>
  </si>
  <si>
    <t>Maximale uitgangsstroom</t>
  </si>
  <si>
    <r>
      <t>bij 40</t>
    </r>
    <r>
      <rPr>
        <vertAlign val="superscript"/>
        <sz val="11"/>
        <color theme="1"/>
        <rFont val="Verdana"/>
        <family val="2"/>
      </rPr>
      <t>0</t>
    </r>
    <r>
      <rPr>
        <sz val="11"/>
        <color theme="1"/>
        <rFont val="Verdana"/>
        <family val="2"/>
      </rPr>
      <t>C omgeving</t>
    </r>
  </si>
  <si>
    <t>Nominale ingangsfrequentie</t>
  </si>
  <si>
    <t>Schakelfrequentie uitgang</t>
  </si>
  <si>
    <t>kHz</t>
  </si>
  <si>
    <t>max. 6kHz</t>
  </si>
  <si>
    <t>Control algoritme</t>
  </si>
  <si>
    <t>Vector control or
Scalar control</t>
  </si>
  <si>
    <t>closed loop sensor less (PM) or 
V/Hz (IM)</t>
  </si>
  <si>
    <t>Bedieningspaneel</t>
  </si>
  <si>
    <t>ja</t>
  </si>
  <si>
    <t>EMC filter</t>
  </si>
  <si>
    <t>Common Mode Filter</t>
  </si>
  <si>
    <t>Optiekaart</t>
  </si>
  <si>
    <t>IO</t>
  </si>
  <si>
    <t>Settings machine data</t>
  </si>
  <si>
    <t>Parameter</t>
  </si>
  <si>
    <t>Taal</t>
  </si>
  <si>
    <t>1e Dutch, 2e English</t>
  </si>
  <si>
    <t>Motor Selectie</t>
  </si>
  <si>
    <t>Aandrijfmodus</t>
  </si>
  <si>
    <t>Vacon</t>
  </si>
  <si>
    <t>Rotatie</t>
  </si>
  <si>
    <t>rechtsom + linksom</t>
  </si>
  <si>
    <t>rechtsom</t>
  </si>
  <si>
    <t>Netspanning</t>
  </si>
  <si>
    <t>Motor spanning</t>
  </si>
  <si>
    <t>Motor frequentie</t>
  </si>
  <si>
    <t>Motor vermogen</t>
  </si>
  <si>
    <t xml:space="preserve">Standaard Pnom x </t>
  </si>
  <si>
    <t>1 – 110%</t>
  </si>
  <si>
    <t>Motor stroom</t>
  </si>
  <si>
    <t xml:space="preserve">Standaard Inom x </t>
  </si>
  <si>
    <t>25 – 110%</t>
  </si>
  <si>
    <t>Motor toerental</t>
  </si>
  <si>
    <t xml:space="preserve"> 40 - 80 rpm</t>
  </si>
  <si>
    <t>Motor polen</t>
  </si>
  <si>
    <t>polen</t>
  </si>
  <si>
    <t xml:space="preserve">Motor geluid </t>
  </si>
  <si>
    <t>PWM schakelfrequentie</t>
  </si>
  <si>
    <t>Fase volgorde</t>
  </si>
  <si>
    <t>normal U, V, W</t>
  </si>
  <si>
    <t>Settings PM-machine</t>
  </si>
  <si>
    <t>Encoder</t>
  </si>
  <si>
    <t>off</t>
  </si>
  <si>
    <t>uitgeschakeld</t>
  </si>
  <si>
    <t xml:space="preserve">Motor type </t>
  </si>
  <si>
    <t>Tegen EMK</t>
  </si>
  <si>
    <t>Rs</t>
  </si>
  <si>
    <t>Ohm/fase</t>
  </si>
  <si>
    <t>Lsd</t>
  </si>
  <si>
    <t>mH/fase</t>
  </si>
  <si>
    <t>Lsq</t>
  </si>
  <si>
    <t>Temperature 
(°C)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</si>
  <si>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</si>
  <si>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</si>
  <si>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</si>
  <si>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</si>
  <si>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</si>
  <si>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</si>
  <si>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</si>
  <si>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</si>
  <si>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</si>
  <si>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</si>
  <si>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−40</t>
  </si>
  <si>
    <t>−30</t>
  </si>
  <si>
    <t>−20</t>
  </si>
  <si>
    <t>−10</t>
  </si>
  <si>
    <t>Machine specification</t>
  </si>
  <si>
    <t>Machine type</t>
  </si>
  <si>
    <t>Manufacture</t>
  </si>
  <si>
    <t>Machine Type</t>
  </si>
  <si>
    <t>International Standard</t>
  </si>
  <si>
    <t>NEN-EN-IEC 60034-1</t>
  </si>
  <si>
    <t>AC or DC machine</t>
  </si>
  <si>
    <t>AC</t>
  </si>
  <si>
    <t>Number of phases</t>
  </si>
  <si>
    <t>Speed rotor</t>
  </si>
  <si>
    <t>Synchronous / Asynchronous</t>
  </si>
  <si>
    <t>Type of Motor</t>
  </si>
  <si>
    <t>Location</t>
  </si>
  <si>
    <t>Installation machine</t>
  </si>
  <si>
    <t>indoor</t>
  </si>
  <si>
    <t>Min. ambient temperature</t>
  </si>
  <si>
    <t>Max. ambient temperature</t>
  </si>
  <si>
    <t>Max. attitude above sealevel</t>
  </si>
  <si>
    <t>m</t>
  </si>
  <si>
    <t>Humidity</t>
  </si>
  <si>
    <t>&lt; 95</t>
  </si>
  <si>
    <t>Machine Load data</t>
  </si>
  <si>
    <t>Application machine</t>
  </si>
  <si>
    <t>centrifugal pump</t>
  </si>
  <si>
    <t>Connection with application</t>
  </si>
  <si>
    <t>rigid / flexible coupling</t>
  </si>
  <si>
    <t>Torque characterisitic</t>
  </si>
  <si>
    <t>quadratic</t>
  </si>
  <si>
    <t>Starting methode</t>
  </si>
  <si>
    <t>Operation methode</t>
  </si>
  <si>
    <t>Number of starts (cold)</t>
  </si>
  <si>
    <t>x/h</t>
  </si>
  <si>
    <t>Number of starts (hot)</t>
  </si>
  <si>
    <t>Pin</t>
  </si>
  <si>
    <t>Pout</t>
  </si>
  <si>
    <t>Load class</t>
  </si>
  <si>
    <t>S1</t>
  </si>
  <si>
    <t xml:space="preserve">Electrical machine data </t>
  </si>
  <si>
    <t>Pr</t>
  </si>
  <si>
    <t>Rated power</t>
  </si>
  <si>
    <t>Tolerance (negative)</t>
  </si>
  <si>
    <t>Tolerance (positive)</t>
  </si>
  <si>
    <t>Ur</t>
  </si>
  <si>
    <t>IEC-34-1: Zone A</t>
  </si>
  <si>
    <t>IEC-34-1: Zone B</t>
  </si>
  <si>
    <t>fr</t>
  </si>
  <si>
    <t>Rated frequency</t>
  </si>
  <si>
    <t>Pole pairs</t>
  </si>
  <si>
    <t>Angular velocity</t>
  </si>
  <si>
    <t>Ir</t>
  </si>
  <si>
    <t>Rated stator current</t>
  </si>
  <si>
    <t>Starting current</t>
  </si>
  <si>
    <t>Uemf</t>
  </si>
  <si>
    <t>used by 3.9</t>
  </si>
  <si>
    <t>Number of poles</t>
  </si>
  <si>
    <t>poles</t>
  </si>
  <si>
    <t>pole pairs (pp.)</t>
  </si>
  <si>
    <t>used by 3.20</t>
  </si>
  <si>
    <t>Rs, cold</t>
  </si>
  <si>
    <r>
      <t>m</t>
    </r>
    <r>
      <rPr>
        <sz val="9"/>
        <color theme="1"/>
        <rFont val="Symbol"/>
        <family val="1"/>
        <charset val="2"/>
      </rPr>
      <t>W</t>
    </r>
    <r>
      <rPr>
        <sz val="9"/>
        <color theme="1"/>
        <rFont val="Verdana"/>
        <family val="2"/>
      </rPr>
      <t xml:space="preserve"> (phase)</t>
    </r>
  </si>
  <si>
    <t>Rs,hot</t>
  </si>
  <si>
    <t>used by 3.4 and 3.13</t>
  </si>
  <si>
    <t>Ld, cold</t>
  </si>
  <si>
    <t>mH (phase)</t>
  </si>
  <si>
    <t>Ld, hot</t>
  </si>
  <si>
    <t>Lq, cold</t>
  </si>
  <si>
    <t>Lq, hot</t>
  </si>
  <si>
    <t>Stator connection</t>
  </si>
  <si>
    <t>Stator winding material (Cu or Al)</t>
  </si>
  <si>
    <t>Cu</t>
  </si>
  <si>
    <t>Insulation system</t>
  </si>
  <si>
    <t xml:space="preserve"> VPI system</t>
  </si>
  <si>
    <t>VFD extra HHNK marge</t>
  </si>
  <si>
    <t>UL1,L2,L3</t>
  </si>
  <si>
    <t>Line voltage</t>
  </si>
  <si>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K =&gt;</t>
    </r>
    <r>
      <rPr>
        <vertAlign val="superscript"/>
        <sz val="9"/>
        <color theme="1"/>
        <rFont val="Verdana"/>
        <family val="2"/>
      </rPr>
      <t xml:space="preserve"> 0</t>
    </r>
    <r>
      <rPr>
        <sz val="9"/>
        <color theme="1"/>
        <rFont val="Verdana"/>
        <family val="2"/>
      </rPr>
      <t>C</t>
    </r>
  </si>
  <si>
    <t>fL</t>
  </si>
  <si>
    <t>Line frequency</t>
  </si>
  <si>
    <t>Class</t>
  </si>
  <si>
    <t>Hotspot margin</t>
  </si>
  <si>
    <t>Max. permissble temp rise</t>
  </si>
  <si>
    <t>Nominal  Ambient(C)</t>
  </si>
  <si>
    <t>Max. winding temperature</t>
  </si>
  <si>
    <t>HHNK VFD max. permissble temp rise</t>
  </si>
  <si>
    <t>Max. winding temp. VFD</t>
  </si>
  <si>
    <t>Insulation class</t>
  </si>
  <si>
    <t>H</t>
  </si>
  <si>
    <t>Temperature rise class</t>
  </si>
  <si>
    <t>F</t>
  </si>
  <si>
    <t>Safety margin</t>
  </si>
  <si>
    <t>HHNK, max. allowed temp-rise without VSD</t>
  </si>
  <si>
    <t>HHNK max. allowed temp-rise with VSD</t>
  </si>
  <si>
    <t>Efficiency machine</t>
  </si>
  <si>
    <t>Powerfactor (PF)</t>
  </si>
  <si>
    <t>Efficiency, 100% load</t>
  </si>
  <si>
    <t xml:space="preserve">PF, 100% load </t>
  </si>
  <si>
    <t>Efficiency, 75% load</t>
  </si>
  <si>
    <t>PF, 75% load</t>
  </si>
  <si>
    <t>Efficiency, 50% load</t>
  </si>
  <si>
    <t>PF, 50% load</t>
  </si>
  <si>
    <t>Efficiency, 25% load</t>
  </si>
  <si>
    <t>PF, 25% load</t>
  </si>
  <si>
    <t>Efficiency Class</t>
  </si>
  <si>
    <t>Mechanical machine data</t>
  </si>
  <si>
    <t>n</t>
  </si>
  <si>
    <t>Rated speed</t>
  </si>
  <si>
    <t>rad/sec</t>
  </si>
  <si>
    <t>T</t>
  </si>
  <si>
    <t>Tn</t>
  </si>
  <si>
    <t>Ts</t>
  </si>
  <si>
    <t>Starting torque</t>
  </si>
  <si>
    <t>Tk</t>
  </si>
  <si>
    <t>Break-down torque</t>
  </si>
  <si>
    <t>Direction of rotation</t>
  </si>
  <si>
    <t xml:space="preserve">both ways </t>
  </si>
  <si>
    <t>clock wise / anti clock wise, machine viewed from drive end, rotation is clockwise, if L1/U, L2/V, L3/W</t>
  </si>
  <si>
    <t>J</t>
  </si>
  <si>
    <t>Moment of inertia</t>
  </si>
  <si>
    <t>Weight machine (approx.)</t>
  </si>
  <si>
    <t>Kg</t>
  </si>
  <si>
    <t>Weight rotor (approx.)</t>
  </si>
  <si>
    <t>Frame</t>
  </si>
  <si>
    <t>Frame size H</t>
  </si>
  <si>
    <t>mm</t>
  </si>
  <si>
    <t>Flange size</t>
  </si>
  <si>
    <t>Foot size</t>
  </si>
  <si>
    <t>Mouting arrangement (new)</t>
  </si>
  <si>
    <t>IM-3011</t>
  </si>
  <si>
    <t>Mouting arrangement (old)</t>
  </si>
  <si>
    <t>IM-V1</t>
  </si>
  <si>
    <t>Motor protection</t>
  </si>
  <si>
    <t>&gt;=IP-23</t>
  </si>
  <si>
    <t>Terminal box protection</t>
  </si>
  <si>
    <t>&gt;=IP-55</t>
  </si>
  <si>
    <t>Cable Glands</t>
  </si>
  <si>
    <t>Main power cable glands</t>
  </si>
  <si>
    <t>drawing….</t>
  </si>
  <si>
    <t>Auxiliary cable glands</t>
  </si>
  <si>
    <t>Bearing data</t>
  </si>
  <si>
    <t>Bearing manufacturer</t>
  </si>
  <si>
    <t>Bearing type Drive End</t>
  </si>
  <si>
    <t>Bearing code Drive End</t>
  </si>
  <si>
    <t>Lubrication bearings (amount of grease/operating hours)</t>
  </si>
  <si>
    <t>Bearing type Non Drive End</t>
  </si>
  <si>
    <t>Bearing code Non Drive End</t>
  </si>
  <si>
    <t>Bearing lubrication</t>
  </si>
  <si>
    <t>Axial load on Drive End</t>
  </si>
  <si>
    <t>kN</t>
  </si>
  <si>
    <t>Radial load on Drive End</t>
  </si>
  <si>
    <t>Vibration &amp; noise</t>
  </si>
  <si>
    <t>Vibration severity</t>
  </si>
  <si>
    <t>V rms (mm/s)</t>
  </si>
  <si>
    <t>Vibration class</t>
  </si>
  <si>
    <t>Vibration monitoring</t>
  </si>
  <si>
    <t>ND, axes: Hor., Vert. , Axiaal</t>
  </si>
  <si>
    <t>No</t>
  </si>
  <si>
    <t>NDE, axes: Hor., Vert. , Axiaal</t>
  </si>
  <si>
    <t>Variabel Speed Drive (VSD)</t>
  </si>
  <si>
    <t>Prefered control mode sensorless</t>
  </si>
  <si>
    <t>vector or scalar</t>
  </si>
  <si>
    <t>Min. switching frequency</t>
  </si>
  <si>
    <t>Max. switching frequency</t>
  </si>
  <si>
    <t>Fan</t>
  </si>
  <si>
    <t>Coolant medium</t>
  </si>
  <si>
    <t>air</t>
  </si>
  <si>
    <t>Cooling type desciption</t>
  </si>
  <si>
    <t>Voltage Fan</t>
  </si>
  <si>
    <t>Current Fan</t>
  </si>
  <si>
    <t>Power Fan</t>
  </si>
  <si>
    <t>Heating</t>
  </si>
  <si>
    <t>Anti-condensation heater</t>
  </si>
  <si>
    <t>Voltage heater</t>
  </si>
  <si>
    <t>Power heater</t>
  </si>
  <si>
    <t>Values</t>
  </si>
  <si>
    <t>Stator winding  U, V, W, STOP</t>
  </si>
  <si>
    <t>PTC (2x 3x in series)</t>
  </si>
  <si>
    <t>Stator winding  U, V, W, Warning</t>
  </si>
  <si>
    <t>Wire Colours Triplet</t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</si>
  <si>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(stop)</t>
    </r>
  </si>
  <si>
    <t>each phase, in serie U, V, W</t>
  </si>
  <si>
    <t>used by 3.6</t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</si>
  <si>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(stop, spare)</t>
    </r>
  </si>
  <si>
    <r>
      <t xml:space="preserve">Lower rated warning temperature (5, 10 or 15 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C)</t>
    </r>
  </si>
  <si>
    <r>
      <t xml:space="preserve">HHNK typical = 15 </t>
    </r>
    <r>
      <rPr>
        <vertAlign val="superscript"/>
        <sz val="9"/>
        <color theme="1"/>
        <rFont val="Verdana"/>
        <family val="2"/>
      </rPr>
      <t>0</t>
    </r>
    <r>
      <rPr>
        <sz val="9"/>
        <color theme="1"/>
        <rFont val="Verdana"/>
        <family val="2"/>
      </rPr>
      <t>C</t>
    </r>
  </si>
  <si>
    <r>
      <t>TNF (</t>
    </r>
    <r>
      <rPr>
        <b/>
        <vertAlign val="superscript"/>
        <sz val="9"/>
        <color theme="1"/>
        <rFont val="Verdana"/>
        <family val="2"/>
      </rPr>
      <t>0</t>
    </r>
    <r>
      <rPr>
        <b/>
        <sz val="9"/>
        <color theme="1"/>
        <rFont val="Verdana"/>
        <family val="2"/>
      </rPr>
      <t>C)</t>
    </r>
  </si>
  <si>
    <t>Wire Colour of Pairs &amp; Triplets</t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</si>
  <si>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(warning)</t>
    </r>
  </si>
  <si>
    <t>used by 3.7</t>
  </si>
  <si>
    <t>white-grey</t>
  </si>
  <si>
    <r>
      <t>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switch temperature, Statorwinding (warning, spare)</t>
    </r>
  </si>
  <si>
    <t>white-brown</t>
  </si>
  <si>
    <t>white-white</t>
  </si>
  <si>
    <r>
      <t>T stator winding (</t>
    </r>
    <r>
      <rPr>
        <b/>
        <vertAlign val="superscript"/>
        <sz val="9"/>
        <color theme="1"/>
        <rFont val="Verdana"/>
        <family val="2"/>
      </rPr>
      <t>0</t>
    </r>
    <r>
      <rPr>
        <b/>
        <sz val="9"/>
        <color theme="1"/>
        <rFont val="Verdana"/>
        <family val="2"/>
      </rPr>
      <t>C) -STOP</t>
    </r>
  </si>
  <si>
    <t>-WARNING</t>
  </si>
  <si>
    <t>Measuring voltage (VDC)</t>
  </si>
  <si>
    <t>green-green</t>
  </si>
  <si>
    <t>black-red</t>
  </si>
  <si>
    <t>red-red</t>
  </si>
  <si>
    <t>brown-brown</t>
  </si>
  <si>
    <r>
      <t>Resitance,  PTC T</t>
    </r>
    <r>
      <rPr>
        <vertAlign val="subscript"/>
        <sz val="9"/>
        <color theme="1"/>
        <rFont val="Verdana"/>
        <family val="2"/>
      </rPr>
      <t>NF</t>
    </r>
    <r>
      <rPr>
        <sz val="9"/>
        <color theme="1"/>
        <rFont val="Verdana"/>
        <family val="2"/>
      </rPr>
      <t xml:space="preserve"> (typ)</t>
    </r>
  </si>
  <si>
    <t>brown-red</t>
  </si>
  <si>
    <t>grey-grey</t>
  </si>
  <si>
    <t>grey-red</t>
  </si>
  <si>
    <t>blue-blue</t>
  </si>
  <si>
    <t xml:space="preserve">Temperature Measurement </t>
  </si>
  <si>
    <t>blue-white</t>
  </si>
  <si>
    <t>black-white</t>
  </si>
  <si>
    <t xml:space="preserve">Statorwinding Temperature Measurement </t>
  </si>
  <si>
    <t>black-black</t>
  </si>
  <si>
    <t>U, V, W, (hotspot, main, winding end), main</t>
  </si>
  <si>
    <t>PT100</t>
  </si>
  <si>
    <t>black-blue</t>
  </si>
  <si>
    <t>U, V, W, (hotspot, main, winding end), spare</t>
  </si>
  <si>
    <t>blue-red</t>
  </si>
  <si>
    <t>green-white</t>
  </si>
  <si>
    <t>Temperature measurement bearings</t>
  </si>
  <si>
    <t>red-white</t>
  </si>
  <si>
    <t>ND Bearing PT100</t>
  </si>
  <si>
    <t>ND Bearing PT100 (spare)</t>
  </si>
  <si>
    <t>NDE Bearing PT100</t>
  </si>
  <si>
    <t>NDE Bearing PT100 (spare)</t>
  </si>
  <si>
    <t>ATEX</t>
  </si>
  <si>
    <t>ATEX class</t>
  </si>
  <si>
    <t>Painting</t>
  </si>
  <si>
    <t>Painting system</t>
  </si>
  <si>
    <t>Corrosivity cat. C3</t>
  </si>
  <si>
    <t>Painting RAL-color</t>
  </si>
  <si>
    <t>RAL-1005</t>
  </si>
  <si>
    <t>Painting color</t>
  </si>
  <si>
    <t>Honey Yellow</t>
  </si>
  <si>
    <t>nr. slots</t>
  </si>
  <si>
    <t>nr. rotor bars</t>
  </si>
  <si>
    <t>nr. permanent magnets</t>
  </si>
  <si>
    <t>nr. rows of PM magnets</t>
  </si>
  <si>
    <t>type permanent magnets (PM)</t>
  </si>
  <si>
    <t>PM maximum temperature</t>
  </si>
  <si>
    <t>PM Currie temperature</t>
  </si>
  <si>
    <t>PM mounting intern / surface</t>
  </si>
  <si>
    <t>PM mounting line / skewed</t>
  </si>
  <si>
    <t>Test specifications IEC 34</t>
  </si>
  <si>
    <t>Test value</t>
  </si>
  <si>
    <t>Standard resistance temperature</t>
  </si>
  <si>
    <t>IEC34</t>
  </si>
  <si>
    <t>Maximum Temperature Rise</t>
  </si>
  <si>
    <t>IEC34 used for 3.14</t>
  </si>
  <si>
    <t>used by 3.14</t>
  </si>
  <si>
    <t>Maximum Temperature Rise with VSD</t>
  </si>
  <si>
    <t>IEC34 + HHNK requirement</t>
  </si>
  <si>
    <t xml:space="preserve">used by 3.4 </t>
  </si>
  <si>
    <t>used by 3.13</t>
  </si>
  <si>
    <t>Pole Pairs</t>
  </si>
  <si>
    <t>Point 1</t>
  </si>
  <si>
    <t>Point 2</t>
  </si>
  <si>
    <t>Point 3</t>
  </si>
  <si>
    <t>Point 4</t>
  </si>
  <si>
    <t>Point 5</t>
  </si>
  <si>
    <t>Point 6</t>
  </si>
  <si>
    <t>Un(%)</t>
  </si>
  <si>
    <t>Torque</t>
  </si>
  <si>
    <t>Torque (Nm)</t>
  </si>
  <si>
    <t>Speed (Rad)</t>
  </si>
  <si>
    <t>Electrical Load Machine Test (selected operation points)</t>
  </si>
  <si>
    <t>Electrical Load Machine Test (1/4, 1/2, 3/4, full load, over load)</t>
  </si>
  <si>
    <t xml:space="preserve">P Load </t>
  </si>
  <si>
    <t>Ref. power full load</t>
  </si>
  <si>
    <t>3.16 No-Load</t>
  </si>
  <si>
    <t>3.15.1 Load-1</t>
  </si>
  <si>
    <t>3.15.2 Load-2</t>
  </si>
  <si>
    <r>
      <t xml:space="preserve">h  </t>
    </r>
    <r>
      <rPr>
        <b/>
        <sz val="9"/>
        <color theme="1"/>
        <rFont val="Verdana"/>
        <family val="2"/>
      </rPr>
      <t>Imposed</t>
    </r>
  </si>
  <si>
    <r>
      <rPr>
        <sz val="10"/>
        <color theme="1"/>
        <rFont val="Symbol"/>
        <family val="1"/>
        <charset val="2"/>
      </rPr>
      <t xml:space="preserve">h </t>
    </r>
    <r>
      <rPr>
        <sz val="10"/>
        <color theme="1"/>
        <rFont val="Verdana"/>
        <family val="2"/>
      </rPr>
      <t>vfd</t>
    </r>
    <r>
      <rPr>
        <sz val="10"/>
        <color theme="1"/>
        <rFont val="Symbol"/>
        <family val="1"/>
        <charset val="2"/>
      </rPr>
      <t xml:space="preserve"> </t>
    </r>
    <r>
      <rPr>
        <sz val="10"/>
        <color theme="1"/>
        <rFont val="Verdana"/>
        <family val="2"/>
      </rPr>
      <t xml:space="preserve"> (%)</t>
    </r>
  </si>
  <si>
    <t>Rs (mOhm)</t>
  </si>
  <si>
    <t>Ld (mH)</t>
  </si>
  <si>
    <t>Lq (mH)</t>
  </si>
  <si>
    <t xml:space="preserve">3.1.3.3 Check machine design </t>
  </si>
  <si>
    <t>Check machine design</t>
  </si>
  <si>
    <t>PM only, to reduce cogging torque</t>
  </si>
  <si>
    <t>Design with skewed PM? (Y/N)</t>
  </si>
  <si>
    <t>Design with Halbach array PM? (Y/N)</t>
  </si>
  <si>
    <t xml:space="preserve">Notes </t>
  </si>
  <si>
    <t>Worksheets are protected by default.
Input fields (green and blue) are fillable.
No password has been applied</t>
  </si>
  <si>
    <t>Recommendation:</t>
  </si>
  <si>
    <t>First complete:</t>
  </si>
  <si>
    <t>- Leave automatic connections intact.</t>
  </si>
  <si>
    <t>Protection</t>
  </si>
  <si>
    <t>The electric motor supplier is permitted to use this digital version freely.</t>
  </si>
  <si>
    <t>HHNK is not liable for any errors in this test plan.</t>
  </si>
  <si>
    <t>HHNK reserves the right to apply modified test plans within the agreed framework of the contract.</t>
  </si>
  <si>
    <t>Despite the utmost care taken in preparing this document, errors may occur.</t>
  </si>
  <si>
    <t>Supplier is requested to report errors.</t>
  </si>
  <si>
    <t>Use of Excel version test plan</t>
  </si>
  <si>
    <t>PDF Print</t>
  </si>
  <si>
    <t>1.1</t>
  </si>
  <si>
    <t>1.2</t>
  </si>
  <si>
    <t>1.3</t>
  </si>
  <si>
    <t>1.4</t>
  </si>
  <si>
    <t>1.5</t>
  </si>
  <si>
    <t>1.5.1</t>
  </si>
  <si>
    <t>1.5.2</t>
  </si>
  <si>
    <t>term VSD changed to VFD (Variable Frequency Drive)</t>
  </si>
  <si>
    <t>3.1.3.3. extra design checks</t>
  </si>
  <si>
    <t>The checks are intended to ask how the manufacturer limits the cogging torque on PM machines?</t>
  </si>
  <si>
    <t>Machine parameters Rs, Ld and Lq are checked</t>
  </si>
  <si>
    <t>See the attached documents and specifications for the requirements for the electric machine.</t>
  </si>
  <si>
    <t>- Settings (no)load worksheet.</t>
  </si>
  <si>
    <t>Print PDF for inspection</t>
  </si>
  <si>
    <t>Automatic OK off</t>
  </si>
  <si>
    <t>Number of pages</t>
  </si>
  <si>
    <t xml:space="preserve">Values PTC  DIN 44 081 &amp; 44 </t>
  </si>
  <si>
    <t>Variable Frequncy Drive (VFD)</t>
  </si>
  <si>
    <t>Variable Frequency Drive (VFD)</t>
  </si>
  <si>
    <t>electric speed</t>
  </si>
  <si>
    <t>mechanical speed</t>
  </si>
  <si>
    <t>Y</t>
  </si>
  <si>
    <t>PM mounting Hallbach array Y/N</t>
  </si>
  <si>
    <t>PM: vector or DTC</t>
  </si>
  <si>
    <t>IM: scalar or vector or DTC</t>
  </si>
  <si>
    <t>1.5.3</t>
  </si>
  <si>
    <t>3.2 max  lift weight 12,5 ton 12500kg</t>
  </si>
  <si>
    <t>1.5.4</t>
  </si>
  <si>
    <t xml:space="preserve">3.6 + 3.7 PTC, </t>
  </si>
  <si>
    <t>Check the PTC at minimum and maximum operating temperatures.</t>
  </si>
  <si>
    <t>Only complete the table if you are unsure about the PTC's operation.</t>
  </si>
  <si>
    <t>1.5.5</t>
  </si>
  <si>
    <t xml:space="preserve">Updated 3.15.1, 3.15.2 and 3.16 </t>
  </si>
  <si>
    <t>new values and calculations under the hood</t>
  </si>
  <si>
    <t>Latest revisions  0.2. -&gt; 0.2.1</t>
  </si>
  <si>
    <t>PT100 (set 1x each phase)</t>
  </si>
  <si>
    <t>Noise Level LpA at 1 m on VFD &lt;</t>
  </si>
  <si>
    <t xml:space="preserve">1.5.6. </t>
  </si>
  <si>
    <t xml:space="preserve">Annex 1.1 Machine specifications display cold and hot values machine. </t>
  </si>
  <si>
    <t>Print pages 1 through 40 to a PDF Test file from Excel.</t>
  </si>
  <si>
    <t>Second complete:</t>
  </si>
  <si>
    <t>Third:</t>
  </si>
  <si>
    <t xml:space="preserve">- Machine Specification worksheet. -&gt; green and blue fields. </t>
  </si>
  <si>
    <t>Sep. 17,  2025</t>
  </si>
  <si>
    <t>27.09.25X1 sub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</si>
</sst>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000"/>
    <numFmt numFmtId="166" formatCode="0.0"/>
    <numFmt numFmtId="167" formatCode="0.000000"/>
    <numFmt numFmtId="168" formatCode="#,##0.0"/>
  </numFmts>
  <fonts count="55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Symbol"/>
      <family val="1"/>
      <charset val="2"/>
    </font>
    <font>
      <vertAlign val="superscript"/>
      <sz val="9"/>
      <color theme="1"/>
      <name val="Verdana"/>
      <family val="2"/>
    </font>
    <font>
      <b/>
      <sz val="9"/>
      <color theme="1"/>
      <name val="Symbol"/>
      <family val="1"/>
      <charset val="2"/>
    </font>
    <font>
      <vertAlign val="superscript"/>
      <sz val="12"/>
      <color theme="1"/>
      <name val="Verdana"/>
      <family val="2"/>
    </font>
    <font>
      <b/>
      <vertAlign val="superscript"/>
      <sz val="9"/>
      <color theme="1"/>
      <name val="Verdana"/>
      <family val="2"/>
    </font>
    <font>
      <vertAlign val="subscript"/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Symbol"/>
      <family val="1"/>
      <charset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indexed="8"/>
      <name val="Verdana"/>
      <family val="2"/>
    </font>
    <font>
      <b/>
      <vertAlign val="superscript"/>
      <sz val="9"/>
      <color indexed="8"/>
      <name val="Verdana"/>
      <family val="2"/>
    </font>
    <font>
      <sz val="9"/>
      <color indexed="8"/>
      <name val="Verdana"/>
      <family val="2"/>
    </font>
    <font>
      <sz val="8"/>
      <name val="Verdana"/>
      <family val="2"/>
    </font>
    <font>
      <sz val="9"/>
      <color theme="1"/>
      <name val="Aptos Narrow"/>
      <family val="2"/>
    </font>
    <font>
      <b/>
      <sz val="9"/>
      <color theme="1"/>
      <name val="Aptos Narrow"/>
      <family val="2"/>
    </font>
    <font>
      <sz val="8"/>
      <color theme="1"/>
      <name val="Verdana"/>
      <family val="2"/>
    </font>
    <font>
      <b/>
      <vertAlign val="subscript"/>
      <sz val="11"/>
      <color theme="1"/>
      <name val="Verdana"/>
      <family val="2"/>
    </font>
    <font>
      <b/>
      <sz val="48"/>
      <color theme="1"/>
      <name val="Verdana"/>
      <family val="2"/>
    </font>
    <font>
      <vertAlign val="superscript"/>
      <sz val="11"/>
      <color theme="1"/>
      <name val="Verdana"/>
      <family val="2"/>
    </font>
    <font>
      <sz val="11"/>
      <name val="Verdana"/>
      <family val="2"/>
    </font>
    <font>
      <u/>
      <sz val="9"/>
      <color theme="10"/>
      <name val="Verdana"/>
      <family val="2"/>
    </font>
    <font>
      <vertAlign val="subscript"/>
      <sz val="11"/>
      <color theme="1"/>
      <name val="Verdana"/>
      <family val="2"/>
    </font>
    <font>
      <sz val="11"/>
      <color theme="1"/>
      <name val="Symbol"/>
      <family val="1"/>
      <charset val="2"/>
    </font>
    <font>
      <sz val="11"/>
      <color theme="1"/>
      <name val="Aptos Narrow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Times New Roman"/>
      <family val="1"/>
    </font>
    <font>
      <sz val="9"/>
      <color rgb="FF000000"/>
      <name val="Verdana"/>
      <family val="2"/>
    </font>
    <font>
      <sz val="7"/>
      <color theme="1"/>
      <name val="Times New Roman"/>
      <family val="1"/>
    </font>
    <font>
      <i/>
      <sz val="12"/>
      <color rgb="FF202122"/>
      <name val="Arial"/>
      <family val="2"/>
    </font>
    <font>
      <b/>
      <i/>
      <sz val="12"/>
      <color rgb="FF202122"/>
      <name val="Arial"/>
      <family val="2"/>
    </font>
    <font>
      <b/>
      <sz val="8"/>
      <color theme="1"/>
      <name val="Verdana"/>
      <family val="2"/>
    </font>
    <font>
      <sz val="12"/>
      <color rgb="FF606060"/>
      <name val="Arial"/>
      <family val="2"/>
    </font>
    <font>
      <vertAlign val="subscript"/>
      <sz val="12"/>
      <color rgb="FF606060"/>
      <name val="Arial"/>
      <family val="2"/>
    </font>
    <font>
      <b/>
      <vertAlign val="subscript"/>
      <sz val="9"/>
      <color theme="1"/>
      <name val="Verdana"/>
      <family val="2"/>
    </font>
    <font>
      <vertAlign val="subscript"/>
      <sz val="10"/>
      <color theme="1"/>
      <name val="Verdana"/>
      <family val="2"/>
    </font>
    <font>
      <sz val="10"/>
      <color theme="1"/>
      <name val="Verdana"/>
      <family val="1"/>
      <charset val="2"/>
    </font>
    <font>
      <sz val="12"/>
      <color rgb="FF22262A"/>
      <name val="Segoe UI"/>
      <family val="2"/>
    </font>
    <font>
      <sz val="12"/>
      <color rgb="FF4C4B49"/>
      <name val="Arial"/>
      <family val="2"/>
    </font>
    <font>
      <b/>
      <sz val="12"/>
      <color theme="6"/>
      <name val="Verdana"/>
      <family val="2"/>
    </font>
    <font>
      <b/>
      <vertAlign val="superscript"/>
      <sz val="11"/>
      <color theme="1"/>
      <name val="Verdana"/>
      <family val="2"/>
    </font>
    <font>
      <b/>
      <sz val="14"/>
      <color theme="1"/>
      <name val="Symbol"/>
      <family val="1"/>
      <charset val="2"/>
    </font>
    <font>
      <sz val="9"/>
      <name val="Verdana"/>
      <family val="2"/>
    </font>
    <font>
      <b/>
      <sz val="12"/>
      <name val="Verdana"/>
      <family val="2"/>
    </font>
    <font>
      <i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10"/>
      <color rgb="FF1F1F1F"/>
      <name val="Verdana"/>
      <family val="2"/>
    </font>
    <font>
      <b/>
      <sz val="10"/>
      <color rgb="FF1F1F1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9FA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485">
    <xf numFmtId="0" fontId="0" fillId="0" borderId="0" xfId="0"/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2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" fillId="0" borderId="12" xfId="0" applyFont="1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0" borderId="17" xfId="0" applyFont="1" applyBorder="1"/>
    <xf numFmtId="0" fontId="0" fillId="0" borderId="0" xfId="0" applyAlignment="1">
      <alignment vertical="center" wrapText="1"/>
    </xf>
    <xf numFmtId="0" fontId="1" fillId="0" borderId="18" xfId="0" applyFont="1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/>
    <xf numFmtId="2" fontId="1" fillId="0" borderId="0" xfId="0" applyNumberFormat="1" applyFont="1"/>
    <xf numFmtId="49" fontId="1" fillId="0" borderId="0" xfId="0" applyNumberFormat="1" applyFont="1"/>
    <xf numFmtId="0" fontId="0" fillId="0" borderId="1" xfId="0" applyBorder="1"/>
    <xf numFmtId="0" fontId="1" fillId="0" borderId="20" xfId="0" applyFont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1" fillId="0" borderId="23" xfId="0" applyFont="1" applyBorder="1"/>
    <xf numFmtId="0" fontId="0" fillId="0" borderId="24" xfId="0" applyBorder="1"/>
    <xf numFmtId="0" fontId="0" fillId="6" borderId="1" xfId="0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23" xfId="0" applyBorder="1"/>
    <xf numFmtId="0" fontId="1" fillId="0" borderId="0" xfId="0" applyFont="1" applyAlignment="1">
      <alignment wrapText="1"/>
    </xf>
    <xf numFmtId="0" fontId="8" fillId="0" borderId="0" xfId="0" applyFont="1"/>
    <xf numFmtId="1" fontId="0" fillId="6" borderId="1" xfId="0" applyNumberFormat="1" applyFill="1" applyBorder="1"/>
    <xf numFmtId="3" fontId="0" fillId="6" borderId="1" xfId="0" applyNumberFormat="1" applyFill="1" applyBorder="1"/>
    <xf numFmtId="2" fontId="0" fillId="0" borderId="1" xfId="0" applyNumberFormat="1" applyBorder="1"/>
    <xf numFmtId="1" fontId="0" fillId="0" borderId="1" xfId="0" applyNumberFormat="1" applyBorder="1"/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Alignment="1">
      <alignment horizontal="center" vertical="center"/>
    </xf>
    <xf numFmtId="0" fontId="9" fillId="0" borderId="0" xfId="0" applyFont="1"/>
    <xf numFmtId="4" fontId="0" fillId="0" borderId="1" xfId="0" applyNumberFormat="1" applyBorder="1"/>
    <xf numFmtId="164" fontId="0" fillId="0" borderId="1" xfId="0" applyNumberFormat="1" applyBorder="1"/>
    <xf numFmtId="164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1" fillId="0" borderId="0" xfId="0" applyFont="1"/>
    <xf numFmtId="0" fontId="1" fillId="0" borderId="1" xfId="0" applyFont="1" applyBorder="1" applyAlignment="1">
      <alignment wrapText="1" shrinkToFit="1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0" xfId="0" applyFont="1"/>
    <xf numFmtId="0" fontId="13" fillId="0" borderId="3" xfId="0" applyFont="1" applyBorder="1"/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2" fontId="13" fillId="3" borderId="1" xfId="0" applyNumberFormat="1" applyFont="1" applyFill="1" applyBorder="1" applyAlignment="1" applyProtection="1">
      <alignment horizontal="center" vertical="center"/>
      <protection locked="0"/>
    </xf>
    <xf numFmtId="2" fontId="13" fillId="0" borderId="1" xfId="0" applyNumberFormat="1" applyFont="1" applyBorder="1" applyAlignment="1">
      <alignment horizontal="center" vertical="center"/>
    </xf>
    <xf numFmtId="0" fontId="13" fillId="0" borderId="15" xfId="0" applyFont="1" applyBorder="1"/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2" fontId="15" fillId="3" borderId="10" xfId="0" applyNumberFormat="1" applyFont="1" applyFill="1" applyBorder="1" applyAlignment="1" applyProtection="1">
      <alignment horizontal="center" vertical="center"/>
      <protection locked="0"/>
    </xf>
    <xf numFmtId="2" fontId="15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wrapText="1" shrinkToFit="1"/>
    </xf>
    <xf numFmtId="1" fontId="0" fillId="4" borderId="1" xfId="0" applyNumberFormat="1" applyFill="1" applyBorder="1" applyProtection="1">
      <protection locked="0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12" fillId="0" borderId="0" xfId="0" applyNumberFormat="1" applyFont="1"/>
    <xf numFmtId="49" fontId="11" fillId="0" borderId="0" xfId="0" applyNumberFormat="1" applyFont="1"/>
    <xf numFmtId="0" fontId="19" fillId="0" borderId="0" xfId="0" applyFont="1"/>
    <xf numFmtId="0" fontId="1" fillId="0" borderId="27" xfId="0" applyFont="1" applyBorder="1"/>
    <xf numFmtId="0" fontId="0" fillId="0" borderId="28" xfId="0" applyBorder="1"/>
    <xf numFmtId="0" fontId="0" fillId="0" borderId="27" xfId="0" applyBorder="1"/>
    <xf numFmtId="1" fontId="0" fillId="3" borderId="1" xfId="0" applyNumberFormat="1" applyFill="1" applyBorder="1" applyAlignment="1" applyProtection="1">
      <alignment horizontal="left"/>
      <protection locked="0"/>
    </xf>
    <xf numFmtId="0" fontId="1" fillId="0" borderId="21" xfId="0" applyFont="1" applyBorder="1" applyAlignment="1">
      <alignment horizontal="left" vertical="center" indent="1"/>
    </xf>
    <xf numFmtId="49" fontId="21" fillId="0" borderId="0" xfId="0" applyNumberFormat="1" applyFont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19" fillId="0" borderId="1" xfId="0" applyFont="1" applyBorder="1"/>
    <xf numFmtId="2" fontId="0" fillId="6" borderId="1" xfId="0" applyNumberFormat="1" applyFill="1" applyBorder="1"/>
    <xf numFmtId="0" fontId="12" fillId="0" borderId="0" xfId="0" applyFont="1" applyAlignment="1">
      <alignment horizontal="left" vertical="center" indent="3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3" fontId="0" fillId="3" borderId="1" xfId="0" applyNumberFormat="1" applyFill="1" applyBorder="1" applyProtection="1">
      <protection locked="0"/>
    </xf>
    <xf numFmtId="3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left" vertical="top" wrapText="1" shrinkToFit="1"/>
      <protection locked="0"/>
    </xf>
    <xf numFmtId="2" fontId="0" fillId="3" borderId="1" xfId="0" applyNumberFormat="1" applyFill="1" applyBorder="1" applyAlignment="1" applyProtection="1">
      <alignment horizontal="left" vertical="top"/>
      <protection locked="0"/>
    </xf>
    <xf numFmtId="1" fontId="0" fillId="3" borderId="1" xfId="0" applyNumberFormat="1" applyFill="1" applyBorder="1" applyAlignment="1" applyProtection="1">
      <alignment horizontal="left" vertical="top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66" fontId="0" fillId="3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6" borderId="0" xfId="0" applyNumberFormat="1" applyFill="1"/>
    <xf numFmtId="2" fontId="0" fillId="6" borderId="1" xfId="0" applyNumberFormat="1" applyFill="1" applyBorder="1" applyAlignment="1">
      <alignment horizontal="right"/>
    </xf>
    <xf numFmtId="1" fontId="0" fillId="6" borderId="1" xfId="0" applyNumberFormat="1" applyFill="1" applyBorder="1" applyAlignment="1">
      <alignment horizontal="right"/>
    </xf>
    <xf numFmtId="0" fontId="0" fillId="6" borderId="0" xfId="0" applyFill="1"/>
    <xf numFmtId="0" fontId="0" fillId="6" borderId="1" xfId="0" applyFill="1" applyBorder="1" applyAlignment="1">
      <alignment horizontal="right"/>
    </xf>
    <xf numFmtId="0" fontId="1" fillId="6" borderId="0" xfId="0" applyFont="1" applyFill="1"/>
    <xf numFmtId="1" fontId="0" fillId="2" borderId="1" xfId="0" applyNumberFormat="1" applyFill="1" applyBorder="1" applyProtection="1">
      <protection locked="0"/>
    </xf>
    <xf numFmtId="0" fontId="11" fillId="0" borderId="1" xfId="0" applyFont="1" applyBorder="1" applyAlignment="1">
      <alignment vertical="top" wrapText="1"/>
    </xf>
    <xf numFmtId="49" fontId="11" fillId="0" borderId="1" xfId="0" applyNumberFormat="1" applyFont="1" applyBorder="1" applyAlignment="1">
      <alignment horizontal="left" vertical="top" wrapText="1"/>
    </xf>
    <xf numFmtId="4" fontId="11" fillId="5" borderId="1" xfId="0" applyNumberFormat="1" applyFont="1" applyFill="1" applyBorder="1"/>
    <xf numFmtId="4" fontId="11" fillId="3" borderId="1" xfId="0" applyNumberFormat="1" applyFont="1" applyFill="1" applyBorder="1" applyProtection="1">
      <protection locked="0"/>
    </xf>
    <xf numFmtId="0" fontId="12" fillId="0" borderId="0" xfId="0" applyFont="1" applyAlignment="1">
      <alignment horizontal="left" vertical="center"/>
    </xf>
    <xf numFmtId="4" fontId="11" fillId="5" borderId="1" xfId="0" applyNumberFormat="1" applyFont="1" applyFill="1" applyBorder="1" applyAlignment="1">
      <alignment horizontal="left" vertical="center"/>
    </xf>
    <xf numFmtId="2" fontId="11" fillId="3" borderId="1" xfId="0" applyNumberFormat="1" applyFont="1" applyFill="1" applyBorder="1" applyAlignment="1" applyProtection="1">
      <alignment horizontal="left" vertical="center"/>
      <protection locked="0"/>
    </xf>
    <xf numFmtId="2" fontId="11" fillId="5" borderId="1" xfId="0" applyNumberFormat="1" applyFont="1" applyFill="1" applyBorder="1" applyAlignment="1">
      <alignment horizontal="left" vertical="center"/>
    </xf>
    <xf numFmtId="4" fontId="11" fillId="3" borderId="1" xfId="0" applyNumberFormat="1" applyFont="1" applyFill="1" applyBorder="1" applyAlignment="1" applyProtection="1">
      <alignment horizontal="left" vertical="center"/>
      <protection locked="0"/>
    </xf>
    <xf numFmtId="2" fontId="11" fillId="5" borderId="27" xfId="0" applyNumberFormat="1" applyFont="1" applyFill="1" applyBorder="1" applyAlignment="1">
      <alignment horizontal="left" vertical="center"/>
    </xf>
    <xf numFmtId="2" fontId="11" fillId="5" borderId="28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3" borderId="1" xfId="0" applyFont="1" applyFill="1" applyBorder="1" applyAlignment="1" applyProtection="1">
      <alignment horizontal="left" vertical="center"/>
      <protection locked="0"/>
    </xf>
    <xf numFmtId="2" fontId="11" fillId="0" borderId="0" xfId="0" applyNumberFormat="1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0" fontId="12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11" fillId="0" borderId="22" xfId="0" applyFont="1" applyBorder="1" applyAlignment="1">
      <alignment horizontal="left" vertical="center" indent="1"/>
    </xf>
    <xf numFmtId="0" fontId="12" fillId="0" borderId="23" xfId="0" applyFont="1" applyBorder="1"/>
    <xf numFmtId="0" fontId="11" fillId="0" borderId="24" xfId="0" applyFont="1" applyBorder="1"/>
    <xf numFmtId="0" fontId="12" fillId="0" borderId="1" xfId="0" applyFont="1" applyBorder="1"/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2" fontId="11" fillId="0" borderId="0" xfId="0" applyNumberFormat="1" applyFont="1"/>
    <xf numFmtId="4" fontId="11" fillId="0" borderId="0" xfId="0" applyNumberFormat="1" applyFont="1"/>
    <xf numFmtId="0" fontId="11" fillId="5" borderId="1" xfId="0" applyFont="1" applyFill="1" applyBorder="1"/>
    <xf numFmtId="0" fontId="11" fillId="0" borderId="1" xfId="0" applyFont="1" applyBorder="1" applyAlignment="1">
      <alignment vertical="top"/>
    </xf>
    <xf numFmtId="0" fontId="0" fillId="0" borderId="26" xfId="0" applyBorder="1" applyAlignment="1">
      <alignment vertical="center" wrapText="1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29" fillId="0" borderId="30" xfId="0" applyFont="1" applyBorder="1" applyAlignment="1">
      <alignment vertical="top"/>
    </xf>
    <xf numFmtId="0" fontId="28" fillId="0" borderId="31" xfId="0" applyFont="1" applyBorder="1" applyAlignment="1">
      <alignment horizontal="left" vertical="top" wrapText="1"/>
    </xf>
    <xf numFmtId="0" fontId="28" fillId="0" borderId="32" xfId="0" applyFont="1" applyBorder="1" applyAlignment="1">
      <alignment wrapText="1"/>
    </xf>
    <xf numFmtId="0" fontId="29" fillId="0" borderId="29" xfId="0" applyFont="1" applyBorder="1" applyAlignment="1">
      <alignment vertical="top"/>
    </xf>
    <xf numFmtId="4" fontId="28" fillId="3" borderId="33" xfId="0" applyNumberFormat="1" applyFont="1" applyFill="1" applyBorder="1" applyAlignment="1" applyProtection="1">
      <alignment horizontal="center" vertical="center"/>
      <protection locked="0"/>
    </xf>
    <xf numFmtId="0" fontId="28" fillId="0" borderId="29" xfId="0" applyFont="1" applyBorder="1" applyAlignment="1">
      <alignment vertical="top" wrapText="1"/>
    </xf>
    <xf numFmtId="0" fontId="29" fillId="0" borderId="30" xfId="0" applyFont="1" applyBorder="1" applyAlignment="1">
      <alignment vertical="top" wrapText="1"/>
    </xf>
    <xf numFmtId="0" fontId="28" fillId="0" borderId="36" xfId="0" applyFont="1" applyBorder="1" applyAlignment="1">
      <alignment horizontal="left" vertical="top" wrapText="1"/>
    </xf>
    <xf numFmtId="4" fontId="28" fillId="3" borderId="37" xfId="0" applyNumberFormat="1" applyFont="1" applyFill="1" applyBorder="1" applyAlignment="1" applyProtection="1">
      <alignment horizontal="center" vertical="center"/>
      <protection locked="0"/>
    </xf>
    <xf numFmtId="4" fontId="28" fillId="3" borderId="34" xfId="0" applyNumberFormat="1" applyFont="1" applyFill="1" applyBorder="1" applyAlignment="1" applyProtection="1">
      <alignment horizontal="center" vertical="center"/>
      <protection locked="0"/>
    </xf>
    <xf numFmtId="4" fontId="28" fillId="3" borderId="38" xfId="0" applyNumberFormat="1" applyFont="1" applyFill="1" applyBorder="1" applyAlignment="1" applyProtection="1">
      <alignment horizontal="center" vertical="center"/>
      <protection locked="0"/>
    </xf>
    <xf numFmtId="4" fontId="28" fillId="3" borderId="39" xfId="0" applyNumberFormat="1" applyFont="1" applyFill="1" applyBorder="1" applyAlignment="1" applyProtection="1">
      <alignment horizontal="center" vertical="center"/>
      <protection locked="0"/>
    </xf>
    <xf numFmtId="4" fontId="28" fillId="3" borderId="40" xfId="0" applyNumberFormat="1" applyFont="1" applyFill="1" applyBorder="1" applyAlignment="1" applyProtection="1">
      <alignment horizontal="center" vertical="center"/>
      <protection locked="0"/>
    </xf>
    <xf numFmtId="0" fontId="28" fillId="0" borderId="37" xfId="0" applyFont="1" applyBorder="1" applyAlignment="1">
      <alignment horizontal="left" vertical="top" wrapText="1"/>
    </xf>
    <xf numFmtId="0" fontId="28" fillId="0" borderId="33" xfId="0" applyFont="1" applyBorder="1" applyAlignment="1">
      <alignment horizontal="left" vertical="top" wrapText="1"/>
    </xf>
    <xf numFmtId="0" fontId="28" fillId="0" borderId="34" xfId="0" applyFont="1" applyBorder="1" applyAlignment="1">
      <alignment wrapText="1"/>
    </xf>
    <xf numFmtId="4" fontId="28" fillId="3" borderId="36" xfId="0" applyNumberFormat="1" applyFont="1" applyFill="1" applyBorder="1" applyAlignment="1" applyProtection="1">
      <alignment horizontal="center" vertical="center"/>
      <protection locked="0"/>
    </xf>
    <xf numFmtId="4" fontId="28" fillId="3" borderId="31" xfId="0" applyNumberFormat="1" applyFont="1" applyFill="1" applyBorder="1" applyAlignment="1" applyProtection="1">
      <alignment horizontal="center" vertical="center"/>
      <protection locked="0"/>
    </xf>
    <xf numFmtId="4" fontId="28" fillId="3" borderId="32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166" fontId="11" fillId="0" borderId="1" xfId="0" applyNumberFormat="1" applyFont="1" applyBorder="1" applyAlignment="1">
      <alignment horizontal="center" vertical="center" wrapText="1"/>
    </xf>
    <xf numFmtId="0" fontId="28" fillId="0" borderId="47" xfId="0" applyFont="1" applyBorder="1" applyAlignment="1">
      <alignment horizontal="left" vertical="top" wrapText="1"/>
    </xf>
    <xf numFmtId="4" fontId="28" fillId="3" borderId="46" xfId="0" applyNumberFormat="1" applyFont="1" applyFill="1" applyBorder="1" applyAlignment="1" applyProtection="1">
      <alignment horizontal="center" vertical="center"/>
      <protection locked="0"/>
    </xf>
    <xf numFmtId="4" fontId="28" fillId="3" borderId="47" xfId="0" applyNumberFormat="1" applyFont="1" applyFill="1" applyBorder="1" applyAlignment="1" applyProtection="1">
      <alignment horizontal="center" vertical="center"/>
      <protection locked="0"/>
    </xf>
    <xf numFmtId="4" fontId="28" fillId="3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0" fontId="28" fillId="0" borderId="32" xfId="0" applyFont="1" applyBorder="1" applyAlignment="1">
      <alignment horizontal="left" vertical="top" wrapText="1"/>
    </xf>
    <xf numFmtId="2" fontId="11" fillId="0" borderId="1" xfId="0" applyNumberFormat="1" applyFont="1" applyBorder="1"/>
    <xf numFmtId="2" fontId="11" fillId="0" borderId="1" xfId="0" applyNumberFormat="1" applyFont="1" applyBorder="1" applyAlignment="1">
      <alignment horizontal="center" vertical="center"/>
    </xf>
    <xf numFmtId="0" fontId="30" fillId="0" borderId="0" xfId="0" applyFont="1"/>
    <xf numFmtId="0" fontId="1" fillId="0" borderId="42" xfId="0" applyFont="1" applyBorder="1"/>
    <xf numFmtId="2" fontId="0" fillId="0" borderId="1" xfId="0" applyNumberFormat="1" applyBorder="1" applyAlignment="1">
      <alignment horizontal="left"/>
    </xf>
    <xf numFmtId="0" fontId="32" fillId="0" borderId="1" xfId="0" applyFont="1" applyBorder="1" applyAlignment="1">
      <alignment vertical="center" wrapTex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32" fillId="0" borderId="44" xfId="0" applyFont="1" applyBorder="1" applyAlignment="1">
      <alignment vertical="center" wrapText="1"/>
    </xf>
    <xf numFmtId="2" fontId="0" fillId="0" borderId="44" xfId="0" applyNumberFormat="1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32" fillId="0" borderId="10" xfId="0" applyFont="1" applyBorder="1" applyAlignment="1">
      <alignment vertical="center" wrapText="1"/>
    </xf>
    <xf numFmtId="0" fontId="1" fillId="0" borderId="26" xfId="0" applyFont="1" applyBorder="1"/>
    <xf numFmtId="0" fontId="31" fillId="0" borderId="48" xfId="0" applyFont="1" applyBorder="1" applyAlignment="1">
      <alignment vertical="center" wrapText="1"/>
    </xf>
    <xf numFmtId="0" fontId="31" fillId="0" borderId="3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1" fontId="0" fillId="0" borderId="16" xfId="0" applyNumberFormat="1" applyBorder="1" applyAlignment="1">
      <alignment horizontal="center" vertical="center" wrapText="1"/>
    </xf>
    <xf numFmtId="1" fontId="0" fillId="3" borderId="16" xfId="0" applyNumberForma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 indent="3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 applyProtection="1">
      <alignment vertical="center" wrapText="1"/>
      <protection locked="0"/>
    </xf>
    <xf numFmtId="0" fontId="24" fillId="0" borderId="1" xfId="1" applyBorder="1" applyAlignment="1" applyProtection="1">
      <alignment vertical="center" wrapText="1"/>
      <protection locked="0"/>
    </xf>
    <xf numFmtId="0" fontId="1" fillId="0" borderId="2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>
      <alignment vertical="top" wrapText="1"/>
    </xf>
    <xf numFmtId="0" fontId="0" fillId="0" borderId="10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Alignment="1">
      <alignment horizontal="left" vertical="top"/>
    </xf>
    <xf numFmtId="49" fontId="0" fillId="3" borderId="1" xfId="0" applyNumberFormat="1" applyFill="1" applyBorder="1" applyAlignment="1" applyProtection="1">
      <alignment horizontal="left" vertical="top"/>
      <protection locked="0"/>
    </xf>
    <xf numFmtId="49" fontId="0" fillId="0" borderId="1" xfId="0" applyNumberFormat="1" applyBorder="1" applyAlignment="1">
      <alignment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 shrinkToFit="1"/>
    </xf>
    <xf numFmtId="0" fontId="1" fillId="0" borderId="17" xfId="0" applyFont="1" applyBorder="1" applyAlignment="1">
      <alignment vertical="center" wrapText="1"/>
    </xf>
    <xf numFmtId="0" fontId="1" fillId="0" borderId="28" xfId="0" applyFont="1" applyBorder="1"/>
    <xf numFmtId="0" fontId="1" fillId="0" borderId="27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Protection="1">
      <protection locked="0"/>
    </xf>
    <xf numFmtId="1" fontId="0" fillId="0" borderId="27" xfId="0" applyNumberFormat="1" applyBorder="1" applyAlignment="1" applyProtection="1">
      <alignment vertical="center" wrapText="1"/>
      <protection locked="0"/>
    </xf>
    <xf numFmtId="0" fontId="1" fillId="0" borderId="39" xfId="0" applyFont="1" applyBorder="1" applyProtection="1">
      <protection locked="0"/>
    </xf>
    <xf numFmtId="0" fontId="1" fillId="0" borderId="28" xfId="0" applyFont="1" applyBorder="1" applyProtection="1">
      <protection locked="0"/>
    </xf>
    <xf numFmtId="1" fontId="0" fillId="0" borderId="49" xfId="0" applyNumberFormat="1" applyBorder="1" applyAlignment="1" applyProtection="1">
      <alignment vertical="center" wrapText="1"/>
      <protection locked="0"/>
    </xf>
    <xf numFmtId="0" fontId="1" fillId="0" borderId="50" xfId="0" applyFont="1" applyBorder="1" applyProtection="1">
      <protection locked="0"/>
    </xf>
    <xf numFmtId="0" fontId="1" fillId="0" borderId="51" xfId="0" applyFont="1" applyBorder="1" applyProtection="1">
      <protection locked="0"/>
    </xf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wrapText="1"/>
      <protection locked="0"/>
    </xf>
    <xf numFmtId="1" fontId="1" fillId="0" borderId="27" xfId="0" applyNumberFormat="1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1" fontId="0" fillId="0" borderId="1" xfId="0" applyNumberFormat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vertical="center" wrapText="1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0" borderId="25" xfId="0" applyNumberFormat="1" applyBorder="1" applyAlignment="1">
      <alignment horizontal="center" vertical="center" wrapText="1"/>
    </xf>
    <xf numFmtId="0" fontId="0" fillId="3" borderId="25" xfId="0" applyFill="1" applyBorder="1"/>
    <xf numFmtId="0" fontId="0" fillId="3" borderId="25" xfId="0" applyFill="1" applyBorder="1" applyProtection="1">
      <protection locked="0"/>
    </xf>
    <xf numFmtId="0" fontId="37" fillId="0" borderId="0" xfId="0" applyFont="1"/>
    <xf numFmtId="0" fontId="2" fillId="0" borderId="0" xfId="0" applyFont="1" applyAlignment="1">
      <alignment vertical="center" wrapText="1"/>
    </xf>
    <xf numFmtId="0" fontId="0" fillId="4" borderId="25" xfId="0" applyFill="1" applyBorder="1" applyProtection="1">
      <protection locked="0"/>
    </xf>
    <xf numFmtId="11" fontId="0" fillId="4" borderId="25" xfId="0" applyNumberFormat="1" applyFill="1" applyBorder="1" applyProtection="1">
      <protection locked="0"/>
    </xf>
    <xf numFmtId="2" fontId="0" fillId="4" borderId="25" xfId="0" applyNumberFormat="1" applyFill="1" applyBorder="1" applyProtection="1">
      <protection locked="0"/>
    </xf>
    <xf numFmtId="0" fontId="2" fillId="0" borderId="5" xfId="0" applyFont="1" applyBorder="1" applyAlignment="1">
      <alignment vertical="center" wrapText="1"/>
    </xf>
    <xf numFmtId="164" fontId="0" fillId="4" borderId="25" xfId="0" applyNumberFormat="1" applyFill="1" applyBorder="1" applyProtection="1">
      <protection locked="0"/>
    </xf>
    <xf numFmtId="2" fontId="0" fillId="0" borderId="0" xfId="0" applyNumberFormat="1" applyAlignment="1">
      <alignment horizontal="center" vertical="center" wrapText="1"/>
    </xf>
    <xf numFmtId="0" fontId="0" fillId="5" borderId="25" xfId="0" applyFill="1" applyBorder="1"/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1" fillId="0" borderId="54" xfId="0" applyFont="1" applyBorder="1" applyAlignment="1">
      <alignment vertical="center" wrapText="1"/>
    </xf>
    <xf numFmtId="0" fontId="1" fillId="0" borderId="52" xfId="0" applyFont="1" applyBorder="1"/>
    <xf numFmtId="0" fontId="0" fillId="0" borderId="36" xfId="0" applyBorder="1" applyAlignment="1">
      <alignment vertical="center" wrapText="1"/>
    </xf>
    <xf numFmtId="2" fontId="0" fillId="0" borderId="19" xfId="0" applyNumberFormat="1" applyBorder="1" applyAlignment="1">
      <alignment horizontal="center" vertical="center" wrapText="1"/>
    </xf>
    <xf numFmtId="2" fontId="0" fillId="0" borderId="44" xfId="0" applyNumberFormat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2" fontId="0" fillId="0" borderId="28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2" fontId="0" fillId="0" borderId="55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7" fontId="0" fillId="0" borderId="44" xfId="0" applyNumberForma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 shrinkToFi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0" xfId="0" applyNumberFormat="1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29" fillId="0" borderId="0" xfId="0" applyFont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>
      <alignment vertical="center"/>
    </xf>
    <xf numFmtId="0" fontId="29" fillId="0" borderId="27" xfId="0" applyFont="1" applyBorder="1" applyAlignment="1">
      <alignment horizontal="left" vertical="center"/>
    </xf>
    <xf numFmtId="0" fontId="0" fillId="0" borderId="39" xfId="0" applyBorder="1"/>
    <xf numFmtId="0" fontId="12" fillId="0" borderId="39" xfId="0" applyFont="1" applyBorder="1" applyAlignment="1">
      <alignment horizontal="left" vertical="center"/>
    </xf>
    <xf numFmtId="1" fontId="0" fillId="0" borderId="0" xfId="0" applyNumberFormat="1" applyAlignment="1">
      <alignment vertical="center" wrapText="1"/>
    </xf>
    <xf numFmtId="0" fontId="28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0" fillId="0" borderId="17" xfId="0" applyBorder="1" applyAlignment="1">
      <alignment vertical="center" wrapText="1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0" fontId="0" fillId="3" borderId="53" xfId="0" applyFill="1" applyBorder="1" applyAlignment="1" applyProtection="1">
      <alignment horizontal="center" vertical="center" wrapText="1"/>
      <protection locked="0"/>
    </xf>
    <xf numFmtId="0" fontId="0" fillId="3" borderId="19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1" fillId="3" borderId="44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45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inden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top" indent="1"/>
    </xf>
    <xf numFmtId="0" fontId="0" fillId="0" borderId="49" xfId="0" applyBorder="1"/>
    <xf numFmtId="0" fontId="1" fillId="0" borderId="17" xfId="0" applyFont="1" applyBorder="1" applyAlignment="1">
      <alignment vertical="top" wrapText="1"/>
    </xf>
    <xf numFmtId="0" fontId="0" fillId="0" borderId="12" xfId="0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 shrinkToFit="1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indent="4"/>
    </xf>
    <xf numFmtId="0" fontId="15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28" fillId="0" borderId="46" xfId="0" applyFont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right" wrapText="1" shrinkToFit="1"/>
    </xf>
    <xf numFmtId="3" fontId="0" fillId="0" borderId="1" xfId="0" applyNumberFormat="1" applyBorder="1" applyAlignment="1">
      <alignment vertical="center" wrapText="1"/>
    </xf>
    <xf numFmtId="2" fontId="0" fillId="6" borderId="0" xfId="0" applyNumberFormat="1" applyFill="1" applyAlignment="1">
      <alignment horizontal="left"/>
    </xf>
    <xf numFmtId="164" fontId="11" fillId="3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5" fillId="0" borderId="0" xfId="0" applyFont="1"/>
    <xf numFmtId="0" fontId="11" fillId="3" borderId="28" xfId="0" applyFont="1" applyFill="1" applyBorder="1" applyAlignment="1" applyProtection="1">
      <alignment horizontal="left" vertical="center"/>
      <protection locked="0"/>
    </xf>
    <xf numFmtId="0" fontId="12" fillId="0" borderId="27" xfId="0" applyFont="1" applyBorder="1" applyAlignment="1">
      <alignment horizontal="left" vertical="center"/>
    </xf>
    <xf numFmtId="1" fontId="0" fillId="6" borderId="0" xfId="0" applyNumberFormat="1" applyFill="1" applyAlignment="1">
      <alignment horizontal="left"/>
    </xf>
    <xf numFmtId="0" fontId="28" fillId="0" borderId="1" xfId="0" applyFont="1" applyBorder="1" applyAlignment="1">
      <alignment vertical="top"/>
    </xf>
    <xf numFmtId="0" fontId="28" fillId="0" borderId="1" xfId="0" applyFont="1" applyBorder="1" applyAlignment="1">
      <alignment horizontal="left" vertical="top" wrapText="1"/>
    </xf>
    <xf numFmtId="0" fontId="46" fillId="0" borderId="25" xfId="0" applyFont="1" applyBorder="1" applyAlignment="1">
      <alignment horizontal="center" vertical="center"/>
    </xf>
    <xf numFmtId="0" fontId="46" fillId="0" borderId="0" xfId="0" applyFont="1"/>
    <xf numFmtId="0" fontId="29" fillId="0" borderId="0" xfId="0" applyFont="1"/>
    <xf numFmtId="1" fontId="0" fillId="0" borderId="1" xfId="0" applyNumberForma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2" fontId="11" fillId="3" borderId="1" xfId="0" applyNumberFormat="1" applyFont="1" applyFill="1" applyBorder="1" applyAlignment="1" applyProtection="1">
      <alignment vertical="top"/>
      <protection locked="0"/>
    </xf>
    <xf numFmtId="2" fontId="11" fillId="5" borderId="1" xfId="0" applyNumberFormat="1" applyFont="1" applyFill="1" applyBorder="1" applyAlignment="1">
      <alignment vertical="top"/>
    </xf>
    <xf numFmtId="0" fontId="28" fillId="0" borderId="0" xfId="0" applyFont="1" applyAlignment="1">
      <alignment horizontal="left" vertical="top"/>
    </xf>
    <xf numFmtId="0" fontId="49" fillId="0" borderId="0" xfId="0" applyFont="1"/>
    <xf numFmtId="1" fontId="23" fillId="4" borderId="1" xfId="0" applyNumberFormat="1" applyFont="1" applyFill="1" applyBorder="1" applyAlignment="1" applyProtection="1">
      <alignment vertical="top"/>
      <protection locked="0"/>
    </xf>
    <xf numFmtId="0" fontId="50" fillId="0" borderId="25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30" xfId="0" applyBorder="1"/>
    <xf numFmtId="0" fontId="0" fillId="0" borderId="29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51" fillId="0" borderId="0" xfId="0" applyFont="1"/>
    <xf numFmtId="3" fontId="0" fillId="0" borderId="1" xfId="0" applyNumberFormat="1" applyBorder="1"/>
    <xf numFmtId="3" fontId="0" fillId="3" borderId="60" xfId="0" applyNumberFormat="1" applyFill="1" applyBorder="1" applyProtection="1">
      <protection locked="0"/>
    </xf>
    <xf numFmtId="3" fontId="0" fillId="3" borderId="62" xfId="0" applyNumberFormat="1" applyFill="1" applyBorder="1" applyProtection="1">
      <protection locked="0"/>
    </xf>
    <xf numFmtId="3" fontId="0" fillId="3" borderId="5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59" xfId="0" applyNumberFormat="1" applyFill="1" applyBorder="1" applyProtection="1">
      <protection locked="0"/>
    </xf>
    <xf numFmtId="3" fontId="11" fillId="5" borderId="1" xfId="0" applyNumberFormat="1" applyFont="1" applyFill="1" applyBorder="1" applyAlignment="1">
      <alignment horizontal="left" vertical="center"/>
    </xf>
    <xf numFmtId="49" fontId="54" fillId="0" borderId="0" xfId="0" applyNumberFormat="1" applyFont="1" applyAlignment="1">
      <alignment horizontal="left" vertical="center"/>
    </xf>
    <xf numFmtId="49" fontId="53" fillId="0" borderId="0" xfId="0" applyNumberFormat="1" applyFont="1" applyAlignment="1">
      <alignment horizontal="left" vertical="center"/>
    </xf>
    <xf numFmtId="49" fontId="53" fillId="7" borderId="0" xfId="0" applyNumberFormat="1" applyFont="1" applyFill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vertical="top"/>
    </xf>
    <xf numFmtId="4" fontId="0" fillId="5" borderId="1" xfId="0" applyNumberFormat="1" applyFill="1" applyBorder="1"/>
    <xf numFmtId="1" fontId="0" fillId="5" borderId="1" xfId="0" applyNumberFormat="1" applyFill="1" applyBorder="1"/>
    <xf numFmtId="0" fontId="2" fillId="0" borderId="0" xfId="0" applyFont="1"/>
    <xf numFmtId="2" fontId="0" fillId="5" borderId="1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3" fontId="0" fillId="5" borderId="1" xfId="0" applyNumberFormat="1" applyFill="1" applyBorder="1"/>
    <xf numFmtId="3" fontId="0" fillId="5" borderId="12" xfId="0" applyNumberFormat="1" applyFill="1" applyBorder="1"/>
    <xf numFmtId="49" fontId="0" fillId="0" borderId="1" xfId="0" applyNumberFormat="1" applyBorder="1"/>
    <xf numFmtId="0" fontId="0" fillId="0" borderId="0" xfId="0" applyAlignment="1">
      <alignment horizontal="left" vertical="center"/>
    </xf>
    <xf numFmtId="0" fontId="44" fillId="0" borderId="0" xfId="0" applyFont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3" borderId="1" xfId="0" applyFill="1" applyBorder="1" applyAlignment="1" applyProtection="1">
      <alignment horizontal="right" vertical="center"/>
      <protection locked="0"/>
    </xf>
    <xf numFmtId="1" fontId="0" fillId="3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wrapText="1"/>
    </xf>
    <xf numFmtId="0" fontId="52" fillId="0" borderId="0" xfId="0" applyFont="1"/>
    <xf numFmtId="0" fontId="0" fillId="0" borderId="59" xfId="0" applyBorder="1"/>
    <xf numFmtId="0" fontId="1" fillId="0" borderId="59" xfId="0" applyFont="1" applyBorder="1"/>
    <xf numFmtId="0" fontId="4" fillId="0" borderId="1" xfId="0" applyFont="1" applyBorder="1"/>
    <xf numFmtId="0" fontId="0" fillId="0" borderId="61" xfId="0" applyBorder="1"/>
    <xf numFmtId="4" fontId="0" fillId="0" borderId="59" xfId="0" applyNumberFormat="1" applyBorder="1"/>
    <xf numFmtId="3" fontId="0" fillId="0" borderId="59" xfId="0" applyNumberFormat="1" applyBorder="1"/>
    <xf numFmtId="168" fontId="0" fillId="0" borderId="1" xfId="0" applyNumberFormat="1" applyBorder="1"/>
    <xf numFmtId="3" fontId="0" fillId="0" borderId="60" xfId="0" applyNumberFormat="1" applyBorder="1"/>
    <xf numFmtId="0" fontId="0" fillId="0" borderId="42" xfId="0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horizontal="left" vertical="center" wrapText="1"/>
      <protection locked="0"/>
    </xf>
    <xf numFmtId="0" fontId="0" fillId="0" borderId="41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42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0" fillId="0" borderId="0" xfId="0" applyAlignment="1">
      <alignment vertical="top" wrapText="1" shrinkToFit="1"/>
    </xf>
    <xf numFmtId="0" fontId="0" fillId="0" borderId="0" xfId="0" applyAlignment="1">
      <alignment vertical="top" shrinkToFit="1"/>
    </xf>
    <xf numFmtId="0" fontId="12" fillId="0" borderId="42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1" fillId="0" borderId="42" xfId="0" applyFont="1" applyBorder="1" applyAlignment="1">
      <alignment vertical="center" wrapText="1"/>
    </xf>
    <xf numFmtId="0" fontId="11" fillId="0" borderId="26" xfId="0" applyFont="1" applyBorder="1" applyAlignment="1">
      <alignment vertical="center" wrapText="1"/>
    </xf>
    <xf numFmtId="0" fontId="31" fillId="0" borderId="48" xfId="0" applyFont="1" applyBorder="1" applyAlignment="1">
      <alignment vertical="center" wrapText="1"/>
    </xf>
    <xf numFmtId="0" fontId="31" fillId="0" borderId="35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49" fontId="53" fillId="0" borderId="0" xfId="0" applyNumberFormat="1" applyFont="1" applyAlignment="1">
      <alignment horizontal="left" vertical="center" wrapText="1"/>
    </xf>
    <xf numFmtId="49" fontId="28" fillId="0" borderId="0" xfId="0" applyNumberFormat="1" applyFont="1" applyAlignment="1">
      <alignment horizontal="left" vertical="center"/>
    </xf>
  </cellXfs>
  <cellStyles count="2">
    <cellStyle name="Hyperlink" xfId="1" builtinId="8"/>
    <cellStyle name="Standaard" xfId="0" builtinId="0"/>
  </cellStyles>
  <dxfs count="13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eetMetadata" Target="metadata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52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5</xdr:row>
      <xdr:rowOff>104776</xdr:rowOff>
    </xdr:from>
    <xdr:to>
      <xdr:col>7</xdr:col>
      <xdr:colOff>819150</xdr:colOff>
      <xdr:row>21</xdr:row>
      <xdr:rowOff>122266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857251"/>
          <a:ext cx="8048625" cy="2303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20</xdr:row>
      <xdr:rowOff>19051</xdr:rowOff>
    </xdr:from>
    <xdr:to>
      <xdr:col>4</xdr:col>
      <xdr:colOff>1400174</xdr:colOff>
      <xdr:row>22</xdr:row>
      <xdr:rowOff>95251</xdr:rowOff>
    </xdr:to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/>
      </xdr:nvSpPr>
      <xdr:spPr>
        <a:xfrm>
          <a:off x="266700" y="4972051"/>
          <a:ext cx="7639049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3.17.2: Vibration limits</a:t>
          </a:r>
          <a:r>
            <a:rPr lang="nl-NL" sz="1200" b="0">
              <a:effectLst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maximum vibration severity in terms of vibration velocity (Vrms) for the shaft height H.</a:t>
          </a:r>
          <a:r>
            <a:rPr lang="nl-NL" sz="1200" b="0">
              <a:effectLst/>
            </a:rPr>
            <a:t> </a:t>
          </a:r>
          <a:endParaRPr lang="nl-NL" sz="1200" b="0"/>
        </a:p>
      </xdr:txBody>
    </xdr:sp>
    <xdr:clientData/>
  </xdr:twoCellAnchor>
  <xdr:oneCellAnchor>
    <xdr:from>
      <xdr:col>1</xdr:col>
      <xdr:colOff>104775</xdr:colOff>
      <xdr:row>9</xdr:row>
      <xdr:rowOff>257175</xdr:rowOff>
    </xdr:from>
    <xdr:ext cx="7400925" cy="3788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/>
      </xdr:nvSpPr>
      <xdr:spPr>
        <a:xfrm>
          <a:off x="266700" y="2952750"/>
          <a:ext cx="7400925" cy="378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Table 3.17.1: Imposed vibration parameters for testing.</a:t>
          </a:r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  <a:p>
          <a:endParaRPr lang="nl-N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2152650</xdr:colOff>
      <xdr:row>2</xdr:row>
      <xdr:rowOff>123825</xdr:rowOff>
    </xdr:from>
    <xdr:to>
      <xdr:col>5</xdr:col>
      <xdr:colOff>495300</xdr:colOff>
      <xdr:row>15</xdr:row>
      <xdr:rowOff>12065</xdr:rowOff>
    </xdr:to>
    <xdr:pic>
      <xdr:nvPicPr>
        <xdr:cNvPr id="3" name="Afbeelding 2" descr="Afbeelding met diagram, cirkel, schets, Technische tekening&#10;&#10;Automatisch gegenereerde beschrijving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409575"/>
          <a:ext cx="4514850" cy="17456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</xdr:colOff>
      <xdr:row>0</xdr:row>
      <xdr:rowOff>133350</xdr:rowOff>
    </xdr:from>
    <xdr:ext cx="7877174" cy="53340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/>
      </xdr:nvSpPr>
      <xdr:spPr>
        <a:xfrm>
          <a:off x="1" y="133350"/>
          <a:ext cx="7877174" cy="533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The vibration measurement of the machine is measured according to the standard NEN-EN-IEC 60034-14, edition 2018, without load (no-load) and rigid or free suspension</a:t>
          </a:r>
          <a:r>
            <a:rPr lang="en-GB" sz="110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(see table 3.17.1).</a:t>
          </a:r>
          <a:endParaRPr lang="nl-NL" sz="11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l-NL" sz="1100"/>
        </a:p>
      </xdr:txBody>
    </xdr:sp>
    <xdr:clientData/>
  </xdr:oneCellAnchor>
  <xdr:oneCellAnchor>
    <xdr:from>
      <xdr:col>1</xdr:col>
      <xdr:colOff>1685926</xdr:colOff>
      <xdr:row>14</xdr:row>
      <xdr:rowOff>114300</xdr:rowOff>
    </xdr:from>
    <xdr:ext cx="5762624" cy="436017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SpPr txBox="1"/>
      </xdr:nvSpPr>
      <xdr:spPr>
        <a:xfrm>
          <a:off x="1847851" y="2114550"/>
          <a:ext cx="5762624" cy="436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Fig. 3.17: Vibration test set up </a:t>
          </a:r>
          <a:r>
            <a:rPr lang="en-GB" sz="110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(DE = Drive End, NDE = Non Drive End).</a:t>
          </a:r>
          <a:endParaRPr lang="nl-NL" sz="11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nl-NL" sz="1100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7400925" cy="3788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161925" y="4686300"/>
          <a:ext cx="7400925" cy="378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Table 3.17.3: Measured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vibrations.</a:t>
          </a:r>
          <a:endParaRPr lang="nl-NL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17</xdr:row>
      <xdr:rowOff>257175</xdr:rowOff>
    </xdr:from>
    <xdr:ext cx="7400925" cy="37886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/>
      </xdr:nvSpPr>
      <xdr:spPr>
        <a:xfrm>
          <a:off x="266700" y="3190875"/>
          <a:ext cx="7400925" cy="378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i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Table 3.18.1: Imposed noise parameters for testing.</a:t>
          </a:r>
          <a:r>
            <a:rPr lang="nl-NL" sz="1100" b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</a:t>
          </a:r>
          <a:endParaRPr lang="nl-NL">
            <a:effectLst/>
            <a:latin typeface="Verdana" panose="020B0604030504040204" pitchFamily="34" charset="0"/>
            <a:ea typeface="Verdana" panose="020B0604030504040204" pitchFamily="34" charset="0"/>
          </a:endParaRPr>
        </a:p>
        <a:p>
          <a:endParaRPr lang="nl-NL" sz="1100"/>
        </a:p>
      </xdr:txBody>
    </xdr:sp>
    <xdr:clientData/>
  </xdr:oneCellAnchor>
  <xdr:oneCellAnchor>
    <xdr:from>
      <xdr:col>0</xdr:col>
      <xdr:colOff>0</xdr:colOff>
      <xdr:row>1</xdr:row>
      <xdr:rowOff>133350</xdr:rowOff>
    </xdr:from>
    <xdr:ext cx="8286750" cy="81915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/>
      </xdr:nvSpPr>
      <xdr:spPr>
        <a:xfrm>
          <a:off x="0" y="276225"/>
          <a:ext cx="8286750" cy="8191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The noise measurement of the machine is measured with an A-weighted pressure level L</a:t>
          </a:r>
          <a:r>
            <a:rPr lang="en-GB" sz="1100" baseline="-250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pa</a:t>
          </a:r>
          <a:r>
            <a:rPr lang="en-GB" sz="11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(dBa). The noise measurement takes place at 6 different measuring points around the machine at a distance of 1 meter from the outside. The measurement is carried out at no load with a nominal speed. If forced cooling is present, noise will be measured with forced cooling switched on and off.</a:t>
          </a:r>
          <a:endParaRPr lang="nl-NL" sz="11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nl-NL" sz="11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nl-NL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1581151</xdr:colOff>
      <xdr:row>13</xdr:row>
      <xdr:rowOff>28575</xdr:rowOff>
    </xdr:from>
    <xdr:ext cx="5762624" cy="436017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/>
      </xdr:nvSpPr>
      <xdr:spPr>
        <a:xfrm>
          <a:off x="1743076" y="2028825"/>
          <a:ext cx="5762624" cy="4360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Fig. 3.18: Noise test set up </a:t>
          </a:r>
          <a:r>
            <a:rPr lang="en-GB" sz="1100" baseline="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 (DE = Drive End, NDE = Non Drive End).</a:t>
          </a:r>
          <a:endParaRPr lang="nl-NL" sz="110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nl-NL" sz="1100"/>
        </a:p>
      </xdr:txBody>
    </xdr:sp>
    <xdr:clientData/>
  </xdr:oneCellAnchor>
  <xdr:oneCellAnchor>
    <xdr:from>
      <xdr:col>1</xdr:col>
      <xdr:colOff>1</xdr:colOff>
      <xdr:row>25</xdr:row>
      <xdr:rowOff>0</xdr:rowOff>
    </xdr:from>
    <xdr:ext cx="3086100" cy="62865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 txBox="1"/>
      </xdr:nvSpPr>
      <xdr:spPr>
        <a:xfrm>
          <a:off x="161926" y="5010150"/>
          <a:ext cx="3086100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Table 3.18.2: Measured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noises</a:t>
          </a:r>
        </a:p>
        <a:p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GB" sz="1100" baseline="-25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= level of acoustic pressure (dBa), d = 1 m.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/>
        </a:p>
      </xdr:txBody>
    </xdr:sp>
    <xdr:clientData/>
  </xdr:oneCellAnchor>
  <xdr:twoCellAnchor editAs="oneCell">
    <xdr:from>
      <xdr:col>1</xdr:col>
      <xdr:colOff>2047874</xdr:colOff>
      <xdr:row>0</xdr:row>
      <xdr:rowOff>38101</xdr:rowOff>
    </xdr:from>
    <xdr:to>
      <xdr:col>5</xdr:col>
      <xdr:colOff>336400</xdr:colOff>
      <xdr:row>12</xdr:row>
      <xdr:rowOff>104775</xdr:rowOff>
    </xdr:to>
    <xdr:pic>
      <xdr:nvPicPr>
        <xdr:cNvPr id="7" name="Afbeelding 6" descr="Afbeelding met diagram, schets, cirkel, ontwerp&#10;&#10;Automatisch gegenereerde beschrijving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799" y="38101"/>
          <a:ext cx="4460726" cy="1781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247651</xdr:colOff>
      <xdr:row>5</xdr:row>
      <xdr:rowOff>114301</xdr:rowOff>
    </xdr:from>
    <xdr:to>
      <xdr:col>8</xdr:col>
      <xdr:colOff>971550</xdr:colOff>
      <xdr:row>26</xdr:row>
      <xdr:rowOff>63080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551" y="866776"/>
          <a:ext cx="5029199" cy="31968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rphhnk.sharepoint.com/sites/01265/Gedeelde%20documenten/General/Werkmappen/Ernst%20Schilpzand/01%20-%20Projecten/13%20-%20WS/gemaal%20Helsdeur/Motoren/Testplan%20Machine%20Pump%201%20Pumpstation%20De%20Helsdeur%20HHNK%20Rev.%200.2.xlsx" TargetMode="External"/><Relationship Id="rId1" Type="http://schemas.openxmlformats.org/officeDocument/2006/relationships/externalLinkPath" Target="/sites/01265/Gedeelde%20documenten/General/Werkmappen/Ernst%20Schilpzand/01%20-%20Projecten/13%20-%20WS/gemaal%20Helsdeur/Motoren/Testplan%20Machine%20Pump%201%20Pumpstation%20De%20Helsdeur%20HHNK%20Rev.%200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XyT-xDDp0eu0ru1a74LRX5cIesc0PtMvpVnnXl6rKGTL3PpZBwfT4ZdVspjTK54" itemId="01AJCDNKVVKCOXEQVD2RCKR2REXAS4B4WB">
      <xxl21:absoluteUrl r:id="rId2"/>
    </xxl21:alternateUrls>
    <sheetNames>
      <sheetName val="kopie"/>
      <sheetName val="Test plan Electric Machines"/>
      <sheetName val="1. Machine Test Document"/>
      <sheetName val="1.1 Project Information"/>
      <sheetName val="1.2 Test approval"/>
      <sheetName val="2.1 Test Protocols"/>
      <sheetName val="3.1.1 Visual Inspection"/>
      <sheetName val="3.1.2 Visual Inspection"/>
      <sheetName val="3.1.3 Visual Inspection"/>
      <sheetName val="3.2. Basic Tests"/>
      <sheetName val="3.3 Insulation Resistance Cold"/>
      <sheetName val="3.4 Resistance Winding Cold"/>
      <sheetName val="3.5 RTD PT-100 Cold"/>
      <sheetName val="3.6 PTC stop"/>
      <sheetName val="3.7 PTC warning"/>
      <sheetName val="3.8 Insulation HiPot AC"/>
      <sheetName val="3.9 BEMF(Cold)"/>
      <sheetName val="3.10 Overspeed Test"/>
      <sheetName val="3.11 Temperature Rise Test ETD"/>
      <sheetName val="3.12 Temp. Rise Test Bearings"/>
      <sheetName val="3.13 Resistance Winding Hot"/>
      <sheetName val="3.14 Winding Rise Test Calc"/>
      <sheetName val="3.15.1 Load Test 1"/>
      <sheetName val="3.15.2 Load Test 2"/>
      <sheetName val="3.16 No-Load Test"/>
      <sheetName val="3.17.1 Vibration test"/>
      <sheetName val="3.17.2 Vibration test"/>
      <sheetName val="3.18.1 Noise test"/>
      <sheetName val="3.18.2 Noise test"/>
      <sheetName val="3.19 Locked Rotor Test"/>
      <sheetName val="3.20 BEMF(Hot)"/>
      <sheetName val="3.21 Insulation Resistance Hot"/>
      <sheetName val="3.22 RTD PT-100 Hot"/>
      <sheetName val="Annex 1.1  Spec. Machine"/>
      <sheetName val="Annex 1.2  Spec. Machine "/>
      <sheetName val="Annex 1.3  Spec. Machine "/>
      <sheetName val="Annex 2"/>
      <sheetName val="Annex 3.1 Specifications VSD"/>
      <sheetName val="Annex 3.2 Specifications VSD"/>
      <sheetName val="Annex 4  PT100"/>
      <sheetName val="Tolerance"/>
      <sheetName val="Specification machine"/>
      <sheetName val="Specification PTC"/>
      <sheetName val="Data"/>
      <sheetName val="SpecList"/>
      <sheetName val="Settings (no)load"/>
      <sheetName val="2.2 Test Protoc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">
          <cell r="B2" t="str">
            <v>Tolerance Resistance measurement cold</v>
          </cell>
          <cell r="D2" t="str">
            <v>%</v>
          </cell>
        </row>
        <row r="4">
          <cell r="B4" t="str">
            <v>Tolerance Resistance measurement hot</v>
          </cell>
          <cell r="D4" t="str">
            <v>%</v>
          </cell>
        </row>
      </sheetData>
      <sheetData sheetId="41"/>
      <sheetData sheetId="42"/>
      <sheetData sheetId="43"/>
      <sheetData sheetId="44"/>
      <sheetData sheetId="45"/>
      <sheetData sheetId="4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3E405D-032A-4433-B542-29B05BF8D88D}" name="Tabel3" displayName="Tabel3" ref="B6:L39" totalsRowShown="0" headerRowDxfId="12" dataDxfId="11">
  <autoFilter ref="B6:L39" xr:uid="{213E405D-032A-4433-B542-29B05BF8D88D}"/>
  <tableColumns count="11">
    <tableColumn id="1" xr3:uid="{4952FB9E-D22A-4118-814F-59C3E6B5210B}" name="Temperature _x000a_(°C)" dataDxfId="10"/>
    <tableColumn id="2" xr3:uid="{7CC703EE-40CB-4221-9AAC-253BE17C6C30}" name="0" dataDxfId="9"/>
    <tableColumn id="3" xr3:uid="{672CD4D0-234F-4C22-AA3E-23A59B916867}" name="1" dataDxfId="8"/>
    <tableColumn id="4" xr3:uid="{A0466EF3-4460-47D1-A461-A56D13D2F4E2}" name="2" dataDxfId="7"/>
    <tableColumn id="5" xr3:uid="{2F08C86D-B35B-46AF-8DE7-50E41C15C163}" name="3" dataDxfId="6"/>
    <tableColumn id="6" xr3:uid="{3A13EFAE-A3FA-4FB3-97DD-6092545E1ED3}" name="4" dataDxfId="5"/>
    <tableColumn id="7" xr3:uid="{D8F82EA5-63DB-4B6E-8E4B-97D7AA30CA02}" name="5" dataDxfId="4"/>
    <tableColumn id="8" xr3:uid="{A1734355-140A-4A99-9DA3-D0BBE0486FF6}" name="6" dataDxfId="3"/>
    <tableColumn id="9" xr3:uid="{25D0EA3E-D3C5-4340-B888-E117632DB21C}" name="7" dataDxfId="2"/>
    <tableColumn id="10" xr3:uid="{52829714-3FB2-45F7-A685-6F20D7F8366A}" name="8" dataDxfId="1"/>
    <tableColumn id="11" xr3:uid="{239E7C27-C59A-4D2B-9C39-351D0E30AEE8}" name="9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hhnk.nl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printerSettings" Target="../printerSettings/printerSettings39.bin"/><Relationship Id="rId1" Type="http://schemas.openxmlformats.org/officeDocument/2006/relationships/hyperlink" Target="https://nl.wikipedia.org/wiki/Celsius" TargetMode="Externa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515D-A199-4806-9DED-E50B1FD5BFCA}">
  <sheetPr>
    <pageSetUpPr fitToPage="1"/>
  </sheetPr>
  <dimension ref="B2:M40"/>
  <sheetViews>
    <sheetView showGridLines="0" showRowColHeaders="0" view="pageLayout" zoomScale="67" zoomScaleNormal="100" zoomScalePageLayoutView="67" workbookViewId="0">
      <selection activeCell="B24" sqref="B24"/>
    </sheetView>
  </sheetViews>
  <sheetFormatPr defaultRowHeight="11.25"/>
  <cols>
    <col min="2" max="2" width="69.125" customWidth="1"/>
  </cols>
  <sheetData>
    <row r="2" spans="2:13" ht="15">
      <c r="B2" s="73"/>
      <c r="C2" s="50"/>
      <c r="D2" s="50"/>
      <c r="E2" s="50"/>
      <c r="F2" s="68"/>
      <c r="G2" s="68"/>
      <c r="H2" s="68"/>
    </row>
    <row r="3" spans="2:13" ht="15">
      <c r="B3" s="69"/>
      <c r="C3" s="50"/>
      <c r="D3" s="50"/>
      <c r="E3" s="50"/>
      <c r="F3" s="68"/>
      <c r="G3" s="68"/>
      <c r="H3" s="68"/>
    </row>
    <row r="4" spans="2:13" ht="15">
      <c r="B4" s="89"/>
      <c r="C4" s="89"/>
      <c r="D4" s="50"/>
      <c r="E4" s="50"/>
      <c r="F4" s="68"/>
      <c r="G4" s="68"/>
      <c r="H4" s="68"/>
    </row>
    <row r="5" spans="2:13" ht="13.5" customHeight="1">
      <c r="B5" s="90"/>
      <c r="C5" s="90"/>
      <c r="G5" s="68"/>
      <c r="H5" s="68"/>
    </row>
    <row r="6" spans="2:13" ht="15">
      <c r="B6" s="90"/>
      <c r="C6" s="90"/>
      <c r="D6" s="50"/>
      <c r="E6" s="50"/>
      <c r="F6" s="68"/>
      <c r="G6" s="68"/>
      <c r="H6" s="68"/>
    </row>
    <row r="7" spans="2:13" ht="15">
      <c r="B7" s="90"/>
      <c r="C7" s="90"/>
      <c r="D7" s="50"/>
      <c r="E7" s="50"/>
      <c r="F7" s="68"/>
      <c r="G7" s="68"/>
      <c r="H7" s="68"/>
      <c r="M7" t="s">
        <v>0</v>
      </c>
    </row>
    <row r="8" spans="2:13" ht="60">
      <c r="B8" s="97" t="s">
        <v>1</v>
      </c>
      <c r="C8" s="97"/>
      <c r="D8" s="50"/>
      <c r="E8" s="50"/>
      <c r="F8" s="68"/>
      <c r="G8" s="68"/>
      <c r="H8" s="68"/>
    </row>
    <row r="9" spans="2:13" ht="15">
      <c r="B9" s="89"/>
      <c r="C9" s="89"/>
      <c r="D9" s="50"/>
      <c r="E9" s="50"/>
      <c r="F9" s="68"/>
      <c r="G9" s="68"/>
      <c r="H9" s="68"/>
    </row>
    <row r="10" spans="2:13" ht="15">
      <c r="B10" s="90"/>
      <c r="C10" s="90"/>
      <c r="G10" s="68"/>
      <c r="H10" s="68"/>
    </row>
    <row r="11" spans="2:13" ht="15">
      <c r="B11" s="90"/>
      <c r="C11" s="90"/>
      <c r="D11" s="50"/>
      <c r="E11" s="50"/>
      <c r="F11" s="68"/>
      <c r="G11" s="68"/>
      <c r="H11" s="68"/>
    </row>
    <row r="12" spans="2:13" ht="15">
      <c r="B12" s="90"/>
      <c r="C12" s="90"/>
      <c r="D12" s="50"/>
      <c r="E12" s="50"/>
      <c r="F12" s="68"/>
      <c r="G12" s="68"/>
      <c r="H12" s="68"/>
    </row>
    <row r="13" spans="2:13" ht="15">
      <c r="B13" s="90"/>
      <c r="C13" s="90"/>
      <c r="D13" s="50"/>
      <c r="E13" s="50"/>
      <c r="F13" s="68"/>
      <c r="G13" s="68"/>
      <c r="H13" s="68"/>
    </row>
    <row r="14" spans="2:13" ht="15">
      <c r="C14" s="89"/>
      <c r="D14" s="50"/>
      <c r="E14" s="50"/>
      <c r="F14" s="68"/>
      <c r="G14" s="68"/>
      <c r="H14" s="68"/>
    </row>
    <row r="15" spans="2:13" ht="15">
      <c r="C15" s="89"/>
      <c r="D15" s="50"/>
      <c r="E15" s="50"/>
      <c r="F15" s="68"/>
      <c r="G15" s="68"/>
      <c r="H15" s="68"/>
    </row>
    <row r="16" spans="2:13" ht="15">
      <c r="B16" s="90"/>
      <c r="C16" s="90"/>
      <c r="D16" s="50"/>
      <c r="E16" s="50"/>
      <c r="F16" s="68"/>
      <c r="G16" s="68"/>
      <c r="H16" s="68"/>
    </row>
    <row r="17" spans="2:9" ht="15">
      <c r="C17" s="90"/>
      <c r="D17" s="50"/>
      <c r="E17" s="50"/>
      <c r="F17" s="68"/>
      <c r="G17" s="68"/>
      <c r="H17" s="68"/>
    </row>
    <row r="18" spans="2:9" ht="15">
      <c r="C18" s="90"/>
      <c r="D18" s="50"/>
      <c r="E18" s="68"/>
      <c r="F18" s="68"/>
      <c r="G18" s="68"/>
      <c r="H18" s="68"/>
    </row>
    <row r="19" spans="2:9" ht="15">
      <c r="C19" s="90"/>
      <c r="G19" s="68"/>
      <c r="H19" s="68"/>
    </row>
    <row r="20" spans="2:9" ht="15">
      <c r="C20" s="89"/>
      <c r="F20" s="68"/>
      <c r="G20" s="68"/>
      <c r="H20" s="68"/>
    </row>
    <row r="21" spans="2:9" ht="14.25">
      <c r="C21" s="89"/>
      <c r="D21" s="89"/>
      <c r="E21" s="89"/>
      <c r="F21" s="90"/>
      <c r="G21" s="90"/>
      <c r="H21" s="90"/>
      <c r="I21" s="36"/>
    </row>
    <row r="22" spans="2:9" ht="14.25">
      <c r="C22" s="89"/>
      <c r="D22" s="89"/>
      <c r="E22" s="89"/>
      <c r="F22" s="90"/>
      <c r="G22" s="90"/>
      <c r="H22" s="90"/>
      <c r="I22" s="36"/>
    </row>
    <row r="23" spans="2:9" ht="14.25">
      <c r="C23" s="89"/>
      <c r="D23" s="89"/>
      <c r="E23" s="89"/>
      <c r="F23" s="90"/>
      <c r="G23" s="90"/>
      <c r="H23" s="90"/>
      <c r="I23" s="36"/>
    </row>
    <row r="24" spans="2:9" ht="14.25">
      <c r="C24" s="89"/>
      <c r="D24" s="89"/>
      <c r="E24" s="89"/>
      <c r="F24" s="90"/>
      <c r="G24" s="90"/>
      <c r="H24" s="90"/>
      <c r="I24" s="36"/>
    </row>
    <row r="25" spans="2:9" ht="14.25">
      <c r="C25" s="89"/>
      <c r="D25" s="89"/>
      <c r="E25" s="89"/>
      <c r="F25" s="90"/>
      <c r="G25" s="90"/>
      <c r="H25" s="90"/>
      <c r="I25" s="36"/>
    </row>
    <row r="26" spans="2:9" ht="14.25">
      <c r="C26" s="89"/>
      <c r="D26" s="89"/>
      <c r="E26" s="89"/>
      <c r="F26" s="90"/>
      <c r="G26" s="90"/>
      <c r="H26" s="90"/>
      <c r="I26" s="36"/>
    </row>
    <row r="27" spans="2:9" ht="14.25">
      <c r="B27" s="89" t="s">
        <v>2</v>
      </c>
    </row>
    <row r="28" spans="2:9" ht="14.25">
      <c r="B28" s="90" t="s">
        <v>3</v>
      </c>
    </row>
    <row r="29" spans="2:9" ht="14.25">
      <c r="B29" s="73" t="s">
        <v>4</v>
      </c>
    </row>
    <row r="30" spans="2:9" ht="15">
      <c r="B30" s="90" t="s">
        <v>1096</v>
      </c>
      <c r="C30" s="68"/>
      <c r="D30" s="68"/>
      <c r="E30" s="68"/>
      <c r="F30" s="68"/>
      <c r="G30" s="68"/>
      <c r="H30" s="68"/>
    </row>
    <row r="31" spans="2:9" ht="14.25">
      <c r="B31" s="89" t="s">
        <v>5</v>
      </c>
    </row>
    <row r="32" spans="2:9" ht="14.25">
      <c r="B32" s="90" t="s">
        <v>1095</v>
      </c>
    </row>
    <row r="33" spans="2:2" ht="14.25">
      <c r="B33" s="89" t="s">
        <v>6</v>
      </c>
    </row>
    <row r="34" spans="2:2" ht="14.25">
      <c r="B34" s="69" t="s">
        <v>7</v>
      </c>
    </row>
    <row r="35" spans="2:2" ht="14.25">
      <c r="B35" s="73" t="s">
        <v>8</v>
      </c>
    </row>
    <row r="36" spans="2:2" ht="14.25">
      <c r="B36" s="69" t="s">
        <v>9</v>
      </c>
    </row>
    <row r="37" spans="2:2" ht="14.25">
      <c r="B37" s="73" t="s">
        <v>10</v>
      </c>
    </row>
    <row r="38" spans="2:2" ht="14.25">
      <c r="B38" s="69" t="s">
        <v>11</v>
      </c>
    </row>
    <row r="39" spans="2:2" ht="14.25">
      <c r="B39" s="73" t="s">
        <v>12</v>
      </c>
    </row>
    <row r="40" spans="2:2" ht="14.25">
      <c r="B40" s="371">
        <v>40</v>
      </c>
    </row>
  </sheetData>
  <sheetProtection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40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C6E1-8DE9-4C28-8EAA-0A10F740BD5B}">
  <dimension ref="B3:H43"/>
  <sheetViews>
    <sheetView showGridLines="0" view="pageLayout" zoomScaleNormal="100" workbookViewId="0">
      <selection activeCell="F29" sqref="F29"/>
    </sheetView>
  </sheetViews>
  <sheetFormatPr defaultRowHeight="11.25"/>
  <cols>
    <col min="1" max="1" width="2.25" customWidth="1"/>
    <col min="2" max="2" width="29.375" customWidth="1"/>
    <col min="3" max="3" width="14.5" customWidth="1"/>
    <col min="4" max="4" width="7.625" customWidth="1"/>
    <col min="5" max="5" width="7.875" customWidth="1"/>
    <col min="6" max="6" width="36.5" customWidth="1"/>
    <col min="8" max="8" width="14.375" customWidth="1"/>
  </cols>
  <sheetData>
    <row r="3" spans="2:8">
      <c r="B3" s="1" t="s">
        <v>237</v>
      </c>
      <c r="C3" s="86">
        <v>1000</v>
      </c>
      <c r="D3" t="s">
        <v>238</v>
      </c>
      <c r="E3" s="2"/>
    </row>
    <row r="4" spans="2:8" ht="12">
      <c r="B4" s="1" t="s">
        <v>239</v>
      </c>
      <c r="C4" s="86">
        <v>100</v>
      </c>
      <c r="D4" t="s">
        <v>240</v>
      </c>
      <c r="E4" s="2"/>
    </row>
    <row r="5" spans="2:8">
      <c r="E5" s="2"/>
    </row>
    <row r="6" spans="2:8" ht="23.25">
      <c r="B6" s="85" t="s">
        <v>241</v>
      </c>
      <c r="C6" s="1" t="s">
        <v>242</v>
      </c>
      <c r="F6" s="85" t="s">
        <v>243</v>
      </c>
      <c r="G6" s="1" t="s">
        <v>242</v>
      </c>
    </row>
    <row r="7" spans="2:8">
      <c r="B7" t="s">
        <v>244</v>
      </c>
      <c r="C7" s="56"/>
      <c r="D7" t="str">
        <f>+IF(ISBLANK(C7),"",IF(C7&lt;$C$4,"Fail","Pass"))</f>
        <v/>
      </c>
      <c r="F7" t="s">
        <v>245</v>
      </c>
      <c r="G7" s="56"/>
      <c r="H7" t="str">
        <f>+IF(ISBLANK(G7),"",IF(G7&lt;$C$4,"Fail","Pass"))</f>
        <v/>
      </c>
    </row>
    <row r="8" spans="2:8">
      <c r="B8" t="s">
        <v>246</v>
      </c>
      <c r="C8" s="56"/>
      <c r="D8" t="str">
        <f t="shared" ref="D8:D9" si="0">+IF(ISBLANK(C8),"",IF(C8&lt;$C$4,"Fail","Pass"))</f>
        <v/>
      </c>
      <c r="F8" t="s">
        <v>247</v>
      </c>
      <c r="G8" s="56"/>
      <c r="H8" t="str">
        <f>+IF(ISBLANK(G8),"",IF(G8&lt;$C$4,"Fail","Pass"))</f>
        <v/>
      </c>
    </row>
    <row r="9" spans="2:8">
      <c r="B9" t="s">
        <v>248</v>
      </c>
      <c r="C9" s="56"/>
      <c r="D9" t="str">
        <f t="shared" si="0"/>
        <v/>
      </c>
      <c r="F9" t="s">
        <v>249</v>
      </c>
      <c r="G9" s="56"/>
      <c r="H9" t="str">
        <f>+IF(ISBLANK(G9),"",IF(G9&lt;$C$4,"Fail","Pass"))</f>
        <v/>
      </c>
    </row>
    <row r="10" spans="2:8">
      <c r="E10" s="2"/>
      <c r="G10" s="2"/>
      <c r="H10" s="2"/>
    </row>
    <row r="11" spans="2:8" ht="23.25">
      <c r="B11" s="85" t="s">
        <v>250</v>
      </c>
      <c r="C11" s="1" t="s">
        <v>242</v>
      </c>
      <c r="E11" s="2"/>
      <c r="F11" s="85" t="s">
        <v>243</v>
      </c>
      <c r="G11" s="1" t="s">
        <v>242</v>
      </c>
    </row>
    <row r="12" spans="2:8">
      <c r="B12" t="s">
        <v>251</v>
      </c>
      <c r="C12" s="56"/>
      <c r="D12" t="str">
        <f t="shared" ref="D12:D14" si="1">+IF(ISBLANK(C12),"",IF(C12&lt;$C$4,"Fail","Pass"))</f>
        <v/>
      </c>
      <c r="E12" s="2"/>
      <c r="F12" t="s">
        <v>252</v>
      </c>
      <c r="G12" s="56"/>
      <c r="H12" t="str">
        <f>+IF(ISBLANK(G12),"",IF(G12&lt;$C$4,"Fail","Pass"))</f>
        <v/>
      </c>
    </row>
    <row r="13" spans="2:8">
      <c r="B13" t="s">
        <v>253</v>
      </c>
      <c r="C13" s="56"/>
      <c r="D13" t="str">
        <f t="shared" si="1"/>
        <v/>
      </c>
      <c r="E13" s="2"/>
      <c r="F13" t="s">
        <v>254</v>
      </c>
      <c r="G13" s="56"/>
      <c r="H13" t="str">
        <f>+IF(ISBLANK(G13),"",IF(G13&lt;$C$4,"Fail","Pass"))</f>
        <v/>
      </c>
    </row>
    <row r="14" spans="2:8">
      <c r="B14" t="s">
        <v>255</v>
      </c>
      <c r="C14" s="56"/>
      <c r="D14" t="str">
        <f t="shared" si="1"/>
        <v/>
      </c>
      <c r="E14" s="2"/>
      <c r="F14" t="s">
        <v>256</v>
      </c>
      <c r="G14" s="56"/>
      <c r="H14" t="str">
        <f>+IF(ISBLANK(G14),"",IF(G14&lt;$C$4,"Fail","Pass"))</f>
        <v/>
      </c>
    </row>
    <row r="15" spans="2:8">
      <c r="E15" s="2"/>
    </row>
    <row r="16" spans="2:8" ht="23.25">
      <c r="B16" s="85" t="s">
        <v>257</v>
      </c>
      <c r="C16" s="1" t="s">
        <v>242</v>
      </c>
      <c r="E16" s="2"/>
      <c r="F16" s="85" t="s">
        <v>258</v>
      </c>
      <c r="G16" s="1" t="s">
        <v>242</v>
      </c>
    </row>
    <row r="17" spans="2:8">
      <c r="B17" t="s">
        <v>259</v>
      </c>
      <c r="C17" s="56"/>
      <c r="D17" t="str">
        <f t="shared" ref="D17:D20" si="2">+IF(ISBLANK(C17),"",IF(C17&lt;$C$4,"Fail","Pass"))</f>
        <v/>
      </c>
      <c r="E17" s="2"/>
      <c r="F17" t="s">
        <v>260</v>
      </c>
      <c r="G17" s="56"/>
      <c r="H17" t="str">
        <f>+IF(ISBLANK(G17),"",IF(G17&lt;$C$4,"Fail","Pass"))</f>
        <v/>
      </c>
    </row>
    <row r="18" spans="2:8">
      <c r="B18" t="s">
        <v>261</v>
      </c>
      <c r="C18" s="56"/>
      <c r="D18" t="str">
        <f t="shared" si="2"/>
        <v/>
      </c>
      <c r="E18" s="2"/>
      <c r="F18" t="s">
        <v>262</v>
      </c>
      <c r="G18" s="56"/>
      <c r="H18" t="str">
        <f>+IF(ISBLANK(G18),"",IF(G18&lt;$C$4,"Fail","Pass"))</f>
        <v/>
      </c>
    </row>
    <row r="19" spans="2:8">
      <c r="B19" t="s">
        <v>263</v>
      </c>
      <c r="C19" s="56"/>
      <c r="D19" t="str">
        <f t="shared" si="2"/>
        <v/>
      </c>
      <c r="E19" s="2"/>
      <c r="F19" t="s">
        <v>264</v>
      </c>
      <c r="G19" s="56"/>
      <c r="H19" t="str">
        <f>+IF(ISBLANK(G19),"",IF(G19&lt;$C$4,"Fail","Pass"))</f>
        <v/>
      </c>
    </row>
    <row r="20" spans="2:8">
      <c r="B20" t="s">
        <v>265</v>
      </c>
      <c r="C20" s="56"/>
      <c r="D20" t="str">
        <f t="shared" si="2"/>
        <v/>
      </c>
      <c r="E20" s="2"/>
      <c r="F20" t="s">
        <v>266</v>
      </c>
      <c r="G20" s="56"/>
      <c r="H20" t="str">
        <f>+IF(ISBLANK(G20),"",IF(G20&lt;$C$4,"Fail","Pass"))</f>
        <v/>
      </c>
    </row>
    <row r="21" spans="2:8">
      <c r="C21" s="2"/>
      <c r="D21" s="2"/>
      <c r="E21" s="2"/>
      <c r="F21" s="2"/>
      <c r="G21" s="2"/>
    </row>
    <row r="22" spans="2:8" ht="23.25">
      <c r="B22" s="85" t="s">
        <v>267</v>
      </c>
      <c r="C22" s="1" t="s">
        <v>242</v>
      </c>
      <c r="E22" s="2"/>
      <c r="F22" s="85" t="s">
        <v>268</v>
      </c>
      <c r="G22" s="1" t="s">
        <v>242</v>
      </c>
    </row>
    <row r="23" spans="2:8">
      <c r="B23" t="s">
        <v>244</v>
      </c>
      <c r="C23" s="56"/>
      <c r="D23" t="str">
        <f t="shared" ref="D23:D25" si="3">+IF(ISBLANK(C23),"",IF(C23&lt;$C$4,"Fail","Pass"))</f>
        <v/>
      </c>
      <c r="E23" s="2"/>
      <c r="F23" t="s">
        <v>269</v>
      </c>
      <c r="G23" s="56"/>
      <c r="H23" t="str">
        <f t="shared" ref="H23:H25" si="4">+IF(ISBLANK(G23),"",IF(G23&lt;$C$4,"Fail","Pass"))</f>
        <v/>
      </c>
    </row>
    <row r="24" spans="2:8">
      <c r="B24" t="s">
        <v>246</v>
      </c>
      <c r="C24" s="56"/>
      <c r="D24" t="str">
        <f t="shared" si="3"/>
        <v/>
      </c>
      <c r="E24" s="2"/>
      <c r="F24" t="s">
        <v>114</v>
      </c>
      <c r="G24" s="56"/>
      <c r="H24" t="str">
        <f t="shared" si="4"/>
        <v/>
      </c>
    </row>
    <row r="25" spans="2:8">
      <c r="B25" t="s">
        <v>248</v>
      </c>
      <c r="C25" s="56"/>
      <c r="D25" t="str">
        <f t="shared" si="3"/>
        <v/>
      </c>
      <c r="E25" s="2"/>
      <c r="F25" t="s">
        <v>114</v>
      </c>
      <c r="G25" s="56"/>
      <c r="H25" t="str">
        <f t="shared" si="4"/>
        <v/>
      </c>
    </row>
    <row r="26" spans="2:8">
      <c r="B26" s="2"/>
      <c r="C26" s="2"/>
      <c r="D26" s="2"/>
      <c r="E26" s="2"/>
      <c r="F26" s="2"/>
      <c r="H26" s="2"/>
    </row>
    <row r="27" spans="2:8" ht="23.25">
      <c r="B27" s="85" t="s">
        <v>270</v>
      </c>
      <c r="C27" s="1" t="s">
        <v>242</v>
      </c>
      <c r="E27" s="2"/>
      <c r="F27" s="85" t="s">
        <v>271</v>
      </c>
      <c r="G27" s="1" t="s">
        <v>242</v>
      </c>
    </row>
    <row r="28" spans="2:8">
      <c r="B28" t="s">
        <v>251</v>
      </c>
      <c r="C28" s="56"/>
      <c r="D28" t="str">
        <f t="shared" ref="D28:D30" si="5">+IF(ISBLANK(C28),"",IF(C28&lt;$C$4,"Fail","Pass"))</f>
        <v/>
      </c>
      <c r="E28" s="2"/>
      <c r="F28" t="s">
        <v>114</v>
      </c>
      <c r="G28" s="56"/>
      <c r="H28" t="str">
        <f t="shared" ref="H28:H30" si="6">+IF(ISBLANK(G28),"",IF(G28&lt;$C$4,"Fail","Pass"))</f>
        <v/>
      </c>
    </row>
    <row r="29" spans="2:8">
      <c r="B29" t="s">
        <v>253</v>
      </c>
      <c r="C29" s="56"/>
      <c r="D29" t="str">
        <f t="shared" si="5"/>
        <v/>
      </c>
      <c r="E29" s="2"/>
      <c r="F29" t="s">
        <v>114</v>
      </c>
      <c r="G29" s="56"/>
      <c r="H29" t="str">
        <f t="shared" si="6"/>
        <v/>
      </c>
    </row>
    <row r="30" spans="2:8">
      <c r="B30" t="s">
        <v>255</v>
      </c>
      <c r="C30" s="56"/>
      <c r="D30" t="str">
        <f t="shared" si="5"/>
        <v/>
      </c>
      <c r="E30" s="2"/>
      <c r="F30" t="s">
        <v>114</v>
      </c>
      <c r="G30" s="56"/>
      <c r="H30" t="str">
        <f t="shared" si="6"/>
        <v/>
      </c>
    </row>
    <row r="31" spans="2:8">
      <c r="B31" s="2"/>
      <c r="C31" s="2"/>
      <c r="D31" s="2"/>
      <c r="E31" s="2"/>
      <c r="F31" s="2"/>
      <c r="H31" s="2"/>
    </row>
    <row r="32" spans="2:8">
      <c r="B32" s="40" t="s">
        <v>96</v>
      </c>
      <c r="C32" s="41"/>
      <c r="D32" s="41"/>
      <c r="E32" s="42"/>
      <c r="H32" s="2"/>
    </row>
    <row r="33" spans="2:8">
      <c r="B33" s="43"/>
      <c r="E33" s="44"/>
      <c r="H33" s="2"/>
    </row>
    <row r="34" spans="2:8">
      <c r="B34" s="5" t="s">
        <v>164</v>
      </c>
      <c r="C34" s="5" t="s">
        <v>165</v>
      </c>
      <c r="D34" s="5" t="s">
        <v>272</v>
      </c>
      <c r="E34" s="5" t="s">
        <v>166</v>
      </c>
      <c r="H34" s="2"/>
    </row>
    <row r="35" spans="2:8">
      <c r="B35" s="46"/>
      <c r="C35" s="46"/>
      <c r="D35" s="47" t="str">
        <f>+IF(AND(B35="",C35="",E35=""),IF('Specification machine'!$C$191,"","X"),"")</f>
        <v/>
      </c>
      <c r="E35" s="46"/>
      <c r="H35" s="2"/>
    </row>
    <row r="36" spans="2:8">
      <c r="H36" s="2"/>
    </row>
    <row r="37" spans="2:8">
      <c r="H37" s="2"/>
    </row>
    <row r="38" spans="2:8">
      <c r="H38" s="2"/>
    </row>
    <row r="39" spans="2:8">
      <c r="H39" s="2"/>
    </row>
    <row r="40" spans="2:8">
      <c r="H40" s="2"/>
    </row>
    <row r="41" spans="2:8">
      <c r="H41" s="2"/>
    </row>
    <row r="42" spans="2:8">
      <c r="H42" s="2"/>
    </row>
    <row r="43" spans="2:8">
      <c r="H43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05352-9EC6-47F8-A963-35D14130952F}">
  <sheetPr codeName="Blad2">
    <pageSetUpPr fitToPage="1"/>
  </sheetPr>
  <dimension ref="B6:K25"/>
  <sheetViews>
    <sheetView showGridLines="0" showWhiteSpace="0" view="pageLayout" zoomScaleNormal="100" workbookViewId="0">
      <selection activeCell="K29" sqref="K29"/>
    </sheetView>
  </sheetViews>
  <sheetFormatPr defaultColWidth="9" defaultRowHeight="11.25"/>
  <cols>
    <col min="1" max="1" width="1.25" customWidth="1"/>
    <col min="2" max="2" width="8.625" customWidth="1"/>
    <col min="3" max="6" width="12.625" customWidth="1"/>
    <col min="8" max="11" width="8.625" customWidth="1"/>
    <col min="12" max="12" width="1.625" customWidth="1"/>
  </cols>
  <sheetData>
    <row r="6" spans="2:11" ht="12" thickBot="1"/>
    <row r="7" spans="2:11" ht="24.95" customHeight="1">
      <c r="B7" s="23" t="s">
        <v>273</v>
      </c>
      <c r="C7" s="24"/>
      <c r="D7" s="24"/>
      <c r="E7" s="24"/>
      <c r="F7" s="32" t="s">
        <v>274</v>
      </c>
      <c r="G7" s="33"/>
      <c r="H7" s="25" t="s">
        <v>275</v>
      </c>
      <c r="I7" s="24"/>
      <c r="J7" s="24"/>
      <c r="K7" s="26"/>
    </row>
    <row r="8" spans="2:11">
      <c r="B8" s="10"/>
      <c r="C8" s="5" t="s">
        <v>276</v>
      </c>
      <c r="D8" s="5" t="s">
        <v>277</v>
      </c>
      <c r="E8" s="5" t="s">
        <v>278</v>
      </c>
      <c r="F8" s="18" t="s">
        <v>279</v>
      </c>
      <c r="G8" s="30" t="s">
        <v>162</v>
      </c>
      <c r="H8" s="1"/>
      <c r="K8" s="11"/>
    </row>
    <row r="9" spans="2:11" ht="12">
      <c r="B9" s="10"/>
      <c r="C9" s="5" t="s">
        <v>280</v>
      </c>
      <c r="D9" s="5" t="s">
        <v>281</v>
      </c>
      <c r="E9" s="5" t="s">
        <v>282</v>
      </c>
      <c r="F9" s="5" t="s">
        <v>177</v>
      </c>
      <c r="G9" s="5" t="s">
        <v>177</v>
      </c>
      <c r="H9" s="5" t="s">
        <v>164</v>
      </c>
      <c r="I9" s="5" t="s">
        <v>165</v>
      </c>
      <c r="J9" s="5" t="s">
        <v>272</v>
      </c>
      <c r="K9" s="12" t="s">
        <v>166</v>
      </c>
    </row>
    <row r="10" spans="2:11" ht="24.95" customHeight="1">
      <c r="B10" s="13" t="s">
        <v>283</v>
      </c>
      <c r="C10" s="7"/>
      <c r="D10" s="6">
        <f>+C10*($I$16+$D$16)/($I$16+$C$16)</f>
        <v>0</v>
      </c>
      <c r="E10" s="6">
        <f>+'Specification machine'!C44</f>
        <v>0</v>
      </c>
      <c r="F10" s="6" t="str">
        <f>+IF(ISNUMBER(((D10-E10)/E10)*100),((D10-E10)/E10)*100,"")</f>
        <v/>
      </c>
      <c r="G10" s="28">
        <f>'Specification machine'!$C$199</f>
        <v>5</v>
      </c>
      <c r="H10" s="28" t="str">
        <f>+IF(ISBLANK(K10),IF(ISNUMBER(C10),IF(ABS(F10)&lt;=ABS(G10),"X",""),""),"")</f>
        <v/>
      </c>
      <c r="I10" s="28" t="str">
        <f>+IF(ISBLANK(K10),IF(ISNUMBER(C10),IF(ABS(F10)&gt;ABS(G10),"X",""),""),"")</f>
        <v/>
      </c>
      <c r="J10" s="28" t="str">
        <f>+IF(ISBLANK(K10),IF(ISBLANK(C10),IF('Specification machine'!$C$191,"","X"),""),"")</f>
        <v/>
      </c>
      <c r="K10" s="29"/>
    </row>
    <row r="11" spans="2:11" ht="24.95" customHeight="1">
      <c r="B11" s="13" t="s">
        <v>284</v>
      </c>
      <c r="C11" s="7"/>
      <c r="D11" s="6">
        <f>+C11*($I$16+$D$16)/($I$16+$C$16)</f>
        <v>0</v>
      </c>
      <c r="E11" s="6">
        <f>+E10</f>
        <v>0</v>
      </c>
      <c r="F11" s="6" t="str">
        <f>+IF(ISNUMBER(((D11-E11)/E11)*100),((D11-E11)/E11)*100,"")</f>
        <v/>
      </c>
      <c r="G11" s="4">
        <f>'Specification machine'!$C$199</f>
        <v>5</v>
      </c>
      <c r="H11" s="4" t="str">
        <f t="shared" ref="H11:H12" si="0">+IF(ISBLANK(K11),IF(ISNUMBER(C11),IF(ABS(F11)&lt;=ABS(G11),"X",""),""),"")</f>
        <v/>
      </c>
      <c r="I11" s="4" t="str">
        <f t="shared" ref="I11:I12" si="1">+IF(ISBLANK(K11),IF(ISNUMBER(C11),IF(ABS(F11)&gt;ABS(G11),"X",""),""),"")</f>
        <v/>
      </c>
      <c r="J11" s="4" t="str">
        <f>+IF(ISBLANK(K11),IF(ISBLANK(C11),IF('Specification machine'!$C$191,"","X"),""),"")</f>
        <v/>
      </c>
      <c r="K11" s="14"/>
    </row>
    <row r="12" spans="2:11" ht="24.95" customHeight="1" thickBot="1">
      <c r="B12" s="15" t="s">
        <v>285</v>
      </c>
      <c r="C12" s="83"/>
      <c r="D12" s="84">
        <f>+C12*($I$16+$D$16)/($I$16+$C$16)</f>
        <v>0</v>
      </c>
      <c r="E12" s="84">
        <f>+E10</f>
        <v>0</v>
      </c>
      <c r="F12" s="6" t="str">
        <f>+IF(ISNUMBER(((D12-E12)/E12)*100),((D12-E12)/E12)*100,"")</f>
        <v/>
      </c>
      <c r="G12" s="16">
        <f>'Specification machine'!$C$199</f>
        <v>5</v>
      </c>
      <c r="H12" s="16" t="str">
        <f t="shared" si="0"/>
        <v/>
      </c>
      <c r="I12" s="16" t="str">
        <f t="shared" si="1"/>
        <v/>
      </c>
      <c r="J12" s="4" t="str">
        <f>+IF(ISBLANK(K12),IF(ISBLANK(C12),IF('Specification machine'!$C$191,"","X"),""),"")</f>
        <v/>
      </c>
      <c r="K12" s="17"/>
    </row>
    <row r="13" spans="2:11">
      <c r="B13" s="19"/>
      <c r="C13" s="74"/>
      <c r="D13" s="74"/>
      <c r="E13" s="74"/>
      <c r="F13" s="8"/>
      <c r="G13" s="8"/>
      <c r="H13" s="8"/>
      <c r="I13" s="8"/>
      <c r="J13" s="8"/>
      <c r="K13" s="9"/>
    </row>
    <row r="14" spans="2:11">
      <c r="B14" s="10"/>
      <c r="C14" s="82" t="s">
        <v>286</v>
      </c>
      <c r="D14" s="75" t="s">
        <v>287</v>
      </c>
      <c r="E14" s="75"/>
      <c r="K14" s="11"/>
    </row>
    <row r="15" spans="2:11" ht="12.75">
      <c r="B15" s="10"/>
      <c r="C15" s="76" t="s">
        <v>288</v>
      </c>
      <c r="D15" s="76" t="s">
        <v>288</v>
      </c>
      <c r="E15" s="75"/>
      <c r="F15" s="88"/>
      <c r="G15" s="27" t="s">
        <v>289</v>
      </c>
      <c r="I15" t="s">
        <v>290</v>
      </c>
      <c r="K15" s="11"/>
    </row>
    <row r="16" spans="2:11" ht="24.95" customHeight="1">
      <c r="B16" s="10"/>
      <c r="C16" s="77"/>
      <c r="D16" s="78">
        <f>'Specification machine'!$C$196</f>
        <v>20</v>
      </c>
      <c r="E16" s="75"/>
      <c r="G16" s="6" t="str">
        <f>+'Specification machine'!C49</f>
        <v>Cu</v>
      </c>
      <c r="H16" s="27"/>
      <c r="I16" s="4">
        <f>+IF(G16="Cu",235,IF(G16="Al",225,"no value"))</f>
        <v>235</v>
      </c>
      <c r="K16" s="11"/>
    </row>
    <row r="17" spans="2:11" ht="12" thickBot="1">
      <c r="B17" s="20"/>
      <c r="C17" s="79"/>
      <c r="D17" s="79"/>
      <c r="E17" s="79"/>
      <c r="F17" s="21"/>
      <c r="G17" s="21"/>
      <c r="H17" s="21"/>
      <c r="I17" s="21"/>
      <c r="J17" s="21"/>
      <c r="K17" s="22"/>
    </row>
    <row r="18" spans="2:11">
      <c r="C18" s="75"/>
      <c r="D18" s="75"/>
      <c r="E18" s="75"/>
    </row>
    <row r="19" spans="2:11">
      <c r="C19" s="75"/>
      <c r="D19" s="75"/>
      <c r="E19" s="75"/>
    </row>
    <row r="20" spans="2:11">
      <c r="C20" s="75"/>
      <c r="D20" s="75"/>
      <c r="E20" s="75"/>
    </row>
    <row r="21" spans="2:11">
      <c r="C21" s="75"/>
      <c r="D21" s="75"/>
      <c r="E21" s="75"/>
    </row>
    <row r="22" spans="2:11">
      <c r="C22" s="75"/>
      <c r="D22" s="75"/>
      <c r="E22" s="75"/>
    </row>
    <row r="23" spans="2:11">
      <c r="C23" s="75"/>
      <c r="D23" s="75"/>
      <c r="E23" s="75"/>
    </row>
    <row r="24" spans="2:11">
      <c r="C24" s="75"/>
      <c r="D24" s="75"/>
      <c r="E24" s="75"/>
    </row>
    <row r="25" spans="2:11">
      <c r="C25" s="75"/>
      <c r="D25" s="75"/>
      <c r="E25" s="75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3537D-AF48-4975-BD21-67AADF6809B0}">
  <dimension ref="B1:K43"/>
  <sheetViews>
    <sheetView showGridLines="0" view="pageLayout" zoomScaleNormal="100" workbookViewId="0">
      <selection activeCell="A28" sqref="A28"/>
    </sheetView>
  </sheetViews>
  <sheetFormatPr defaultRowHeight="11.25"/>
  <cols>
    <col min="1" max="1" width="2.25" customWidth="1"/>
    <col min="2" max="2" width="22.875" customWidth="1"/>
    <col min="3" max="3" width="20" customWidth="1"/>
    <col min="4" max="4" width="3.75" customWidth="1"/>
    <col min="5" max="5" width="14.75" customWidth="1"/>
    <col min="6" max="6" width="12.125" customWidth="1"/>
    <col min="7" max="7" width="18.125" customWidth="1"/>
    <col min="8" max="8" width="7" customWidth="1"/>
    <col min="9" max="9" width="7.125" customWidth="1"/>
    <col min="10" max="10" width="6.75" customWidth="1"/>
    <col min="11" max="11" width="8.375" customWidth="1"/>
  </cols>
  <sheetData>
    <row r="1" spans="2:11" ht="12" thickBot="1"/>
    <row r="2" spans="2:11" ht="13.5" thickBot="1">
      <c r="B2" t="s">
        <v>291</v>
      </c>
      <c r="C2" s="295"/>
      <c r="D2" t="s">
        <v>292</v>
      </c>
      <c r="F2" s="293">
        <f>+IF(C2&lt;0,C5*(1+C6*C2+C7*C2*C2+C8*(C2-100)*C2*C2*C2),C5*(1+C6*C2+C7*C2*C2))</f>
        <v>100</v>
      </c>
      <c r="G2" s="297" t="s">
        <v>293</v>
      </c>
    </row>
    <row r="3" spans="2:11" ht="12.75" thickBot="1">
      <c r="B3" t="s">
        <v>294</v>
      </c>
      <c r="C3" s="294" t="s">
        <v>295</v>
      </c>
      <c r="D3" t="s">
        <v>114</v>
      </c>
      <c r="F3" s="303"/>
      <c r="G3" s="297"/>
    </row>
    <row r="4" spans="2:11" ht="15.75" thickBot="1">
      <c r="F4" s="380" t="s">
        <v>296</v>
      </c>
    </row>
    <row r="5" spans="2:11" ht="12.75" thickBot="1">
      <c r="B5" t="s">
        <v>297</v>
      </c>
      <c r="C5" s="298">
        <v>100</v>
      </c>
      <c r="D5" s="301" t="s">
        <v>293</v>
      </c>
      <c r="E5" t="s">
        <v>294</v>
      </c>
      <c r="F5" s="304">
        <f>+VLOOKUP(C3,E6:G9,2,TRUE)</f>
        <v>0.1</v>
      </c>
      <c r="G5" s="304">
        <f>+VLOOKUP(C3,E6:G9,3,TRUE)</f>
        <v>1.6999999999999999E-3</v>
      </c>
      <c r="K5" s="2"/>
    </row>
    <row r="6" spans="2:11" ht="12" thickBot="1">
      <c r="B6" t="s">
        <v>173</v>
      </c>
      <c r="C6" s="299">
        <v>3.9083E-3</v>
      </c>
      <c r="D6" t="s">
        <v>114</v>
      </c>
      <c r="E6" t="s">
        <v>295</v>
      </c>
      <c r="F6" s="300">
        <v>0.1</v>
      </c>
      <c r="G6" s="302">
        <v>1.6999999999999999E-3</v>
      </c>
      <c r="H6" t="s">
        <v>298</v>
      </c>
      <c r="K6" s="2"/>
    </row>
    <row r="7" spans="2:11" ht="12" thickBot="1">
      <c r="B7" t="s">
        <v>299</v>
      </c>
      <c r="C7" s="299">
        <v>-5.7749999999999998E-7</v>
      </c>
      <c r="D7" t="s">
        <v>114</v>
      </c>
      <c r="E7" t="s">
        <v>300</v>
      </c>
      <c r="F7" s="300">
        <v>0.15</v>
      </c>
      <c r="G7" s="302">
        <v>2E-3</v>
      </c>
      <c r="H7" t="s">
        <v>301</v>
      </c>
      <c r="K7" s="2"/>
    </row>
    <row r="8" spans="2:11" ht="13.5" thickBot="1">
      <c r="B8" t="s">
        <v>302</v>
      </c>
      <c r="C8" s="299">
        <v>-4.1830000000000003E-12</v>
      </c>
      <c r="D8" t="s">
        <v>114</v>
      </c>
      <c r="E8" t="s">
        <v>303</v>
      </c>
      <c r="F8" s="300">
        <v>0.3</v>
      </c>
      <c r="G8" s="302">
        <v>5.0000000000000001E-3</v>
      </c>
      <c r="H8" t="s">
        <v>304</v>
      </c>
      <c r="K8" s="2"/>
    </row>
    <row r="9" spans="2:11" ht="13.5" thickBot="1">
      <c r="B9" t="s">
        <v>305</v>
      </c>
      <c r="C9" s="298">
        <v>0</v>
      </c>
      <c r="D9" t="s">
        <v>114</v>
      </c>
      <c r="E9" t="s">
        <v>306</v>
      </c>
      <c r="F9" s="300">
        <v>0.6</v>
      </c>
      <c r="G9" s="302">
        <v>0.01</v>
      </c>
      <c r="H9" t="s">
        <v>307</v>
      </c>
      <c r="K9" s="2"/>
    </row>
    <row r="10" spans="2:11" ht="12" thickBot="1">
      <c r="K10" s="2"/>
    </row>
    <row r="11" spans="2:11" ht="11.25" customHeight="1">
      <c r="B11" s="289" t="s">
        <v>308</v>
      </c>
      <c r="C11" s="289" t="s">
        <v>309</v>
      </c>
      <c r="D11" s="189"/>
      <c r="E11" s="456" t="s">
        <v>310</v>
      </c>
      <c r="F11" s="458" t="s">
        <v>311</v>
      </c>
      <c r="G11" s="458" t="s">
        <v>311</v>
      </c>
      <c r="H11" s="460" t="s">
        <v>312</v>
      </c>
      <c r="I11" s="461"/>
      <c r="J11" s="461"/>
      <c r="K11" s="462"/>
    </row>
    <row r="12" spans="2:11" ht="12">
      <c r="B12" s="305" t="s">
        <v>313</v>
      </c>
      <c r="C12" s="306" t="s">
        <v>314</v>
      </c>
      <c r="D12" s="307"/>
      <c r="E12" s="457"/>
      <c r="F12" s="459"/>
      <c r="G12" s="459"/>
      <c r="H12" s="463"/>
      <c r="I12" s="464"/>
      <c r="J12" s="464"/>
      <c r="K12" s="465"/>
    </row>
    <row r="13" spans="2:11" ht="12" thickBot="1">
      <c r="B13" s="308"/>
      <c r="C13" s="20"/>
      <c r="D13" s="22"/>
      <c r="E13" s="457"/>
      <c r="F13" s="459"/>
      <c r="G13" s="459"/>
      <c r="H13" s="309" t="s">
        <v>164</v>
      </c>
      <c r="I13" s="267" t="s">
        <v>165</v>
      </c>
      <c r="J13" s="267" t="s">
        <v>272</v>
      </c>
      <c r="K13" s="310" t="s">
        <v>166</v>
      </c>
    </row>
    <row r="14" spans="2:11" ht="14.25">
      <c r="B14" s="311" t="s">
        <v>315</v>
      </c>
      <c r="C14" s="340"/>
      <c r="D14" s="343"/>
      <c r="E14" s="312">
        <f>+(-1*$C$5*$C$6+SQRT(($C$5^2*$C$6^2)-4*$C$5*$C$7*($C$5-C14)))/(2*$C$5*$C$7)</f>
        <v>-246.86102376509319</v>
      </c>
      <c r="F14" s="320">
        <f>+$F$5+$G$5*C14</f>
        <v>0.1</v>
      </c>
      <c r="G14" s="313" t="str">
        <f>+ROUND((E14-F14),2)&amp;"/"&amp;ROUND((E14+F14),2)</f>
        <v>-246,96/-246,76</v>
      </c>
      <c r="H14" s="346"/>
      <c r="I14" s="346"/>
      <c r="J14" s="290"/>
      <c r="K14" s="349"/>
    </row>
    <row r="15" spans="2:11" ht="14.25">
      <c r="B15" s="314" t="s">
        <v>316</v>
      </c>
      <c r="C15" s="341"/>
      <c r="D15" s="344"/>
      <c r="E15" s="315">
        <f t="shared" ref="E15:E23" si="0">+(-1*$C$5*$C$6+SQRT(($C$5^2*$C$6^2)-4*$C$5*$C$7*($C$5-C15)))/(2*$C$5*$C$7)</f>
        <v>-246.86102376509319</v>
      </c>
      <c r="F15" s="321">
        <f t="shared" ref="F15:F23" si="1">+$F$5+$G$5*C15</f>
        <v>0.1</v>
      </c>
      <c r="G15" s="316" t="str">
        <f t="shared" ref="G15:G23" si="2">+ROUND((E15-F15),2)&amp;"/"&amp;ROUND((E15+F15),2)</f>
        <v>-246,96/-246,76</v>
      </c>
      <c r="H15" s="347"/>
      <c r="I15" s="347"/>
      <c r="J15" s="291"/>
      <c r="K15" s="350"/>
    </row>
    <row r="16" spans="2:11" ht="14.25">
      <c r="B16" s="314" t="s">
        <v>317</v>
      </c>
      <c r="C16" s="341"/>
      <c r="D16" s="344"/>
      <c r="E16" s="315">
        <f t="shared" si="0"/>
        <v>-246.86102376509319</v>
      </c>
      <c r="F16" s="321">
        <f t="shared" si="1"/>
        <v>0.1</v>
      </c>
      <c r="G16" s="316" t="str">
        <f t="shared" si="2"/>
        <v>-246,96/-246,76</v>
      </c>
      <c r="H16" s="347"/>
      <c r="I16" s="347"/>
      <c r="J16" s="291"/>
      <c r="K16" s="350"/>
    </row>
    <row r="17" spans="2:11" ht="14.25">
      <c r="B17" s="314" t="s">
        <v>318</v>
      </c>
      <c r="C17" s="341"/>
      <c r="D17" s="344"/>
      <c r="E17" s="315">
        <f t="shared" si="0"/>
        <v>-246.86102376509319</v>
      </c>
      <c r="F17" s="321">
        <f t="shared" si="1"/>
        <v>0.1</v>
      </c>
      <c r="G17" s="316" t="str">
        <f t="shared" si="2"/>
        <v>-246,96/-246,76</v>
      </c>
      <c r="H17" s="347"/>
      <c r="I17" s="347"/>
      <c r="J17" s="291"/>
      <c r="K17" s="350"/>
    </row>
    <row r="18" spans="2:11" ht="14.25">
      <c r="B18" s="314" t="s">
        <v>319</v>
      </c>
      <c r="C18" s="341"/>
      <c r="D18" s="344"/>
      <c r="E18" s="315">
        <f t="shared" si="0"/>
        <v>-246.86102376509319</v>
      </c>
      <c r="F18" s="321">
        <f t="shared" si="1"/>
        <v>0.1</v>
      </c>
      <c r="G18" s="316" t="str">
        <f t="shared" si="2"/>
        <v>-246,96/-246,76</v>
      </c>
      <c r="H18" s="347"/>
      <c r="I18" s="347"/>
      <c r="J18" s="291"/>
      <c r="K18" s="350"/>
    </row>
    <row r="19" spans="2:11" ht="14.25">
      <c r="B19" s="314" t="s">
        <v>320</v>
      </c>
      <c r="C19" s="341"/>
      <c r="D19" s="344"/>
      <c r="E19" s="315">
        <f t="shared" si="0"/>
        <v>-246.86102376509319</v>
      </c>
      <c r="F19" s="321">
        <f t="shared" si="1"/>
        <v>0.1</v>
      </c>
      <c r="G19" s="316" t="str">
        <f t="shared" si="2"/>
        <v>-246,96/-246,76</v>
      </c>
      <c r="H19" s="347"/>
      <c r="I19" s="347"/>
      <c r="J19" s="291"/>
      <c r="K19" s="350"/>
    </row>
    <row r="20" spans="2:11" ht="14.25">
      <c r="B20" s="314" t="s">
        <v>321</v>
      </c>
      <c r="C20" s="341"/>
      <c r="D20" s="344"/>
      <c r="E20" s="315">
        <f t="shared" si="0"/>
        <v>-246.86102376509319</v>
      </c>
      <c r="F20" s="321">
        <f t="shared" si="1"/>
        <v>0.1</v>
      </c>
      <c r="G20" s="316" t="str">
        <f t="shared" si="2"/>
        <v>-246,96/-246,76</v>
      </c>
      <c r="H20" s="347"/>
      <c r="I20" s="347"/>
      <c r="J20" s="291"/>
      <c r="K20" s="350"/>
    </row>
    <row r="21" spans="2:11" ht="14.25">
      <c r="B21" s="314" t="s">
        <v>322</v>
      </c>
      <c r="C21" s="341"/>
      <c r="D21" s="344"/>
      <c r="E21" s="315">
        <f t="shared" si="0"/>
        <v>-246.86102376509319</v>
      </c>
      <c r="F21" s="321">
        <f t="shared" si="1"/>
        <v>0.1</v>
      </c>
      <c r="G21" s="316" t="str">
        <f t="shared" si="2"/>
        <v>-246,96/-246,76</v>
      </c>
      <c r="H21" s="347"/>
      <c r="I21" s="347"/>
      <c r="J21" s="291"/>
      <c r="K21" s="350"/>
    </row>
    <row r="22" spans="2:11" ht="14.25">
      <c r="B22" s="314" t="s">
        <v>323</v>
      </c>
      <c r="C22" s="341"/>
      <c r="D22" s="344"/>
      <c r="E22" s="315">
        <f t="shared" si="0"/>
        <v>-246.86102376509319</v>
      </c>
      <c r="F22" s="321">
        <f t="shared" si="1"/>
        <v>0.1</v>
      </c>
      <c r="G22" s="316" t="str">
        <f t="shared" si="2"/>
        <v>-246,96/-246,76</v>
      </c>
      <c r="H22" s="347"/>
      <c r="I22" s="347"/>
      <c r="J22" s="291"/>
      <c r="K22" s="350"/>
    </row>
    <row r="23" spans="2:11" ht="15" thickBot="1">
      <c r="B23" s="317" t="s">
        <v>324</v>
      </c>
      <c r="C23" s="342"/>
      <c r="D23" s="345"/>
      <c r="E23" s="318">
        <f t="shared" si="0"/>
        <v>-246.86102376509319</v>
      </c>
      <c r="F23" s="322">
        <f t="shared" si="1"/>
        <v>0.1</v>
      </c>
      <c r="G23" s="319" t="str">
        <f t="shared" si="2"/>
        <v>-246,96/-246,76</v>
      </c>
      <c r="H23" s="348"/>
      <c r="I23" s="348"/>
      <c r="J23" s="292"/>
      <c r="K23" s="351"/>
    </row>
    <row r="24" spans="2:11">
      <c r="B24" s="187"/>
    </row>
    <row r="25" spans="2:11" ht="22.5" customHeight="1"/>
    <row r="26" spans="2:11" ht="15">
      <c r="B26" s="296" t="s">
        <v>325</v>
      </c>
    </row>
    <row r="43" spans="2:2">
      <c r="B43" s="187"/>
    </row>
  </sheetData>
  <sheetProtection sheet="1" objects="1" scenarios="1"/>
  <mergeCells count="4">
    <mergeCell ref="E11:E13"/>
    <mergeCell ref="G11:G13"/>
    <mergeCell ref="H11:K12"/>
    <mergeCell ref="F11:F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A746F-44C7-4C95-9EEF-972FF11B4AA7}">
  <sheetPr codeName="Blad9">
    <pageSetUpPr fitToPage="1"/>
  </sheetPr>
  <dimension ref="B4:K31"/>
  <sheetViews>
    <sheetView showGridLines="0" view="pageLayout" zoomScaleNormal="100" workbookViewId="0">
      <selection activeCell="G2" sqref="G2"/>
    </sheetView>
  </sheetViews>
  <sheetFormatPr defaultRowHeight="11.25"/>
  <cols>
    <col min="1" max="1" width="2.375" customWidth="1"/>
    <col min="2" max="2" width="39.5" customWidth="1"/>
    <col min="3" max="3" width="15.75" customWidth="1"/>
    <col min="4" max="4" width="7.375" customWidth="1"/>
    <col min="5" max="5" width="13.75" customWidth="1"/>
    <col min="6" max="6" width="18" customWidth="1"/>
    <col min="7" max="7" width="3.125" customWidth="1"/>
    <col min="10" max="10" width="9.25" customWidth="1"/>
  </cols>
  <sheetData>
    <row r="4" spans="2:11" ht="19.5">
      <c r="B4" s="352" t="s">
        <v>326</v>
      </c>
    </row>
    <row r="5" spans="2:11">
      <c r="B5" s="404" t="s">
        <v>327</v>
      </c>
    </row>
    <row r="6" spans="2:11">
      <c r="B6" s="404" t="s">
        <v>328</v>
      </c>
    </row>
    <row r="7" spans="2:11">
      <c r="H7" s="40" t="s">
        <v>329</v>
      </c>
      <c r="I7" s="41"/>
      <c r="J7" s="41"/>
      <c r="K7" s="42"/>
    </row>
    <row r="8" spans="2:11">
      <c r="H8" s="43"/>
      <c r="I8" t="s">
        <v>330</v>
      </c>
      <c r="K8" s="44"/>
    </row>
    <row r="9" spans="2:11" ht="15">
      <c r="B9" s="50" t="s">
        <v>331</v>
      </c>
      <c r="C9" s="1" t="s">
        <v>332</v>
      </c>
      <c r="E9" s="1" t="s">
        <v>333</v>
      </c>
      <c r="H9" s="5" t="s">
        <v>164</v>
      </c>
      <c r="I9" s="5" t="s">
        <v>165</v>
      </c>
      <c r="J9" s="5" t="s">
        <v>272</v>
      </c>
      <c r="K9" s="5" t="s">
        <v>166</v>
      </c>
    </row>
    <row r="10" spans="2:11" ht="14.25">
      <c r="B10" t="s">
        <v>334</v>
      </c>
      <c r="C10" s="39">
        <f>'Specification machine'!$C$142</f>
        <v>145</v>
      </c>
      <c r="D10" t="s">
        <v>335</v>
      </c>
      <c r="E10" s="45" t="str">
        <f>'Specification machine'!$F$142</f>
        <v>black-white</v>
      </c>
      <c r="H10" s="46"/>
      <c r="I10" s="46"/>
      <c r="J10" s="47" t="str">
        <f>+IF(AND(H10="",I10="",K10=""),IF('Specification machine'!$C$191,"","X"),"")</f>
        <v/>
      </c>
      <c r="K10" s="46"/>
    </row>
    <row r="11" spans="2:11" ht="14.25">
      <c r="B11" t="s">
        <v>336</v>
      </c>
      <c r="C11" s="39">
        <f>'Specification machine'!$C$143</f>
        <v>145</v>
      </c>
      <c r="D11" t="s">
        <v>335</v>
      </c>
      <c r="E11" s="45" t="str">
        <f>'Specification machine'!$F$143</f>
        <v>black-white</v>
      </c>
      <c r="H11" s="46"/>
      <c r="I11" s="46"/>
      <c r="J11" s="47" t="str">
        <f>+IF(AND(H11="",I11="",K11=""),IF('Specification machine'!$C$191,"","X"),"")</f>
        <v/>
      </c>
      <c r="K11" s="46"/>
    </row>
    <row r="12" spans="2:11">
      <c r="B12" t="s">
        <v>337</v>
      </c>
    </row>
    <row r="13" spans="2:11">
      <c r="H13" s="40" t="s">
        <v>338</v>
      </c>
      <c r="I13" s="41"/>
      <c r="J13" s="41"/>
      <c r="K13" s="42"/>
    </row>
    <row r="14" spans="2:11">
      <c r="H14" s="43"/>
      <c r="I14" t="s">
        <v>339</v>
      </c>
      <c r="K14" s="44"/>
    </row>
    <row r="15" spans="2:11" ht="43.5">
      <c r="B15" s="1" t="s">
        <v>340</v>
      </c>
      <c r="C15" s="37" t="s">
        <v>341</v>
      </c>
      <c r="D15" s="49" t="s">
        <v>342</v>
      </c>
      <c r="E15" s="1" t="s">
        <v>343</v>
      </c>
      <c r="F15" s="1" t="s">
        <v>344</v>
      </c>
      <c r="H15" s="5" t="s">
        <v>164</v>
      </c>
      <c r="I15" s="5" t="s">
        <v>165</v>
      </c>
      <c r="J15" s="5" t="s">
        <v>272</v>
      </c>
      <c r="K15" s="5" t="s">
        <v>166</v>
      </c>
    </row>
    <row r="16" spans="2:11">
      <c r="B16" t="s">
        <v>259</v>
      </c>
      <c r="C16" s="51">
        <v>25</v>
      </c>
      <c r="D16" s="45">
        <v>0.2</v>
      </c>
      <c r="E16" s="52">
        <v>100</v>
      </c>
      <c r="F16" s="52">
        <f t="shared" ref="F16:F21" si="0">+E16*3</f>
        <v>300</v>
      </c>
      <c r="H16" s="46"/>
      <c r="I16" s="46"/>
      <c r="J16" s="47" t="str">
        <f>+IF(AND(H16="",I16="",K16=""),IF('Specification machine'!$C$191,"","X"),"")</f>
        <v/>
      </c>
      <c r="K16" s="46"/>
    </row>
    <row r="17" spans="2:11">
      <c r="B17" t="s">
        <v>261</v>
      </c>
      <c r="C17" s="51">
        <v>25</v>
      </c>
      <c r="D17" s="45">
        <v>0.2</v>
      </c>
      <c r="E17" s="52">
        <v>250</v>
      </c>
      <c r="F17" s="52">
        <f t="shared" si="0"/>
        <v>750</v>
      </c>
      <c r="H17" s="46"/>
      <c r="I17" s="46"/>
      <c r="J17" s="47" t="str">
        <f>+IF(AND(H17="",I17="",K17=""),IF('Specification machine'!$C$191,"","X"),"")</f>
        <v/>
      </c>
      <c r="K17" s="46"/>
    </row>
    <row r="18" spans="2:11" ht="14.25">
      <c r="B18" t="s">
        <v>345</v>
      </c>
      <c r="C18" s="51">
        <f>+C10-5</f>
        <v>140</v>
      </c>
      <c r="D18" s="45">
        <v>2.5</v>
      </c>
      <c r="E18" s="52">
        <v>250</v>
      </c>
      <c r="F18" s="52">
        <f t="shared" si="0"/>
        <v>750</v>
      </c>
      <c r="H18" s="46"/>
      <c r="I18" s="46"/>
      <c r="J18" s="47" t="str">
        <f>+IF(AND(H18="",I18="",K18=""),IF('Specification machine'!$C$191,"","X"),"")</f>
        <v/>
      </c>
      <c r="K18" s="46"/>
    </row>
    <row r="19" spans="2:11" ht="14.25">
      <c r="B19" t="s">
        <v>346</v>
      </c>
      <c r="C19" s="51">
        <f>+C10</f>
        <v>145</v>
      </c>
      <c r="D19" s="45">
        <v>2.5</v>
      </c>
      <c r="E19" s="52">
        <v>1000</v>
      </c>
      <c r="F19" s="52">
        <f t="shared" si="0"/>
        <v>3000</v>
      </c>
      <c r="H19" s="46"/>
      <c r="I19" s="46"/>
      <c r="J19" s="47" t="str">
        <f>+IF(AND(H19="",I19="",K19=""),IF('Specification machine'!$C$191,"","X"),"")</f>
        <v/>
      </c>
      <c r="K19" s="46"/>
    </row>
    <row r="20" spans="2:11" ht="14.25">
      <c r="B20" t="s">
        <v>347</v>
      </c>
      <c r="C20" s="51">
        <f>+C10+5</f>
        <v>150</v>
      </c>
      <c r="D20" s="45">
        <v>2.5</v>
      </c>
      <c r="E20" s="52">
        <v>1330</v>
      </c>
      <c r="F20" s="52">
        <f t="shared" si="0"/>
        <v>3990</v>
      </c>
      <c r="H20" s="46"/>
      <c r="I20" s="46"/>
      <c r="J20" s="47" t="str">
        <f>+IF(AND(H20="",I20="",K20=""),IF('Specification machine'!$C$191,"","X"),"")</f>
        <v/>
      </c>
      <c r="K20" s="46"/>
    </row>
    <row r="21" spans="2:11" ht="14.25">
      <c r="B21" t="s">
        <v>348</v>
      </c>
      <c r="C21" s="51">
        <f>+C10+15</f>
        <v>160</v>
      </c>
      <c r="D21" s="45">
        <v>7.5</v>
      </c>
      <c r="E21" s="52">
        <v>4000</v>
      </c>
      <c r="F21" s="52">
        <f t="shared" si="0"/>
        <v>12000</v>
      </c>
      <c r="H21" s="46"/>
      <c r="I21" s="46"/>
      <c r="J21" s="47" t="str">
        <f>+IF(AND(H21="",I21="",K21=""),IF('Specification machine'!$C$191,"","X"),"")</f>
        <v/>
      </c>
      <c r="K21" s="46"/>
    </row>
    <row r="23" spans="2:11">
      <c r="H23" s="40" t="s">
        <v>338</v>
      </c>
      <c r="I23" s="41"/>
      <c r="J23" s="41"/>
      <c r="K23" s="42"/>
    </row>
    <row r="24" spans="2:11">
      <c r="H24" s="43"/>
      <c r="I24" t="s">
        <v>349</v>
      </c>
      <c r="K24" s="44"/>
    </row>
    <row r="25" spans="2:11" ht="43.5">
      <c r="B25" s="1" t="s">
        <v>350</v>
      </c>
      <c r="C25" s="37" t="s">
        <v>341</v>
      </c>
      <c r="D25" s="49" t="s">
        <v>342</v>
      </c>
      <c r="E25" s="1" t="s">
        <v>343</v>
      </c>
      <c r="F25" s="1" t="s">
        <v>344</v>
      </c>
      <c r="H25" s="5" t="s">
        <v>164</v>
      </c>
      <c r="I25" s="5" t="s">
        <v>165</v>
      </c>
      <c r="J25" s="5" t="s">
        <v>272</v>
      </c>
      <c r="K25" s="5" t="s">
        <v>166</v>
      </c>
    </row>
    <row r="26" spans="2:11" ht="12.75">
      <c r="B26" t="s">
        <v>351</v>
      </c>
      <c r="C26" s="51">
        <v>25</v>
      </c>
      <c r="D26" s="45">
        <v>0.2</v>
      </c>
      <c r="E26" s="52">
        <v>100</v>
      </c>
      <c r="F26" s="52">
        <f t="shared" ref="F26:F31" si="1">+E26*3</f>
        <v>300</v>
      </c>
      <c r="H26" s="46"/>
      <c r="I26" s="46"/>
      <c r="J26" s="47" t="str">
        <f>+IF(AND(H26="",I26="",K26=""),IF('Specification machine'!$C$191,"","X"),"")</f>
        <v/>
      </c>
      <c r="K26" s="46"/>
    </row>
    <row r="27" spans="2:11" ht="12.75">
      <c r="B27" t="s">
        <v>352</v>
      </c>
      <c r="C27" s="51">
        <v>25</v>
      </c>
      <c r="D27" s="45">
        <v>0.2</v>
      </c>
      <c r="E27" s="52">
        <v>250</v>
      </c>
      <c r="F27" s="52">
        <f t="shared" si="1"/>
        <v>750</v>
      </c>
      <c r="H27" s="46"/>
      <c r="I27" s="46"/>
      <c r="J27" s="47" t="str">
        <f>+IF(AND(H27="",I27="",K27=""),IF('Specification machine'!$C$191,"","X"),"")</f>
        <v/>
      </c>
      <c r="K27" s="46"/>
    </row>
    <row r="28" spans="2:11" ht="14.25">
      <c r="B28" t="s">
        <v>345</v>
      </c>
      <c r="C28" s="51">
        <f>+C11-5</f>
        <v>140</v>
      </c>
      <c r="D28" s="45">
        <v>2.5</v>
      </c>
      <c r="E28" s="52">
        <v>250</v>
      </c>
      <c r="F28" s="52">
        <f t="shared" si="1"/>
        <v>750</v>
      </c>
      <c r="H28" s="46"/>
      <c r="I28" s="46"/>
      <c r="J28" s="47" t="str">
        <f>+IF(AND(H28="",I28="",K28=""),IF('Specification machine'!$C$191,"","X"),"")</f>
        <v/>
      </c>
      <c r="K28" s="46"/>
    </row>
    <row r="29" spans="2:11" ht="14.25">
      <c r="B29" t="s">
        <v>346</v>
      </c>
      <c r="C29" s="51">
        <f>+C11</f>
        <v>145</v>
      </c>
      <c r="D29" s="45">
        <v>2.5</v>
      </c>
      <c r="E29" s="52">
        <v>1000</v>
      </c>
      <c r="F29" s="52">
        <f t="shared" si="1"/>
        <v>3000</v>
      </c>
      <c r="H29" s="46"/>
      <c r="I29" s="46"/>
      <c r="J29" s="47" t="str">
        <f>+IF(AND(H29="",I29="",K29=""),IF('Specification machine'!$C$191,"","X"),"")</f>
        <v/>
      </c>
      <c r="K29" s="46"/>
    </row>
    <row r="30" spans="2:11" ht="14.25">
      <c r="B30" t="s">
        <v>347</v>
      </c>
      <c r="C30" s="51">
        <f>+C11+5</f>
        <v>150</v>
      </c>
      <c r="D30" s="45">
        <v>2.5</v>
      </c>
      <c r="E30" s="52">
        <v>1330</v>
      </c>
      <c r="F30" s="52">
        <f t="shared" si="1"/>
        <v>3990</v>
      </c>
      <c r="H30" s="46"/>
      <c r="I30" s="46"/>
      <c r="J30" s="47" t="str">
        <f>+IF(AND(H30="",I30="",K30=""),IF('Specification machine'!$C$191,"","X"),"")</f>
        <v/>
      </c>
      <c r="K30" s="46"/>
    </row>
    <row r="31" spans="2:11" ht="14.25">
      <c r="B31" t="s">
        <v>348</v>
      </c>
      <c r="C31" s="51">
        <f>+C11+10</f>
        <v>155</v>
      </c>
      <c r="D31" s="45">
        <v>7.5</v>
      </c>
      <c r="E31" s="52">
        <v>4000</v>
      </c>
      <c r="F31" s="52">
        <f t="shared" si="1"/>
        <v>12000</v>
      </c>
      <c r="H31" s="46"/>
      <c r="I31" s="46"/>
      <c r="J31" s="47" t="str">
        <f>+IF(AND(H31="",I31="",K31=""),IF('Specification machine'!$C$191,"","X"),"")</f>
        <v/>
      </c>
      <c r="K31" s="46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7AD7-A1A3-426B-9455-2398C43C0262}">
  <sheetPr codeName="Blad10">
    <pageSetUpPr fitToPage="1"/>
  </sheetPr>
  <dimension ref="B4:K31"/>
  <sheetViews>
    <sheetView showGridLines="0" view="pageLayout" zoomScaleNormal="100" workbookViewId="0">
      <selection activeCell="B5" sqref="B5:B6"/>
    </sheetView>
  </sheetViews>
  <sheetFormatPr defaultRowHeight="11.25"/>
  <cols>
    <col min="1" max="1" width="2.375" customWidth="1"/>
    <col min="2" max="2" width="39.5" customWidth="1"/>
    <col min="3" max="3" width="15.75" customWidth="1"/>
    <col min="4" max="4" width="7.375" customWidth="1"/>
    <col min="5" max="5" width="14.75" customWidth="1"/>
    <col min="6" max="6" width="35" customWidth="1"/>
    <col min="7" max="7" width="3.125" customWidth="1"/>
    <col min="10" max="10" width="9.25" customWidth="1"/>
  </cols>
  <sheetData>
    <row r="4" spans="2:11" ht="19.5">
      <c r="B4" s="352" t="s">
        <v>326</v>
      </c>
    </row>
    <row r="5" spans="2:11">
      <c r="B5" s="404" t="s">
        <v>327</v>
      </c>
    </row>
    <row r="6" spans="2:11">
      <c r="B6" s="404" t="s">
        <v>328</v>
      </c>
    </row>
    <row r="7" spans="2:11">
      <c r="H7" s="40" t="s">
        <v>329</v>
      </c>
      <c r="I7" s="41"/>
      <c r="J7" s="41"/>
      <c r="K7" s="42"/>
    </row>
    <row r="8" spans="2:11">
      <c r="H8" s="43"/>
      <c r="I8" t="s">
        <v>353</v>
      </c>
      <c r="K8" s="44"/>
    </row>
    <row r="9" spans="2:11" ht="15">
      <c r="B9" s="50" t="s">
        <v>354</v>
      </c>
      <c r="C9" s="1" t="s">
        <v>332</v>
      </c>
      <c r="E9" s="1" t="s">
        <v>333</v>
      </c>
      <c r="H9" s="5" t="s">
        <v>164</v>
      </c>
      <c r="I9" s="5" t="s">
        <v>165</v>
      </c>
      <c r="J9" s="5" t="s">
        <v>272</v>
      </c>
      <c r="K9" s="5" t="s">
        <v>166</v>
      </c>
    </row>
    <row r="10" spans="2:11" ht="14.25">
      <c r="B10" t="s">
        <v>334</v>
      </c>
      <c r="C10" s="39">
        <f>'Specification machine'!$C$145</f>
        <v>130</v>
      </c>
      <c r="D10" t="s">
        <v>335</v>
      </c>
      <c r="E10" s="45" t="str">
        <f>'Specification machine'!$F$145</f>
        <v>blue-blue</v>
      </c>
      <c r="H10" s="46"/>
      <c r="I10" s="46"/>
      <c r="J10" s="47" t="str">
        <f>+IF(AND(H10="",I10="",K10=""),IF('Specification machine'!$C$191,"","X"),"")</f>
        <v/>
      </c>
      <c r="K10" s="46"/>
    </row>
    <row r="11" spans="2:11" ht="14.25">
      <c r="B11" t="s">
        <v>336</v>
      </c>
      <c r="C11" s="39">
        <f>'Specification machine'!$C$146</f>
        <v>130</v>
      </c>
      <c r="D11" t="s">
        <v>335</v>
      </c>
      <c r="E11" s="45" t="str">
        <f>'Specification machine'!$F$146</f>
        <v>blue-blue</v>
      </c>
      <c r="H11" s="46"/>
      <c r="I11" s="46"/>
      <c r="J11" s="47" t="str">
        <f>+IF(AND(H11="",I11="",K11=""),IF('Specification machine'!$C$191,"","X"),"")</f>
        <v/>
      </c>
      <c r="K11" s="46"/>
    </row>
    <row r="12" spans="2:11">
      <c r="B12" t="s">
        <v>337</v>
      </c>
    </row>
    <row r="13" spans="2:11">
      <c r="H13" s="40" t="s">
        <v>338</v>
      </c>
      <c r="I13" s="41"/>
      <c r="J13" s="41"/>
      <c r="K13" s="42"/>
    </row>
    <row r="14" spans="2:11">
      <c r="H14" s="43"/>
      <c r="I14" t="s">
        <v>355</v>
      </c>
      <c r="K14" s="44"/>
    </row>
    <row r="15" spans="2:11" ht="43.5">
      <c r="B15" s="1" t="s">
        <v>356</v>
      </c>
      <c r="C15" s="37" t="s">
        <v>341</v>
      </c>
      <c r="D15" s="49" t="s">
        <v>342</v>
      </c>
      <c r="E15" s="1" t="s">
        <v>343</v>
      </c>
      <c r="F15" s="1" t="s">
        <v>344</v>
      </c>
      <c r="H15" s="5" t="s">
        <v>164</v>
      </c>
      <c r="I15" s="5" t="s">
        <v>165</v>
      </c>
      <c r="J15" s="5" t="s">
        <v>272</v>
      </c>
      <c r="K15" s="5" t="s">
        <v>166</v>
      </c>
    </row>
    <row r="16" spans="2:11">
      <c r="B16" t="s">
        <v>259</v>
      </c>
      <c r="C16" s="51">
        <v>25</v>
      </c>
      <c r="D16" s="45">
        <v>0.2</v>
      </c>
      <c r="E16" s="52">
        <v>100</v>
      </c>
      <c r="F16" s="52">
        <f t="shared" ref="F16:F21" si="0">+E16*3</f>
        <v>300</v>
      </c>
      <c r="H16" s="46"/>
      <c r="I16" s="46"/>
      <c r="J16" s="47" t="str">
        <f>+IF(AND(H16="",I16="",K16=""),IF('Specification machine'!$C$191,"","X"),"")</f>
        <v/>
      </c>
      <c r="K16" s="46"/>
    </row>
    <row r="17" spans="2:11">
      <c r="B17" t="s">
        <v>261</v>
      </c>
      <c r="C17" s="51">
        <v>25</v>
      </c>
      <c r="D17" s="45">
        <v>0.2</v>
      </c>
      <c r="E17" s="52">
        <v>250</v>
      </c>
      <c r="F17" s="52">
        <f t="shared" si="0"/>
        <v>750</v>
      </c>
      <c r="H17" s="46"/>
      <c r="I17" s="46"/>
      <c r="J17" s="47" t="str">
        <f>+IF(AND(H17="",I17="",K17=""),IF('Specification machine'!$C$191,"","X"),"")</f>
        <v/>
      </c>
      <c r="K17" s="46"/>
    </row>
    <row r="18" spans="2:11" ht="14.25">
      <c r="B18" t="s">
        <v>345</v>
      </c>
      <c r="C18" s="51">
        <f>+C10-5</f>
        <v>125</v>
      </c>
      <c r="D18" s="45">
        <v>2.5</v>
      </c>
      <c r="E18" s="52">
        <v>250</v>
      </c>
      <c r="F18" s="52">
        <f t="shared" si="0"/>
        <v>750</v>
      </c>
      <c r="H18" s="46"/>
      <c r="I18" s="46"/>
      <c r="J18" s="47" t="str">
        <f>+IF(AND(H18="",I18="",K18=""),IF('Specification machine'!$C$191,"","X"),"")</f>
        <v/>
      </c>
      <c r="K18" s="46"/>
    </row>
    <row r="19" spans="2:11" ht="14.25">
      <c r="B19" t="s">
        <v>346</v>
      </c>
      <c r="C19" s="51">
        <f>+C10</f>
        <v>130</v>
      </c>
      <c r="D19" s="45">
        <v>2.5</v>
      </c>
      <c r="E19" s="52">
        <v>1000</v>
      </c>
      <c r="F19" s="52">
        <f t="shared" si="0"/>
        <v>3000</v>
      </c>
      <c r="H19" s="46"/>
      <c r="I19" s="46"/>
      <c r="J19" s="47" t="str">
        <f>+IF(AND(H19="",I19="",K19=""),IF('Specification machine'!$C$191,"","X"),"")</f>
        <v/>
      </c>
      <c r="K19" s="46"/>
    </row>
    <row r="20" spans="2:11" ht="14.25">
      <c r="B20" t="s">
        <v>347</v>
      </c>
      <c r="C20" s="51">
        <f>+C10+5</f>
        <v>135</v>
      </c>
      <c r="D20" s="45">
        <v>2.5</v>
      </c>
      <c r="E20" s="52">
        <v>1330</v>
      </c>
      <c r="F20" s="52">
        <f t="shared" si="0"/>
        <v>3990</v>
      </c>
      <c r="H20" s="46"/>
      <c r="I20" s="46"/>
      <c r="J20" s="47" t="str">
        <f>+IF(AND(H20="",I20="",K20=""),IF('Specification machine'!$C$191,"","X"),"")</f>
        <v/>
      </c>
      <c r="K20" s="46"/>
    </row>
    <row r="21" spans="2:11" ht="14.25">
      <c r="B21" t="s">
        <v>348</v>
      </c>
      <c r="C21" s="51">
        <f>+C10+15</f>
        <v>145</v>
      </c>
      <c r="D21" s="45">
        <v>7.5</v>
      </c>
      <c r="E21" s="52">
        <v>4000</v>
      </c>
      <c r="F21" s="52">
        <f t="shared" si="0"/>
        <v>12000</v>
      </c>
      <c r="H21" s="46"/>
      <c r="I21" s="46"/>
      <c r="J21" s="47" t="str">
        <f>+IF(AND(H21="",I21="",K21=""),IF('Specification machine'!$C$191,"","X"),"")</f>
        <v/>
      </c>
      <c r="K21" s="46"/>
    </row>
    <row r="23" spans="2:11">
      <c r="H23" s="40" t="s">
        <v>338</v>
      </c>
      <c r="I23" s="41"/>
      <c r="J23" s="41"/>
      <c r="K23" s="42"/>
    </row>
    <row r="24" spans="2:11">
      <c r="H24" s="48"/>
      <c r="I24" t="s">
        <v>357</v>
      </c>
      <c r="K24" s="44"/>
    </row>
    <row r="25" spans="2:11" ht="43.5">
      <c r="B25" s="1" t="s">
        <v>358</v>
      </c>
      <c r="C25" s="37" t="s">
        <v>341</v>
      </c>
      <c r="D25" s="49" t="s">
        <v>342</v>
      </c>
      <c r="E25" s="1" t="s">
        <v>343</v>
      </c>
      <c r="F25" s="1" t="s">
        <v>344</v>
      </c>
      <c r="H25" s="5" t="s">
        <v>164</v>
      </c>
      <c r="I25" s="5" t="s">
        <v>165</v>
      </c>
      <c r="J25" s="5" t="s">
        <v>272</v>
      </c>
      <c r="K25" s="5" t="s">
        <v>166</v>
      </c>
    </row>
    <row r="26" spans="2:11" ht="12.75">
      <c r="B26" t="s">
        <v>351</v>
      </c>
      <c r="C26" s="51">
        <v>25</v>
      </c>
      <c r="D26" s="45">
        <v>0.2</v>
      </c>
      <c r="E26" s="52">
        <v>100</v>
      </c>
      <c r="F26" s="52">
        <f t="shared" ref="F26:F31" si="1">+E26*3</f>
        <v>300</v>
      </c>
      <c r="H26" s="46"/>
      <c r="I26" s="46"/>
      <c r="J26" s="47" t="str">
        <f>+IF(AND(H26="",I26="",K26=""),IF('Specification machine'!$C$191,"","X"),"")</f>
        <v/>
      </c>
      <c r="K26" s="46"/>
    </row>
    <row r="27" spans="2:11" ht="12.75">
      <c r="B27" t="s">
        <v>352</v>
      </c>
      <c r="C27" s="51">
        <v>25</v>
      </c>
      <c r="D27" s="45">
        <v>0.2</v>
      </c>
      <c r="E27" s="52">
        <v>250</v>
      </c>
      <c r="F27" s="52">
        <f t="shared" si="1"/>
        <v>750</v>
      </c>
      <c r="H27" s="46"/>
      <c r="I27" s="46"/>
      <c r="J27" s="47" t="str">
        <f>+IF(AND(H27="",I27="",K27=""),IF('Specification machine'!$C$191,"","X"),"")</f>
        <v/>
      </c>
      <c r="K27" s="46"/>
    </row>
    <row r="28" spans="2:11" ht="14.25">
      <c r="B28" t="s">
        <v>345</v>
      </c>
      <c r="C28" s="51">
        <f>+C11-5</f>
        <v>125</v>
      </c>
      <c r="D28" s="45">
        <v>2.5</v>
      </c>
      <c r="E28" s="52">
        <v>250</v>
      </c>
      <c r="F28" s="52">
        <f t="shared" si="1"/>
        <v>750</v>
      </c>
      <c r="H28" s="46"/>
      <c r="I28" s="46"/>
      <c r="J28" s="47" t="str">
        <f>+IF(AND(H28="",I28="",K28=""),IF('Specification machine'!$C$191,"","X"),"")</f>
        <v/>
      </c>
      <c r="K28" s="46"/>
    </row>
    <row r="29" spans="2:11" ht="14.25">
      <c r="B29" t="s">
        <v>346</v>
      </c>
      <c r="C29" s="51">
        <f>+C11</f>
        <v>130</v>
      </c>
      <c r="D29" s="45">
        <v>2.5</v>
      </c>
      <c r="E29" s="52">
        <v>1000</v>
      </c>
      <c r="F29" s="52">
        <f t="shared" si="1"/>
        <v>3000</v>
      </c>
      <c r="H29" s="46"/>
      <c r="I29" s="46"/>
      <c r="J29" s="47" t="str">
        <f>+IF(AND(H29="",I29="",K29=""),IF('Specification machine'!$C$191,"","X"),"")</f>
        <v/>
      </c>
      <c r="K29" s="46"/>
    </row>
    <row r="30" spans="2:11" ht="14.25">
      <c r="B30" t="s">
        <v>347</v>
      </c>
      <c r="C30" s="51">
        <f>+C11+5</f>
        <v>135</v>
      </c>
      <c r="D30" s="45">
        <v>2.5</v>
      </c>
      <c r="E30" s="52">
        <v>1330</v>
      </c>
      <c r="F30" s="52">
        <f t="shared" si="1"/>
        <v>3990</v>
      </c>
      <c r="H30" s="46"/>
      <c r="I30" s="46"/>
      <c r="J30" s="47" t="str">
        <f>+IF(AND(H30="",I30="",K30=""),IF('Specification machine'!$C$191,"","X"),"")</f>
        <v/>
      </c>
      <c r="K30" s="46"/>
    </row>
    <row r="31" spans="2:11" ht="14.25">
      <c r="B31" t="s">
        <v>348</v>
      </c>
      <c r="C31" s="51">
        <f>+C11+10</f>
        <v>140</v>
      </c>
      <c r="D31" s="45">
        <v>7.5</v>
      </c>
      <c r="E31" s="52">
        <v>4000</v>
      </c>
      <c r="F31" s="52">
        <f t="shared" si="1"/>
        <v>12000</v>
      </c>
      <c r="H31" s="46"/>
      <c r="I31" s="46"/>
      <c r="J31" s="47" t="str">
        <f>+IF(AND(H31="",I31="",K31=""),IF('Specification machine'!$C$191,"","X"),"")</f>
        <v/>
      </c>
      <c r="K31" s="46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C1E1-1301-4EC4-8545-4B7EB33209F0}">
  <dimension ref="B3:H48"/>
  <sheetViews>
    <sheetView showGridLines="0" view="pageLayout" zoomScaleNormal="100" workbookViewId="0">
      <selection activeCell="C12" sqref="C12"/>
    </sheetView>
  </sheetViews>
  <sheetFormatPr defaultRowHeight="11.25"/>
  <cols>
    <col min="1" max="1" width="2.25" customWidth="1"/>
    <col min="2" max="2" width="29.375" customWidth="1"/>
    <col min="3" max="3" width="14.5" customWidth="1"/>
    <col min="4" max="4" width="7.625" customWidth="1"/>
    <col min="5" max="5" width="10.75" customWidth="1"/>
    <col min="6" max="6" width="36.5" customWidth="1"/>
    <col min="8" max="8" width="14.375" customWidth="1"/>
  </cols>
  <sheetData>
    <row r="3" spans="2:8">
      <c r="B3" s="1" t="s">
        <v>359</v>
      </c>
      <c r="C3" s="86">
        <v>500</v>
      </c>
      <c r="D3" t="s">
        <v>360</v>
      </c>
      <c r="E3" s="2"/>
      <c r="F3" s="1" t="s">
        <v>361</v>
      </c>
      <c r="G3" s="86">
        <v>100</v>
      </c>
      <c r="H3" t="s">
        <v>177</v>
      </c>
    </row>
    <row r="4" spans="2:8">
      <c r="B4" s="1" t="s">
        <v>362</v>
      </c>
      <c r="C4" s="86">
        <v>1500</v>
      </c>
      <c r="D4" t="s">
        <v>360</v>
      </c>
      <c r="E4" s="2"/>
      <c r="F4" s="91" t="s">
        <v>363</v>
      </c>
    </row>
    <row r="5" spans="2:8">
      <c r="E5" s="2"/>
      <c r="F5" s="1"/>
      <c r="G5" s="1"/>
    </row>
    <row r="6" spans="2:8">
      <c r="B6" s="5" t="s">
        <v>364</v>
      </c>
      <c r="C6" s="5" t="s">
        <v>365</v>
      </c>
      <c r="D6" s="39"/>
      <c r="E6" s="92" t="s">
        <v>366</v>
      </c>
      <c r="F6" s="92" t="s">
        <v>237</v>
      </c>
      <c r="G6" s="93"/>
    </row>
    <row r="7" spans="2:8">
      <c r="B7" s="39" t="s">
        <v>367</v>
      </c>
      <c r="C7" s="39">
        <f>+(C3*2)+1000</f>
        <v>2000</v>
      </c>
      <c r="D7" s="39" t="s">
        <v>360</v>
      </c>
      <c r="E7" s="94" t="s">
        <v>368</v>
      </c>
      <c r="F7" s="94" t="str">
        <f>+"Test Voltage "&amp;G3&amp;"% = "&amp;  ROUND((G3/100*C7),0)&amp; "VAC"</f>
        <v>Test Voltage 100% = 2000VAC</v>
      </c>
      <c r="G7" s="93"/>
    </row>
    <row r="8" spans="2:8">
      <c r="B8" s="39" t="s">
        <v>369</v>
      </c>
      <c r="C8" s="54">
        <f>+C4</f>
        <v>1500</v>
      </c>
      <c r="D8" s="39" t="s">
        <v>360</v>
      </c>
      <c r="E8" s="94" t="s">
        <v>370</v>
      </c>
      <c r="F8" s="94" t="str">
        <f>+"Test Voltage "&amp;G3&amp;"% = "&amp;  ROUND((G3/100*C8),0)&amp; "VAC"</f>
        <v>Test Voltage 100% = 1500VAC</v>
      </c>
      <c r="G8" s="93"/>
    </row>
    <row r="9" spans="2:8">
      <c r="B9" s="1"/>
      <c r="C9" s="1"/>
      <c r="E9" s="2"/>
      <c r="F9" s="1"/>
      <c r="G9" s="1"/>
    </row>
    <row r="10" spans="2:8">
      <c r="E10" s="2"/>
    </row>
    <row r="11" spans="2:8" ht="22.5">
      <c r="B11" s="85" t="s">
        <v>241</v>
      </c>
      <c r="C11" s="1" t="s">
        <v>371</v>
      </c>
      <c r="F11" s="85" t="s">
        <v>243</v>
      </c>
      <c r="G11" s="1" t="s">
        <v>371</v>
      </c>
    </row>
    <row r="12" spans="2:8">
      <c r="B12" t="s">
        <v>244</v>
      </c>
      <c r="C12" s="95"/>
      <c r="D12" t="str">
        <f>+IF(ISBLANK(C12),"",IF(C12&lt;$C$4,"Fail","Pass"))</f>
        <v/>
      </c>
      <c r="F12" t="s">
        <v>245</v>
      </c>
      <c r="G12" s="95"/>
      <c r="H12" t="str">
        <f>+IF(ISBLANK(G12),"",IF(G12&lt;$C$4,"Fail","Pass"))</f>
        <v/>
      </c>
    </row>
    <row r="13" spans="2:8">
      <c r="B13" t="s">
        <v>246</v>
      </c>
      <c r="C13" s="95"/>
      <c r="D13" t="str">
        <f>+IF(ISBLANK(C13),"",IF(C13&lt;$C$4,"Fail","Pass"))</f>
        <v/>
      </c>
      <c r="F13" t="s">
        <v>247</v>
      </c>
      <c r="G13" s="95"/>
      <c r="H13" t="str">
        <f>+IF(ISBLANK(G13),"",IF(G13&lt;$C$4,"Fail","Pass"))</f>
        <v/>
      </c>
    </row>
    <row r="14" spans="2:8">
      <c r="B14" t="s">
        <v>248</v>
      </c>
      <c r="C14" s="95"/>
      <c r="D14" t="str">
        <f>+IF(ISBLANK(C14),"",IF(C14&lt;$C$4,"Fail","Pass"))</f>
        <v/>
      </c>
      <c r="F14" t="s">
        <v>249</v>
      </c>
      <c r="G14" s="95"/>
      <c r="H14" t="str">
        <f>+IF(ISBLANK(G14),"",IF(G14&lt;$C$4,"Fail","Pass"))</f>
        <v/>
      </c>
    </row>
    <row r="15" spans="2:8">
      <c r="E15" s="2"/>
      <c r="G15" s="2"/>
      <c r="H15" s="2"/>
    </row>
    <row r="16" spans="2:8" ht="22.5">
      <c r="B16" s="85" t="s">
        <v>250</v>
      </c>
      <c r="C16" s="1" t="s">
        <v>371</v>
      </c>
      <c r="E16" s="2"/>
      <c r="F16" s="85" t="s">
        <v>243</v>
      </c>
      <c r="G16" s="1" t="s">
        <v>371</v>
      </c>
    </row>
    <row r="17" spans="2:8">
      <c r="B17" t="s">
        <v>251</v>
      </c>
      <c r="C17" s="95"/>
      <c r="D17" t="str">
        <f>+IF(ISBLANK(C17),"",IF(C17&lt;$C$4,"Fail","Pass"))</f>
        <v/>
      </c>
      <c r="E17" s="2"/>
      <c r="F17" t="s">
        <v>252</v>
      </c>
      <c r="G17" s="95"/>
      <c r="H17" t="str">
        <f>+IF(ISBLANK(G17),"",IF(G17&lt;$C$4,"Fail","Pass"))</f>
        <v/>
      </c>
    </row>
    <row r="18" spans="2:8">
      <c r="B18" t="s">
        <v>253</v>
      </c>
      <c r="C18" s="95"/>
      <c r="D18" t="str">
        <f>+IF(ISBLANK(C18),"",IF(C18&lt;$C$4,"Fail","Pass"))</f>
        <v/>
      </c>
      <c r="E18" s="2"/>
      <c r="F18" t="s">
        <v>254</v>
      </c>
      <c r="G18" s="95"/>
      <c r="H18" t="str">
        <f>+IF(ISBLANK(G18),"",IF(G18&lt;$C$4,"Fail","Pass"))</f>
        <v/>
      </c>
    </row>
    <row r="19" spans="2:8">
      <c r="B19" t="s">
        <v>255</v>
      </c>
      <c r="C19" s="95"/>
      <c r="D19" t="str">
        <f>+IF(ISBLANK(C19),"",IF(C19&lt;$C$4,"Fail","Pass"))</f>
        <v/>
      </c>
      <c r="E19" s="2"/>
      <c r="F19" t="s">
        <v>256</v>
      </c>
      <c r="G19" s="95"/>
      <c r="H19" t="str">
        <f>+IF(ISBLANK(G19),"",IF(G19&lt;$C$4,"Fail","Pass"))</f>
        <v/>
      </c>
    </row>
    <row r="20" spans="2:8">
      <c r="E20" s="2"/>
    </row>
    <row r="21" spans="2:8" ht="22.5">
      <c r="B21" s="85" t="s">
        <v>257</v>
      </c>
      <c r="C21" s="1" t="s">
        <v>371</v>
      </c>
      <c r="E21" s="2"/>
      <c r="F21" s="85" t="s">
        <v>258</v>
      </c>
      <c r="G21" s="1" t="s">
        <v>371</v>
      </c>
    </row>
    <row r="22" spans="2:8">
      <c r="B22" t="s">
        <v>259</v>
      </c>
      <c r="C22" s="95"/>
      <c r="D22" t="str">
        <f>+IF(ISBLANK(C22),"",IF(C22&lt;$C$4,"Fail","Pass"))</f>
        <v/>
      </c>
      <c r="E22" s="2"/>
      <c r="F22" t="s">
        <v>260</v>
      </c>
      <c r="G22" s="95"/>
      <c r="H22" t="str">
        <f>+IF(ISBLANK(G22),"",IF(G22&lt;$C$4,"Fail","Pass"))</f>
        <v/>
      </c>
    </row>
    <row r="23" spans="2:8">
      <c r="B23" t="s">
        <v>261</v>
      </c>
      <c r="C23" s="95"/>
      <c r="D23" t="str">
        <f>+IF(ISBLANK(C23),"",IF(C23&lt;$C$4,"Fail","Pass"))</f>
        <v/>
      </c>
      <c r="E23" s="2"/>
      <c r="F23" t="s">
        <v>262</v>
      </c>
      <c r="G23" s="95"/>
      <c r="H23" t="str">
        <f>+IF(ISBLANK(G23),"",IF(G23&lt;$C$4,"Fail","Pass"))</f>
        <v/>
      </c>
    </row>
    <row r="24" spans="2:8">
      <c r="B24" t="s">
        <v>263</v>
      </c>
      <c r="C24" s="95"/>
      <c r="D24" t="str">
        <f>+IF(ISBLANK(C24),"",IF(C24&lt;$C$4,"Fail","Pass"))</f>
        <v/>
      </c>
      <c r="E24" s="2"/>
      <c r="F24" t="s">
        <v>264</v>
      </c>
      <c r="G24" s="95"/>
      <c r="H24" t="str">
        <f>+IF(ISBLANK(G24),"",IF(G24&lt;$C$4,"Fail","Pass"))</f>
        <v/>
      </c>
    </row>
    <row r="25" spans="2:8">
      <c r="B25" t="s">
        <v>265</v>
      </c>
      <c r="C25" s="95"/>
      <c r="D25" t="str">
        <f>+IF(ISBLANK(C25),"",IF(C25&lt;$C$4,"Fail","Pass"))</f>
        <v/>
      </c>
      <c r="E25" s="2"/>
      <c r="F25" t="s">
        <v>266</v>
      </c>
      <c r="G25" s="95"/>
      <c r="H25" t="str">
        <f>+IF(ISBLANK(G25),"",IF(G25&lt;$C$4,"Fail","Pass"))</f>
        <v/>
      </c>
    </row>
    <row r="26" spans="2:8">
      <c r="C26" s="2"/>
      <c r="D26" s="2"/>
      <c r="E26" s="2"/>
      <c r="F26" s="2"/>
      <c r="G26" s="2"/>
    </row>
    <row r="27" spans="2:8" ht="22.5">
      <c r="B27" s="85" t="s">
        <v>267</v>
      </c>
      <c r="C27" s="1" t="s">
        <v>371</v>
      </c>
      <c r="E27" s="2"/>
      <c r="F27" s="85" t="s">
        <v>268</v>
      </c>
      <c r="G27" s="1" t="s">
        <v>371</v>
      </c>
    </row>
    <row r="28" spans="2:8">
      <c r="B28" t="s">
        <v>244</v>
      </c>
      <c r="C28" s="95"/>
      <c r="D28" t="str">
        <f>+IF(ISBLANK(C28),"",IF(C28&lt;$C$4,"Fail","Pass"))</f>
        <v/>
      </c>
      <c r="E28" s="2"/>
      <c r="F28" t="s">
        <v>372</v>
      </c>
      <c r="G28" s="95"/>
      <c r="H28" t="str">
        <f>+IF(ISBLANK(G28),"",IF(G28&lt;$C$4,"Fail","Pass"))</f>
        <v/>
      </c>
    </row>
    <row r="29" spans="2:8">
      <c r="B29" t="s">
        <v>246</v>
      </c>
      <c r="C29" s="95"/>
      <c r="D29" t="str">
        <f>+IF(ISBLANK(C29),"",IF(C29&lt;$C$4,"Fail","Pass"))</f>
        <v/>
      </c>
      <c r="E29" s="2"/>
      <c r="F29" t="s">
        <v>114</v>
      </c>
      <c r="G29" s="95"/>
      <c r="H29" t="str">
        <f>+IF(ISBLANK(G29),"",IF(G29&lt;$C$4,"Fail","Pass"))</f>
        <v/>
      </c>
    </row>
    <row r="30" spans="2:8">
      <c r="B30" t="s">
        <v>248</v>
      </c>
      <c r="C30" s="95"/>
      <c r="D30" t="str">
        <f>+IF(ISBLANK(C30),"",IF(C30&lt;$C$4,"Fail","Pass"))</f>
        <v/>
      </c>
      <c r="E30" s="2"/>
      <c r="F30" t="s">
        <v>114</v>
      </c>
      <c r="G30" s="95"/>
      <c r="H30" t="str">
        <f>+IF(ISBLANK(G30),"",IF(G30&lt;$C$4,"Fail","Pass"))</f>
        <v/>
      </c>
    </row>
    <row r="31" spans="2:8">
      <c r="B31" s="2"/>
      <c r="C31" s="2"/>
      <c r="D31" s="2"/>
    </row>
    <row r="32" spans="2:8" ht="22.5">
      <c r="B32" s="85" t="s">
        <v>270</v>
      </c>
      <c r="C32" s="1" t="s">
        <v>371</v>
      </c>
      <c r="E32" s="40" t="s">
        <v>96</v>
      </c>
      <c r="F32" s="96" t="s">
        <v>373</v>
      </c>
      <c r="G32" s="41"/>
      <c r="H32" s="42"/>
    </row>
    <row r="33" spans="2:8">
      <c r="B33" t="s">
        <v>251</v>
      </c>
      <c r="C33" s="95"/>
      <c r="D33" t="str">
        <f>+IF(ISBLANK(C33),"",IF(C33&lt;$C$4,"Fail","Pass"))</f>
        <v/>
      </c>
      <c r="E33" s="43"/>
      <c r="H33" s="44"/>
    </row>
    <row r="34" spans="2:8">
      <c r="B34" t="s">
        <v>253</v>
      </c>
      <c r="C34" s="95"/>
      <c r="D34" t="str">
        <f>+IF(ISBLANK(C34),"",IF(C34&lt;$C$4,"Fail","Pass"))</f>
        <v/>
      </c>
      <c r="E34" s="5" t="s">
        <v>164</v>
      </c>
      <c r="F34" s="5" t="s">
        <v>165</v>
      </c>
      <c r="G34" s="5" t="s">
        <v>272</v>
      </c>
      <c r="H34" s="5" t="s">
        <v>166</v>
      </c>
    </row>
    <row r="35" spans="2:8">
      <c r="B35" t="s">
        <v>255</v>
      </c>
      <c r="C35" s="95"/>
      <c r="D35" t="str">
        <f>+IF(ISBLANK(C35),"",IF(C35&lt;$C$4,"Fail","Pass"))</f>
        <v/>
      </c>
      <c r="E35" s="46"/>
      <c r="F35" s="46"/>
      <c r="G35" s="47" t="str">
        <f>+IF(AND(E35="",F35="",H35=""),IF('Specification machine'!$C$191,"","X"),"")</f>
        <v/>
      </c>
      <c r="H35" s="46"/>
    </row>
    <row r="36" spans="2:8">
      <c r="B36" s="2"/>
      <c r="C36" s="2"/>
      <c r="D36" s="2"/>
      <c r="E36" s="2"/>
      <c r="F36" s="2"/>
      <c r="H36" s="2"/>
    </row>
    <row r="37" spans="2:8">
      <c r="H37" s="2"/>
    </row>
    <row r="38" spans="2:8">
      <c r="H38" s="2"/>
    </row>
    <row r="39" spans="2:8">
      <c r="H39" s="2"/>
    </row>
    <row r="40" spans="2:8">
      <c r="H40" s="2"/>
    </row>
    <row r="41" spans="2:8">
      <c r="H41" s="2"/>
    </row>
    <row r="42" spans="2:8">
      <c r="H42" s="2"/>
    </row>
    <row r="43" spans="2:8">
      <c r="H43" s="2"/>
    </row>
    <row r="44" spans="2:8">
      <c r="H44" s="2"/>
    </row>
    <row r="45" spans="2:8">
      <c r="H45" s="2"/>
    </row>
    <row r="46" spans="2:8">
      <c r="H46" s="2"/>
    </row>
    <row r="47" spans="2:8">
      <c r="H47" s="2"/>
    </row>
    <row r="48" spans="2:8">
      <c r="H48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4563-CE2A-44A7-AE01-B543E6AAD2BA}">
  <sheetPr codeName="Blad7"/>
  <dimension ref="B3:H35"/>
  <sheetViews>
    <sheetView showGridLines="0" view="pageLayout" zoomScaleNormal="100" workbookViewId="0">
      <selection activeCell="F19" sqref="F19"/>
    </sheetView>
  </sheetViews>
  <sheetFormatPr defaultRowHeight="11.25"/>
  <cols>
    <col min="1" max="1" width="2.25" customWidth="1"/>
    <col min="2" max="2" width="26.125" customWidth="1"/>
    <col min="3" max="3" width="14.5" customWidth="1"/>
    <col min="4" max="4" width="7.375" customWidth="1"/>
    <col min="5" max="5" width="7.5" customWidth="1"/>
    <col min="6" max="6" width="35" customWidth="1"/>
    <col min="7" max="7" width="18.125" customWidth="1"/>
    <col min="8" max="8" width="14.375" customWidth="1"/>
  </cols>
  <sheetData>
    <row r="3" spans="2:8">
      <c r="B3" s="1" t="s">
        <v>374</v>
      </c>
      <c r="C3" s="1" t="s">
        <v>375</v>
      </c>
    </row>
    <row r="4" spans="2:8">
      <c r="B4" t="s">
        <v>376</v>
      </c>
      <c r="C4" s="54">
        <f>'3.20 BEMF(Hot)'!$C$4</f>
        <v>0</v>
      </c>
      <c r="D4" t="s">
        <v>171</v>
      </c>
      <c r="E4" s="58" t="s">
        <v>377</v>
      </c>
      <c r="F4" s="54">
        <f>'Specification machine'!$F$39</f>
        <v>1000</v>
      </c>
      <c r="G4" t="s">
        <v>53</v>
      </c>
    </row>
    <row r="5" spans="2:8">
      <c r="B5" t="s">
        <v>378</v>
      </c>
      <c r="C5" s="54">
        <f>'Specification machine'!$F$40</f>
        <v>79</v>
      </c>
      <c r="D5" t="s">
        <v>53</v>
      </c>
      <c r="E5" s="58"/>
      <c r="F5" s="3"/>
    </row>
    <row r="6" spans="2:8">
      <c r="C6" s="3"/>
      <c r="E6" s="58"/>
      <c r="F6" s="3"/>
    </row>
    <row r="7" spans="2:8">
      <c r="E7" s="1" t="s">
        <v>379</v>
      </c>
      <c r="F7" s="1"/>
      <c r="G7" s="1" t="s">
        <v>380</v>
      </c>
    </row>
    <row r="8" spans="2:8">
      <c r="B8" s="1" t="s">
        <v>381</v>
      </c>
      <c r="C8" s="1" t="s">
        <v>382</v>
      </c>
      <c r="E8" s="39">
        <f>'Specification machine'!$H$39</f>
        <v>-10</v>
      </c>
      <c r="F8" t="s">
        <v>177</v>
      </c>
      <c r="G8" s="39">
        <f>'Specification machine'!$J$39</f>
        <v>2</v>
      </c>
      <c r="H8" t="s">
        <v>177</v>
      </c>
    </row>
    <row r="9" spans="2:8">
      <c r="B9" t="str">
        <f>+"Ubemf at "&amp;ROUND(C5,0)&amp;" rpm"</f>
        <v>Ubemf at 79 rpm</v>
      </c>
      <c r="C9" s="54">
        <f>+IF(AND(ISNUMBER((C4/F4)*C5),F4&gt;0),((C4/F4)*C5),"")</f>
        <v>0</v>
      </c>
      <c r="D9" t="s">
        <v>171</v>
      </c>
      <c r="E9" s="53">
        <f>+C9*(1+($E$8/100))</f>
        <v>0</v>
      </c>
      <c r="F9" t="s">
        <v>171</v>
      </c>
      <c r="G9" s="53">
        <f>+C9*(1+($G$8/100))</f>
        <v>0</v>
      </c>
      <c r="H9" t="s">
        <v>171</v>
      </c>
    </row>
    <row r="10" spans="2:8">
      <c r="B10" t="s">
        <v>383</v>
      </c>
      <c r="C10" s="53">
        <f>+SQRT(2)*C9</f>
        <v>0</v>
      </c>
      <c r="D10" s="2" t="s">
        <v>171</v>
      </c>
      <c r="E10" s="53">
        <f>+C10*(1+($E$8/100))</f>
        <v>0</v>
      </c>
      <c r="F10" s="2" t="s">
        <v>171</v>
      </c>
      <c r="G10" s="53">
        <f>+C10*(1+($G$8/100))</f>
        <v>0</v>
      </c>
      <c r="H10" t="s">
        <v>171</v>
      </c>
    </row>
    <row r="11" spans="2:8">
      <c r="B11" t="s">
        <v>384</v>
      </c>
      <c r="C11" s="53">
        <f>2*C10</f>
        <v>0</v>
      </c>
      <c r="D11" s="2" t="s">
        <v>171</v>
      </c>
      <c r="E11" s="53">
        <f>+C11*(1+($E$8/100))</f>
        <v>0</v>
      </c>
      <c r="F11" s="2" t="s">
        <v>171</v>
      </c>
      <c r="G11" s="53">
        <f>+C11*(1+($G$8/100))</f>
        <v>0</v>
      </c>
      <c r="H11" t="s">
        <v>171</v>
      </c>
    </row>
    <row r="12" spans="2:8">
      <c r="C12" s="2"/>
      <c r="D12" s="2"/>
      <c r="E12" s="2"/>
      <c r="F12" s="2"/>
      <c r="G12" s="2"/>
    </row>
    <row r="13" spans="2:8">
      <c r="B13" s="1" t="s">
        <v>385</v>
      </c>
      <c r="C13" s="2" t="s">
        <v>382</v>
      </c>
      <c r="D13" s="2"/>
      <c r="E13" s="2" t="s">
        <v>379</v>
      </c>
      <c r="F13" s="2"/>
      <c r="G13" s="2" t="s">
        <v>386</v>
      </c>
    </row>
    <row r="14" spans="2:8">
      <c r="B14" t="str">
        <f>+"Ubemf at "&amp;ROUND(G20,0)&amp;" rpm"</f>
        <v>Ubemf at 0 rpm</v>
      </c>
      <c r="C14" s="54">
        <f>+(C4/F4)*G20</f>
        <v>0</v>
      </c>
      <c r="D14" t="s">
        <v>171</v>
      </c>
      <c r="E14" s="53">
        <f>+C14*(1+($E$8/100))</f>
        <v>0</v>
      </c>
      <c r="F14" t="s">
        <v>171</v>
      </c>
      <c r="G14" s="53">
        <f>+C14*(1+($G$8/100))</f>
        <v>0</v>
      </c>
      <c r="H14" t="s">
        <v>171</v>
      </c>
    </row>
    <row r="15" spans="2:8">
      <c r="B15" t="s">
        <v>383</v>
      </c>
      <c r="C15" s="53">
        <f>+SQRT(2)*C14</f>
        <v>0</v>
      </c>
      <c r="D15" s="2" t="s">
        <v>171</v>
      </c>
      <c r="E15" s="53">
        <f>+C15*(1+($E$8/100))</f>
        <v>0</v>
      </c>
      <c r="F15" s="87" t="s">
        <v>171</v>
      </c>
      <c r="G15" s="53">
        <f>+C15*(1+($G$8/100))</f>
        <v>0</v>
      </c>
      <c r="H15" t="s">
        <v>171</v>
      </c>
    </row>
    <row r="16" spans="2:8">
      <c r="B16" t="s">
        <v>384</v>
      </c>
      <c r="C16" s="53">
        <f>2*C15</f>
        <v>0</v>
      </c>
      <c r="D16" s="2" t="s">
        <v>171</v>
      </c>
      <c r="E16" s="53">
        <f>+C16*(1+($E$8/100))</f>
        <v>0</v>
      </c>
      <c r="F16" s="2" t="s">
        <v>171</v>
      </c>
      <c r="G16" s="53">
        <f>+C16*(1+($G$8/100))</f>
        <v>0</v>
      </c>
      <c r="H16" t="s">
        <v>171</v>
      </c>
    </row>
    <row r="17" spans="2:8">
      <c r="C17" s="2"/>
      <c r="D17" s="2"/>
      <c r="E17" s="2"/>
      <c r="F17" s="2"/>
      <c r="G17" s="2"/>
    </row>
    <row r="18" spans="2:8">
      <c r="C18" s="2"/>
      <c r="D18" s="2"/>
      <c r="E18" s="2"/>
      <c r="F18" s="2"/>
      <c r="G18" s="2"/>
    </row>
    <row r="19" spans="2:8">
      <c r="B19" s="1" t="s">
        <v>387</v>
      </c>
    </row>
    <row r="20" spans="2:8">
      <c r="B20" t="s">
        <v>388</v>
      </c>
      <c r="C20" s="63"/>
      <c r="D20" t="s">
        <v>171</v>
      </c>
      <c r="F20" t="s">
        <v>389</v>
      </c>
      <c r="G20" s="62"/>
      <c r="H20" t="s">
        <v>53</v>
      </c>
    </row>
    <row r="21" spans="2:8">
      <c r="B21" t="s">
        <v>383</v>
      </c>
      <c r="C21" s="53">
        <f>+C20/2</f>
        <v>0</v>
      </c>
      <c r="D21" s="2" t="s">
        <v>171</v>
      </c>
      <c r="F21" t="s">
        <v>390</v>
      </c>
      <c r="G21" s="61">
        <f>+(C26*G20)/60</f>
        <v>0</v>
      </c>
      <c r="H21" t="s">
        <v>179</v>
      </c>
    </row>
    <row r="22" spans="2:8">
      <c r="B22" t="s">
        <v>391</v>
      </c>
      <c r="C22" s="53">
        <f>+C21*(SQRT(2)/2)</f>
        <v>0</v>
      </c>
      <c r="D22" s="2" t="s">
        <v>171</v>
      </c>
    </row>
    <row r="23" spans="2:8">
      <c r="C23" s="2"/>
      <c r="D23" s="2"/>
    </row>
    <row r="24" spans="2:8">
      <c r="B24" s="1" t="s">
        <v>52</v>
      </c>
      <c r="C24" s="1" t="s">
        <v>382</v>
      </c>
      <c r="G24" s="1" t="s">
        <v>392</v>
      </c>
    </row>
    <row r="25" spans="2:8">
      <c r="B25" t="s">
        <v>393</v>
      </c>
      <c r="C25" s="54">
        <f>'Specification machine'!$C$34</f>
        <v>0</v>
      </c>
      <c r="D25" s="2" t="s">
        <v>179</v>
      </c>
      <c r="F25" t="s">
        <v>389</v>
      </c>
      <c r="G25" s="62"/>
      <c r="H25" t="s">
        <v>179</v>
      </c>
    </row>
    <row r="26" spans="2:8">
      <c r="B26" t="s">
        <v>394</v>
      </c>
      <c r="C26" s="54">
        <f>'Specification machine'!$C$41/2</f>
        <v>0</v>
      </c>
      <c r="D26" s="2" t="s">
        <v>395</v>
      </c>
      <c r="F26" t="s">
        <v>390</v>
      </c>
      <c r="G26" s="39">
        <f>+IF($G$20=0,0,(60*G25)/G20)</f>
        <v>0</v>
      </c>
      <c r="H26" t="s">
        <v>395</v>
      </c>
    </row>
    <row r="27" spans="2:8">
      <c r="B27" t="s">
        <v>378</v>
      </c>
      <c r="C27" s="54" t="e">
        <f>+(C25*60)/C26</f>
        <v>#DIV/0!</v>
      </c>
      <c r="D27" s="2" t="s">
        <v>53</v>
      </c>
      <c r="F27" t="s">
        <v>390</v>
      </c>
      <c r="G27" s="54">
        <f>+IF($G$26=0,0,(G25*60)/G26)</f>
        <v>0</v>
      </c>
      <c r="H27" s="2" t="s">
        <v>53</v>
      </c>
    </row>
    <row r="28" spans="2:8" ht="12.75">
      <c r="B28" s="59" t="s">
        <v>396</v>
      </c>
      <c r="C28" s="60" t="e">
        <f>+C27*2*PI()/60</f>
        <v>#DIV/0!</v>
      </c>
      <c r="D28" t="s">
        <v>397</v>
      </c>
      <c r="F28" t="s">
        <v>390</v>
      </c>
      <c r="G28" s="60">
        <f>+G27*2*PI()/60</f>
        <v>0</v>
      </c>
      <c r="H28" t="s">
        <v>397</v>
      </c>
    </row>
    <row r="29" spans="2:8" ht="12">
      <c r="B29" t="s">
        <v>398</v>
      </c>
      <c r="C29" s="61" t="e">
        <f>+C10/C28</f>
        <v>#DIV/0!</v>
      </c>
      <c r="D29" t="s">
        <v>399</v>
      </c>
      <c r="F29" t="s">
        <v>390</v>
      </c>
      <c r="G29" s="61">
        <f>IF(G28=0,0,+C21/G28)</f>
        <v>0</v>
      </c>
      <c r="H29" t="s">
        <v>399</v>
      </c>
    </row>
    <row r="30" spans="2:8">
      <c r="B30" t="s">
        <v>400</v>
      </c>
      <c r="C30" s="39" t="e">
        <f>+(60*1000)/(C26*C27)</f>
        <v>#DIV/0!</v>
      </c>
      <c r="D30" t="s">
        <v>401</v>
      </c>
      <c r="F30" t="s">
        <v>390</v>
      </c>
      <c r="G30" s="61">
        <f>+IF(C26*G27=0,0,(60*1000)/(C26*G27))</f>
        <v>0</v>
      </c>
      <c r="H30" t="s">
        <v>401</v>
      </c>
    </row>
    <row r="32" spans="2:8" ht="14.25">
      <c r="B32" s="142" t="s">
        <v>402</v>
      </c>
      <c r="C32" s="143"/>
      <c r="D32" s="143"/>
      <c r="E32" s="144"/>
    </row>
    <row r="33" spans="2:7" ht="14.25">
      <c r="B33" s="145"/>
      <c r="C33" s="141"/>
      <c r="D33" s="141"/>
      <c r="E33" s="146"/>
    </row>
    <row r="34" spans="2:7" ht="14.25">
      <c r="B34" s="147" t="s">
        <v>164</v>
      </c>
      <c r="C34" s="147" t="s">
        <v>165</v>
      </c>
      <c r="D34" s="147" t="s">
        <v>272</v>
      </c>
      <c r="E34" s="147" t="s">
        <v>166</v>
      </c>
    </row>
    <row r="35" spans="2:7" ht="14.25">
      <c r="B35" s="148"/>
      <c r="C35" s="148"/>
      <c r="D35" s="147" t="str">
        <f>+IF(AND(B35="",C35="",E35=""),IF('Specification machine'!$C$191,"","X"),"")</f>
        <v/>
      </c>
      <c r="E35" s="148"/>
      <c r="G35" s="187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1D9A-EC62-4C40-91BD-B865667FC305}">
  <dimension ref="B2:H35"/>
  <sheetViews>
    <sheetView showGridLines="0" view="pageLayout" zoomScaleNormal="100" workbookViewId="0">
      <selection activeCell="H26" sqref="H26"/>
    </sheetView>
  </sheetViews>
  <sheetFormatPr defaultRowHeight="11.25"/>
  <cols>
    <col min="1" max="1" width="2.25" customWidth="1"/>
    <col min="2" max="2" width="29.375" customWidth="1"/>
    <col min="3" max="3" width="14.5" customWidth="1"/>
    <col min="4" max="4" width="7.625" customWidth="1"/>
    <col min="5" max="5" width="7.875" customWidth="1"/>
    <col min="6" max="6" width="36.5" customWidth="1"/>
    <col min="8" max="8" width="14.375" customWidth="1"/>
  </cols>
  <sheetData>
    <row r="2" spans="2:8">
      <c r="H2" s="2"/>
    </row>
    <row r="3" spans="2:8" ht="14.25">
      <c r="B3" s="234" t="s">
        <v>403</v>
      </c>
      <c r="H3" s="2"/>
    </row>
    <row r="4" spans="2:8">
      <c r="H4" s="2"/>
    </row>
    <row r="5" spans="2:8">
      <c r="H5" s="2"/>
    </row>
    <row r="6" spans="2:8">
      <c r="H6" s="2"/>
    </row>
    <row r="7" spans="2:8">
      <c r="H7" s="2"/>
    </row>
    <row r="8" spans="2:8">
      <c r="H8" s="2"/>
    </row>
    <row r="24" spans="2:6" ht="14.25">
      <c r="C24" s="69" t="s">
        <v>404</v>
      </c>
    </row>
    <row r="26" spans="2:6" ht="12" thickBot="1">
      <c r="B26" s="187"/>
    </row>
    <row r="27" spans="2:6">
      <c r="B27" s="467" t="s">
        <v>364</v>
      </c>
      <c r="C27" s="189" t="s">
        <v>405</v>
      </c>
      <c r="D27" s="467" t="s">
        <v>406</v>
      </c>
      <c r="E27" s="467" t="s">
        <v>407</v>
      </c>
      <c r="F27" s="467" t="s">
        <v>408</v>
      </c>
    </row>
    <row r="28" spans="2:6" ht="12" thickBot="1">
      <c r="B28" s="468"/>
      <c r="C28" s="233" t="s">
        <v>409</v>
      </c>
      <c r="D28" s="468"/>
      <c r="E28" s="468"/>
      <c r="F28" s="468"/>
    </row>
    <row r="29" spans="2:6" ht="12" thickBot="1">
      <c r="B29" s="163" t="s">
        <v>410</v>
      </c>
      <c r="C29" s="235">
        <v>120</v>
      </c>
      <c r="D29" s="235">
        <f>'Specification machine'!$C$70</f>
        <v>79</v>
      </c>
      <c r="E29" s="186">
        <f>+IF(ISNUMBER(D29*(C29/100)),D29*(C29/100),"")</f>
        <v>94.8</v>
      </c>
      <c r="F29" s="186">
        <v>120</v>
      </c>
    </row>
    <row r="30" spans="2:6" ht="12" thickBot="1">
      <c r="B30" s="187"/>
    </row>
    <row r="31" spans="2:6" ht="33" customHeight="1" thickBot="1">
      <c r="B31" s="467" t="s">
        <v>411</v>
      </c>
      <c r="C31" s="467" t="s">
        <v>412</v>
      </c>
      <c r="D31" s="467" t="s">
        <v>413</v>
      </c>
      <c r="E31" s="469" t="s">
        <v>414</v>
      </c>
      <c r="F31" s="470"/>
    </row>
    <row r="32" spans="2:6" ht="12" thickBot="1">
      <c r="B32" s="468"/>
      <c r="C32" s="468"/>
      <c r="D32" s="468"/>
      <c r="E32" s="233" t="s">
        <v>164</v>
      </c>
      <c r="F32" s="233" t="s">
        <v>165</v>
      </c>
    </row>
    <row r="33" spans="2:6" ht="12" thickBot="1">
      <c r="B33" s="163" t="s">
        <v>415</v>
      </c>
      <c r="C33" s="236"/>
      <c r="D33" s="186">
        <f>+E29</f>
        <v>94.8</v>
      </c>
      <c r="E33" s="286"/>
      <c r="F33" s="286"/>
    </row>
    <row r="34" spans="2:6" ht="12" thickBot="1">
      <c r="B34" s="187"/>
      <c r="E34" s="245" t="s">
        <v>166</v>
      </c>
      <c r="F34" s="233" t="s">
        <v>167</v>
      </c>
    </row>
    <row r="35" spans="2:6" ht="11.25" customHeight="1" thickBot="1">
      <c r="B35" s="466"/>
      <c r="C35" s="466"/>
      <c r="E35" s="287"/>
      <c r="F35" s="286"/>
    </row>
  </sheetData>
  <sheetProtection sheet="1" objects="1" scenarios="1"/>
  <mergeCells count="9">
    <mergeCell ref="B35:C35"/>
    <mergeCell ref="B27:B28"/>
    <mergeCell ref="D27:D28"/>
    <mergeCell ref="E27:E28"/>
    <mergeCell ref="F27:F28"/>
    <mergeCell ref="B31:B32"/>
    <mergeCell ref="C31:C32"/>
    <mergeCell ref="D31:D32"/>
    <mergeCell ref="E31:F3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3DCBE-66F0-4833-8597-1195B652BDEC}">
  <dimension ref="B2:H40"/>
  <sheetViews>
    <sheetView showGridLines="0" view="pageLayout" zoomScaleNormal="100" workbookViewId="0">
      <selection activeCell="H24" sqref="H24"/>
    </sheetView>
  </sheetViews>
  <sheetFormatPr defaultRowHeight="11.25"/>
  <cols>
    <col min="1" max="1" width="2.25" customWidth="1"/>
    <col min="2" max="2" width="33" customWidth="1"/>
    <col min="3" max="3" width="18.25" customWidth="1"/>
    <col min="4" max="4" width="18.875" customWidth="1"/>
    <col min="5" max="5" width="16" customWidth="1"/>
    <col min="6" max="6" width="16.75" customWidth="1"/>
    <col min="8" max="8" width="8.625" customWidth="1"/>
  </cols>
  <sheetData>
    <row r="2" spans="2:8" ht="14.25">
      <c r="B2" s="69" t="s">
        <v>416</v>
      </c>
      <c r="H2" s="2"/>
    </row>
    <row r="3" spans="2:8" ht="15">
      <c r="B3" s="296"/>
      <c r="H3" s="2"/>
    </row>
    <row r="4" spans="2:8" ht="50.25" customHeight="1">
      <c r="B4" s="471" t="s">
        <v>417</v>
      </c>
      <c r="C4" s="472"/>
      <c r="D4" s="472"/>
      <c r="H4" s="2"/>
    </row>
    <row r="5" spans="2:8">
      <c r="H5" s="2"/>
    </row>
    <row r="6" spans="2:8">
      <c r="B6" s="357" t="s">
        <v>418</v>
      </c>
      <c r="C6" s="359" t="s">
        <v>419</v>
      </c>
      <c r="D6" s="353"/>
      <c r="E6" s="40" t="s">
        <v>420</v>
      </c>
      <c r="F6" s="41"/>
      <c r="G6" s="41"/>
      <c r="H6" s="42"/>
    </row>
    <row r="7" spans="2:8" ht="12.75">
      <c r="B7" s="358"/>
      <c r="C7" s="360" t="s">
        <v>421</v>
      </c>
      <c r="D7" s="355"/>
      <c r="E7" s="43"/>
      <c r="H7" s="44"/>
    </row>
    <row r="8" spans="2:8" ht="11.25" customHeight="1">
      <c r="B8" s="4" t="s">
        <v>283</v>
      </c>
      <c r="C8" s="57"/>
      <c r="E8" s="5" t="s">
        <v>164</v>
      </c>
      <c r="F8" s="5" t="s">
        <v>165</v>
      </c>
      <c r="G8" s="5" t="s">
        <v>272</v>
      </c>
      <c r="H8" s="5" t="s">
        <v>166</v>
      </c>
    </row>
    <row r="9" spans="2:8">
      <c r="B9" s="4" t="s">
        <v>284</v>
      </c>
      <c r="C9" s="57"/>
      <c r="E9" s="46"/>
      <c r="F9" s="46"/>
      <c r="G9" s="47" t="str">
        <f>+IF(AND(E9="",F9="",H9=""),IF('Specification machine'!$C$191,"","X"),"")</f>
        <v/>
      </c>
      <c r="H9" s="46"/>
    </row>
    <row r="10" spans="2:8">
      <c r="B10" s="4" t="s">
        <v>285</v>
      </c>
      <c r="C10" s="57"/>
    </row>
    <row r="11" spans="2:8">
      <c r="B11" s="356" t="s">
        <v>422</v>
      </c>
      <c r="C11" s="57"/>
    </row>
    <row r="13" spans="2:8">
      <c r="B13" s="354"/>
      <c r="F13" s="353"/>
    </row>
    <row r="14" spans="2:8">
      <c r="B14" s="357" t="s">
        <v>423</v>
      </c>
      <c r="C14" s="359" t="s">
        <v>419</v>
      </c>
      <c r="D14" s="353"/>
    </row>
    <row r="15" spans="2:8" ht="12.75">
      <c r="B15" s="358"/>
      <c r="C15" s="360" t="s">
        <v>421</v>
      </c>
      <c r="D15" s="355"/>
      <c r="E15" s="339" t="s">
        <v>424</v>
      </c>
      <c r="F15" t="s">
        <v>425</v>
      </c>
    </row>
    <row r="16" spans="2:8" ht="12" customHeight="1">
      <c r="B16" s="4" t="s">
        <v>283</v>
      </c>
      <c r="C16" s="57"/>
      <c r="E16" s="370" t="s">
        <v>426</v>
      </c>
    </row>
    <row r="17" spans="2:6">
      <c r="B17" s="4" t="s">
        <v>284</v>
      </c>
      <c r="C17" s="57"/>
      <c r="E17" s="369" t="s">
        <v>427</v>
      </c>
    </row>
    <row r="18" spans="2:6">
      <c r="B18" s="4" t="s">
        <v>285</v>
      </c>
      <c r="C18" s="57"/>
    </row>
    <row r="19" spans="2:6">
      <c r="B19" s="356" t="s">
        <v>428</v>
      </c>
      <c r="C19" s="57"/>
    </row>
    <row r="22" spans="2:6" ht="48">
      <c r="B22" s="361" t="s">
        <v>429</v>
      </c>
      <c r="C22" s="362" t="s">
        <v>430</v>
      </c>
      <c r="D22" s="323" t="s">
        <v>431</v>
      </c>
      <c r="E22" s="363" t="s">
        <v>432</v>
      </c>
      <c r="F22" s="363" t="s">
        <v>433</v>
      </c>
    </row>
    <row r="23" spans="2:6" ht="12.75">
      <c r="B23" s="358"/>
      <c r="C23" s="360" t="s">
        <v>421</v>
      </c>
      <c r="D23" s="360" t="s">
        <v>434</v>
      </c>
      <c r="E23" s="360" t="s">
        <v>435</v>
      </c>
      <c r="F23" s="360" t="s">
        <v>436</v>
      </c>
    </row>
    <row r="24" spans="2:6">
      <c r="B24" s="4" t="s">
        <v>283</v>
      </c>
      <c r="C24" s="45">
        <f>+C16-C8</f>
        <v>0</v>
      </c>
      <c r="D24" s="28">
        <f>+IF(OR($E$17="y",$E$17="Y"),'Specification machine'!C198,'Specification machine'!C197)</f>
        <v>90</v>
      </c>
      <c r="E24" s="45">
        <f>+C24+$C$11</f>
        <v>0</v>
      </c>
      <c r="F24" s="45">
        <f>+C24+$C$19</f>
        <v>0</v>
      </c>
    </row>
    <row r="25" spans="2:6">
      <c r="B25" s="4" t="s">
        <v>284</v>
      </c>
      <c r="C25" s="45">
        <f t="shared" ref="C25:C26" si="0">+C17-C9</f>
        <v>0</v>
      </c>
      <c r="D25" s="28">
        <f>+IF(OR($E$17="y",$E$17="Y"),'Specification machine'!C198,'Specification machine'!C197)</f>
        <v>90</v>
      </c>
      <c r="E25" s="45">
        <f t="shared" ref="E25:E26" si="1">+C25+$C$11</f>
        <v>0</v>
      </c>
      <c r="F25" s="45">
        <f t="shared" ref="F25:F26" si="2">+C25+$C$19</f>
        <v>0</v>
      </c>
    </row>
    <row r="26" spans="2:6">
      <c r="B26" s="4" t="s">
        <v>285</v>
      </c>
      <c r="C26" s="45">
        <f t="shared" si="0"/>
        <v>0</v>
      </c>
      <c r="D26" s="28">
        <f>+IF(OR($E$17="y",$E$17="Y"),'Specification machine'!C198,'Specification machine'!C197)</f>
        <v>90</v>
      </c>
      <c r="E26" s="45">
        <f t="shared" si="1"/>
        <v>0</v>
      </c>
      <c r="F26" s="45">
        <f t="shared" si="2"/>
        <v>0</v>
      </c>
    </row>
    <row r="32" spans="2:6">
      <c r="B32" s="88"/>
    </row>
    <row r="40" spans="6:6">
      <c r="F40" s="3"/>
    </row>
  </sheetData>
  <sheetProtection sheet="1" objects="1" scenarios="1"/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F6268-7030-4DE4-A301-68E0D87DDDA5}">
  <dimension ref="B2:H37"/>
  <sheetViews>
    <sheetView showGridLines="0" view="pageLayout" zoomScaleNormal="100" workbookViewId="0">
      <selection activeCell="C21" sqref="C21"/>
    </sheetView>
  </sheetViews>
  <sheetFormatPr defaultRowHeight="11.25"/>
  <cols>
    <col min="1" max="1" width="2.25" customWidth="1"/>
    <col min="2" max="2" width="29.375" customWidth="1"/>
    <col min="3" max="3" width="18.25" customWidth="1"/>
    <col min="4" max="4" width="18.875" customWidth="1"/>
    <col min="5" max="5" width="16" customWidth="1"/>
    <col min="6" max="6" width="18.125" customWidth="1"/>
    <col min="8" max="8" width="14.375" customWidth="1"/>
  </cols>
  <sheetData>
    <row r="2" spans="2:8" ht="14.25">
      <c r="B2" s="69" t="s">
        <v>437</v>
      </c>
      <c r="H2" s="2"/>
    </row>
    <row r="3" spans="2:8" ht="15">
      <c r="B3" s="296"/>
      <c r="H3" s="2"/>
    </row>
    <row r="4" spans="2:8" ht="87.75" customHeight="1">
      <c r="B4" s="471" t="s">
        <v>438</v>
      </c>
      <c r="C4" s="472"/>
      <c r="D4" s="472"/>
      <c r="H4" s="2"/>
    </row>
    <row r="5" spans="2:8">
      <c r="H5" s="2"/>
    </row>
    <row r="6" spans="2:8">
      <c r="B6" s="357" t="s">
        <v>418</v>
      </c>
      <c r="C6" s="359" t="s">
        <v>419</v>
      </c>
      <c r="D6" s="353"/>
      <c r="E6" s="40" t="s">
        <v>420</v>
      </c>
      <c r="F6" s="41"/>
      <c r="G6" s="41"/>
      <c r="H6" s="42"/>
    </row>
    <row r="7" spans="2:8" ht="12.75">
      <c r="B7" s="358"/>
      <c r="C7" s="360" t="s">
        <v>421</v>
      </c>
      <c r="D7" s="355"/>
      <c r="E7" s="43"/>
      <c r="H7" s="44"/>
    </row>
    <row r="8" spans="2:8" ht="11.25" customHeight="1">
      <c r="B8" s="265" t="s">
        <v>439</v>
      </c>
      <c r="C8" s="57"/>
      <c r="E8" s="5" t="s">
        <v>164</v>
      </c>
      <c r="F8" s="5" t="s">
        <v>165</v>
      </c>
      <c r="G8" s="5" t="s">
        <v>272</v>
      </c>
      <c r="H8" s="5" t="s">
        <v>166</v>
      </c>
    </row>
    <row r="9" spans="2:8">
      <c r="B9" s="265" t="s">
        <v>440</v>
      </c>
      <c r="C9" s="57"/>
      <c r="E9" s="46"/>
      <c r="F9" s="46"/>
      <c r="G9" s="47" t="str">
        <f>+IF(AND(E9="",F9="",H9=""),IF('Specification machine'!$C$191,"","X"),"")</f>
        <v/>
      </c>
      <c r="H9" s="46"/>
    </row>
    <row r="10" spans="2:8">
      <c r="B10" s="366" t="s">
        <v>422</v>
      </c>
      <c r="C10" s="57"/>
    </row>
    <row r="12" spans="2:8">
      <c r="B12" s="354"/>
      <c r="E12" t="s">
        <v>441</v>
      </c>
      <c r="F12" s="353"/>
    </row>
    <row r="13" spans="2:8">
      <c r="B13" s="357" t="s">
        <v>423</v>
      </c>
      <c r="C13" s="359" t="s">
        <v>419</v>
      </c>
      <c r="D13" s="353"/>
      <c r="E13" s="187" t="s">
        <v>442</v>
      </c>
    </row>
    <row r="14" spans="2:8" ht="12.75">
      <c r="B14" s="358"/>
      <c r="C14" s="360" t="s">
        <v>421</v>
      </c>
      <c r="D14" s="355"/>
      <c r="E14" s="365" t="s">
        <v>443</v>
      </c>
    </row>
    <row r="15" spans="2:8">
      <c r="B15" s="265" t="s">
        <v>439</v>
      </c>
      <c r="C15" s="57"/>
      <c r="E15" s="365" t="s">
        <v>444</v>
      </c>
    </row>
    <row r="16" spans="2:8">
      <c r="B16" s="265" t="s">
        <v>440</v>
      </c>
      <c r="C16" s="57"/>
    </row>
    <row r="17" spans="2:6">
      <c r="B17" s="366" t="s">
        <v>445</v>
      </c>
      <c r="C17" s="57"/>
    </row>
    <row r="20" spans="2:6" ht="48">
      <c r="B20" s="361" t="s">
        <v>429</v>
      </c>
      <c r="C20" s="362" t="s">
        <v>446</v>
      </c>
      <c r="D20" s="323" t="s">
        <v>447</v>
      </c>
      <c r="E20" s="363" t="s">
        <v>448</v>
      </c>
      <c r="F20" s="363" t="s">
        <v>449</v>
      </c>
    </row>
    <row r="21" spans="2:6" ht="12.75">
      <c r="B21" s="358"/>
      <c r="C21" s="360" t="s">
        <v>421</v>
      </c>
      <c r="D21" s="360" t="s">
        <v>434</v>
      </c>
      <c r="E21" s="360" t="s">
        <v>435</v>
      </c>
      <c r="F21" s="360" t="s">
        <v>436</v>
      </c>
    </row>
    <row r="22" spans="2:6">
      <c r="B22" s="265" t="s">
        <v>439</v>
      </c>
      <c r="C22" s="45">
        <f>+C15-C8</f>
        <v>0</v>
      </c>
      <c r="D22" s="364">
        <v>100</v>
      </c>
      <c r="E22" s="45">
        <f>+C22+$C$10</f>
        <v>0</v>
      </c>
      <c r="F22" s="45">
        <f>+C22+$C$17</f>
        <v>0</v>
      </c>
    </row>
    <row r="23" spans="2:6">
      <c r="B23" s="265" t="s">
        <v>440</v>
      </c>
      <c r="C23" s="45">
        <f>+C16-C9</f>
        <v>0</v>
      </c>
      <c r="D23" s="364">
        <v>100</v>
      </c>
      <c r="E23" s="45">
        <f>+C23+$C$10</f>
        <v>0</v>
      </c>
      <c r="F23" s="45">
        <f t="shared" ref="F23" si="0">+C23+$C$17</f>
        <v>0</v>
      </c>
    </row>
    <row r="29" spans="2:6">
      <c r="B29" s="88"/>
    </row>
    <row r="37" spans="6:6">
      <c r="F37" s="3"/>
    </row>
  </sheetData>
  <sheetProtection sheet="1" objects="1" scenarios="1"/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8ED0-0C0D-4A25-B726-00EFC2BF11B6}">
  <dimension ref="B2:M35"/>
  <sheetViews>
    <sheetView showGridLines="0" view="pageLayout" zoomScaleNormal="100" workbookViewId="0">
      <selection activeCell="B26" sqref="B26"/>
    </sheetView>
  </sheetViews>
  <sheetFormatPr defaultRowHeight="11.25"/>
  <cols>
    <col min="2" max="2" width="69.125" customWidth="1"/>
  </cols>
  <sheetData>
    <row r="2" spans="2:13" ht="15">
      <c r="B2" s="73" t="s">
        <v>13</v>
      </c>
      <c r="C2" s="50"/>
      <c r="D2" s="50"/>
      <c r="E2" s="50"/>
      <c r="F2" s="68"/>
      <c r="G2" s="68"/>
      <c r="H2" s="68"/>
    </row>
    <row r="3" spans="2:13" ht="15">
      <c r="B3" s="69"/>
      <c r="C3" s="50"/>
      <c r="D3" s="50"/>
      <c r="E3" s="50"/>
      <c r="F3" s="68"/>
      <c r="G3" s="68"/>
      <c r="H3" s="68"/>
    </row>
    <row r="4" spans="2:13" ht="15.75">
      <c r="B4" s="89" t="s">
        <v>14</v>
      </c>
      <c r="C4" s="50"/>
      <c r="D4" s="50"/>
      <c r="E4" s="50"/>
      <c r="F4" s="68"/>
      <c r="G4" s="68"/>
      <c r="H4" s="68"/>
    </row>
    <row r="5" spans="2:13" ht="13.5" customHeight="1" thickBot="1">
      <c r="B5" s="90" t="s">
        <v>15</v>
      </c>
      <c r="G5" s="68"/>
      <c r="H5" s="68"/>
    </row>
    <row r="6" spans="2:13" ht="15.75" thickBot="1">
      <c r="B6" s="90" t="s">
        <v>16</v>
      </c>
      <c r="C6" s="397" t="s">
        <v>17</v>
      </c>
      <c r="D6" s="388"/>
      <c r="E6" s="387"/>
      <c r="F6" s="68"/>
      <c r="G6" s="68"/>
      <c r="H6" s="68"/>
    </row>
    <row r="7" spans="2:13" ht="15.75" thickBot="1">
      <c r="B7" s="90" t="s">
        <v>18</v>
      </c>
      <c r="C7" s="80"/>
      <c r="E7" s="50"/>
      <c r="F7" s="68"/>
      <c r="G7" s="68"/>
      <c r="H7" s="68"/>
      <c r="M7" t="s">
        <v>0</v>
      </c>
    </row>
    <row r="8" spans="2:13" ht="15">
      <c r="B8" s="90"/>
      <c r="C8" s="50"/>
      <c r="D8" s="50"/>
      <c r="E8" s="50"/>
      <c r="F8" s="68"/>
      <c r="G8" s="68"/>
      <c r="H8" s="68"/>
    </row>
    <row r="9" spans="2:13" ht="15.75">
      <c r="B9" s="89" t="s">
        <v>19</v>
      </c>
      <c r="C9" s="50"/>
      <c r="D9" s="50"/>
      <c r="E9" s="50"/>
      <c r="F9" s="68"/>
      <c r="G9" s="68"/>
      <c r="H9" s="68"/>
    </row>
    <row r="10" spans="2:13" ht="15.75" thickBot="1">
      <c r="B10" s="90" t="s">
        <v>20</v>
      </c>
      <c r="G10" s="68"/>
      <c r="H10" s="68"/>
    </row>
    <row r="11" spans="2:13" ht="15.75" thickBot="1">
      <c r="B11" s="90" t="s">
        <v>21</v>
      </c>
      <c r="C11" s="81"/>
      <c r="D11" s="50"/>
      <c r="E11" s="50"/>
      <c r="F11" s="68"/>
      <c r="G11" s="68"/>
      <c r="H11" s="68"/>
    </row>
    <row r="12" spans="2:13" ht="15.75" thickBot="1">
      <c r="B12" s="90" t="s">
        <v>22</v>
      </c>
      <c r="C12" s="81" t="s">
        <v>17</v>
      </c>
      <c r="D12" s="50"/>
      <c r="E12" s="50"/>
      <c r="F12" s="68"/>
      <c r="G12" s="68"/>
      <c r="H12" s="68"/>
    </row>
    <row r="13" spans="2:13" ht="15.75" thickBot="1">
      <c r="B13" s="90" t="s">
        <v>23</v>
      </c>
      <c r="C13" s="386"/>
      <c r="D13" s="388"/>
      <c r="E13" s="387"/>
      <c r="F13" s="68"/>
      <c r="G13" s="68"/>
      <c r="H13" s="68"/>
    </row>
    <row r="14" spans="2:13" ht="15">
      <c r="B14" s="90"/>
      <c r="C14" s="50"/>
      <c r="D14" s="50"/>
      <c r="E14" s="50"/>
      <c r="F14" s="68"/>
      <c r="G14" s="68"/>
      <c r="H14" s="68"/>
    </row>
    <row r="15" spans="2:13" ht="15.75">
      <c r="B15" s="89" t="s">
        <v>24</v>
      </c>
      <c r="C15" s="50"/>
      <c r="D15" s="50"/>
      <c r="E15" s="50"/>
      <c r="F15" s="68"/>
      <c r="G15" s="68"/>
      <c r="H15" s="68"/>
    </row>
    <row r="16" spans="2:13" ht="15.75" thickBot="1">
      <c r="B16" s="90" t="s">
        <v>25</v>
      </c>
      <c r="C16" s="50"/>
      <c r="D16" s="50"/>
      <c r="E16" s="50"/>
      <c r="F16" s="68"/>
      <c r="G16" s="68"/>
      <c r="H16" s="68"/>
    </row>
    <row r="17" spans="2:9" ht="15.75" thickBot="1">
      <c r="B17" s="90" t="s">
        <v>26</v>
      </c>
      <c r="C17" s="81"/>
      <c r="D17" s="50"/>
      <c r="E17" s="50"/>
      <c r="F17" s="68"/>
      <c r="G17" s="68"/>
      <c r="H17" s="68"/>
    </row>
    <row r="18" spans="2:9" ht="15.75" thickBot="1">
      <c r="B18" s="90" t="s">
        <v>27</v>
      </c>
      <c r="C18" s="81" t="s">
        <v>17</v>
      </c>
      <c r="D18" s="388"/>
      <c r="E18" s="68" t="s">
        <v>28</v>
      </c>
      <c r="F18" s="68"/>
      <c r="G18" s="68"/>
      <c r="H18" s="68"/>
    </row>
    <row r="19" spans="2:9" ht="15">
      <c r="B19" s="36"/>
      <c r="G19" s="68"/>
      <c r="H19" s="68"/>
    </row>
    <row r="20" spans="2:9" ht="15">
      <c r="F20" s="68"/>
      <c r="G20" s="68"/>
      <c r="H20" s="68"/>
    </row>
    <row r="21" spans="2:9" ht="14.25">
      <c r="B21" s="90"/>
      <c r="C21" s="89"/>
      <c r="D21" s="89"/>
      <c r="E21" s="89"/>
      <c r="F21" s="90"/>
      <c r="G21" s="90"/>
      <c r="H21" s="90"/>
      <c r="I21" s="36"/>
    </row>
    <row r="22" spans="2:9" ht="14.25">
      <c r="B22" s="90"/>
      <c r="C22" s="89"/>
      <c r="D22" s="89"/>
      <c r="E22" s="89"/>
      <c r="F22" s="90"/>
      <c r="G22" s="90"/>
      <c r="H22" s="90"/>
      <c r="I22" s="36"/>
    </row>
    <row r="23" spans="2:9" ht="14.25">
      <c r="B23" s="90"/>
      <c r="C23" s="89"/>
      <c r="D23" s="89"/>
      <c r="E23" s="89"/>
      <c r="F23" s="90"/>
      <c r="G23" s="90"/>
      <c r="H23" s="90"/>
      <c r="I23" s="36"/>
    </row>
    <row r="24" spans="2:9" ht="14.25">
      <c r="B24" s="90"/>
      <c r="C24" s="89"/>
      <c r="D24" s="89"/>
      <c r="E24" s="89"/>
      <c r="F24" s="90"/>
      <c r="G24" s="90"/>
      <c r="H24" s="90"/>
      <c r="I24" s="36"/>
    </row>
    <row r="25" spans="2:9" ht="14.25">
      <c r="B25" s="337" t="str">
        <f>+" (1) : If not otherwise selected the preferred choice is: torque measurement, machine test with new HHNK VSD and test witnessed by HHNK."</f>
        <v xml:space="preserve"> (1) : If not otherwise selected the preferred choice is: torque measurement, machine test with new HHNK VSD and test witnessed by HHNK.</v>
      </c>
      <c r="C25" s="89"/>
      <c r="D25" s="89"/>
      <c r="E25" s="89"/>
      <c r="F25" s="90"/>
      <c r="G25" s="90"/>
      <c r="H25" s="90"/>
      <c r="I25" s="36"/>
    </row>
    <row r="26" spans="2:9" ht="14.25">
      <c r="B26" s="90"/>
      <c r="C26" s="89"/>
      <c r="D26" s="89"/>
      <c r="E26" s="89"/>
      <c r="F26" s="90"/>
      <c r="G26" s="90"/>
      <c r="H26" s="90"/>
      <c r="I26" s="36"/>
    </row>
    <row r="28" spans="2:9" ht="14.25">
      <c r="B28" s="69" t="s">
        <v>29</v>
      </c>
    </row>
    <row r="29" spans="2:9" ht="14.25">
      <c r="B29" s="90" t="s">
        <v>30</v>
      </c>
    </row>
    <row r="30" spans="2:9" ht="15">
      <c r="B30" s="90" t="s">
        <v>31</v>
      </c>
      <c r="C30" s="68"/>
      <c r="D30" s="68"/>
      <c r="E30" s="68"/>
      <c r="F30" s="68"/>
      <c r="G30" s="68"/>
      <c r="H30" s="68"/>
    </row>
    <row r="31" spans="2:9" ht="14.25">
      <c r="B31" s="69" t="s">
        <v>32</v>
      </c>
    </row>
    <row r="34" spans="2:2" ht="14.25">
      <c r="B34" s="69" t="s">
        <v>33</v>
      </c>
    </row>
    <row r="35" spans="2:2" ht="14.25">
      <c r="B35" s="69" t="s">
        <v>34</v>
      </c>
    </row>
  </sheetData>
  <sheetProtection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2B79-E1B8-43CF-9FB3-75D4324CC1FE}">
  <sheetPr codeName="Blad3">
    <pageSetUpPr fitToPage="1"/>
  </sheetPr>
  <dimension ref="B6:K33"/>
  <sheetViews>
    <sheetView showGridLines="0" view="pageLayout" zoomScaleNormal="100" workbookViewId="0">
      <selection activeCell="C25" sqref="C25"/>
    </sheetView>
  </sheetViews>
  <sheetFormatPr defaultRowHeight="11.25"/>
  <cols>
    <col min="1" max="1" width="1.25" customWidth="1"/>
    <col min="2" max="2" width="8.625" customWidth="1"/>
    <col min="3" max="6" width="12.625" customWidth="1"/>
    <col min="8" max="11" width="8.625" customWidth="1"/>
    <col min="12" max="12" width="1.5" customWidth="1"/>
  </cols>
  <sheetData>
    <row r="6" spans="2:11" ht="12" thickBot="1"/>
    <row r="7" spans="2:11" ht="24.95" customHeight="1">
      <c r="B7" s="23" t="s">
        <v>450</v>
      </c>
      <c r="C7" s="24"/>
      <c r="D7" s="24"/>
      <c r="E7" s="24"/>
      <c r="F7" s="32" t="s">
        <v>274</v>
      </c>
      <c r="G7" s="33"/>
      <c r="H7" s="25" t="s">
        <v>275</v>
      </c>
      <c r="I7" s="24"/>
      <c r="J7" s="24"/>
      <c r="K7" s="26"/>
    </row>
    <row r="8" spans="2:11">
      <c r="B8" s="10"/>
      <c r="C8" s="5" t="s">
        <v>276</v>
      </c>
      <c r="D8" s="5" t="s">
        <v>277</v>
      </c>
      <c r="E8" s="5" t="s">
        <v>278</v>
      </c>
      <c r="F8" s="18" t="s">
        <v>279</v>
      </c>
      <c r="G8" s="30" t="s">
        <v>162</v>
      </c>
      <c r="H8" s="1"/>
      <c r="K8" s="11"/>
    </row>
    <row r="9" spans="2:11" ht="12">
      <c r="B9" s="10"/>
      <c r="C9" s="5" t="s">
        <v>280</v>
      </c>
      <c r="D9" s="5" t="s">
        <v>281</v>
      </c>
      <c r="E9" s="5" t="s">
        <v>282</v>
      </c>
      <c r="F9" s="5" t="s">
        <v>177</v>
      </c>
      <c r="G9" s="5" t="s">
        <v>177</v>
      </c>
      <c r="H9" s="5" t="s">
        <v>164</v>
      </c>
      <c r="I9" s="5" t="s">
        <v>165</v>
      </c>
      <c r="J9" s="5" t="s">
        <v>272</v>
      </c>
      <c r="K9" s="12" t="s">
        <v>451</v>
      </c>
    </row>
    <row r="10" spans="2:11" ht="24.95" customHeight="1">
      <c r="B10" s="13" t="s">
        <v>283</v>
      </c>
      <c r="C10" s="7"/>
      <c r="D10" s="6">
        <f>+C10*($I$16+$D$16)/($I$16+$C$16)</f>
        <v>0</v>
      </c>
      <c r="E10" s="6">
        <f>+'Specification machine'!F44</f>
        <v>0</v>
      </c>
      <c r="F10" s="6" t="str">
        <f>+IF(ISNUMBER(((D10-E10)/E10)*100),((D10-E10)/E10)*100,"")</f>
        <v/>
      </c>
      <c r="G10" s="28">
        <f>'Specification machine'!$C$200</f>
        <v>10</v>
      </c>
      <c r="H10" s="28" t="str">
        <f>+IF(ISBLANK(K10),IF(ISNUMBER(C10),IF(ABS(F10)&lt;=ABS(G10),"X",""),""),"")</f>
        <v/>
      </c>
      <c r="I10" s="28" t="str">
        <f>+IF(ISBLANK(K10),IF(ISNUMBER(C10),IF(ABS(F10)&gt;ABS(G10),"X",""),""),"")</f>
        <v/>
      </c>
      <c r="J10" s="28" t="str">
        <f>+IF(ISBLANK(K10),IF(ISBLANK(C10),IF('Specification machine'!$C$191,"","X"),""),"")</f>
        <v/>
      </c>
      <c r="K10" s="29"/>
    </row>
    <row r="11" spans="2:11" ht="24.95" customHeight="1">
      <c r="B11" s="13" t="s">
        <v>284</v>
      </c>
      <c r="C11" s="7"/>
      <c r="D11" s="6">
        <f>+C11*($I$16+$D$16)/($I$16+$C$16)</f>
        <v>0</v>
      </c>
      <c r="E11" s="6">
        <f>+E10</f>
        <v>0</v>
      </c>
      <c r="F11" s="6" t="str">
        <f t="shared" ref="F11:F12" si="0">+IF(ISNUMBER(((D11-E11)/E11)*100),((D11-E11)/E11)*100,"")</f>
        <v/>
      </c>
      <c r="G11" s="28">
        <f>'Specification machine'!$C$200</f>
        <v>10</v>
      </c>
      <c r="H11" s="4" t="str">
        <f>+IF(ISBLANK(K11),IF(ISNUMBER(C11),IF(ABS(F11)&lt;=ABS(G11),"X",""),""),"")</f>
        <v/>
      </c>
      <c r="I11" s="4" t="str">
        <f>+IF(ISBLANK(K11),IF(ISNUMBER(C11),IF(ABS(F11)&gt;ABS(G11),"X",""),""),"")</f>
        <v/>
      </c>
      <c r="J11" s="28" t="str">
        <f>+IF(ISBLANK(K11),IF(ISBLANK(C11),IF('Specification machine'!$C$191,"","X"),""),"")</f>
        <v/>
      </c>
      <c r="K11" s="14"/>
    </row>
    <row r="12" spans="2:11" ht="24.95" customHeight="1" thickBot="1">
      <c r="B12" s="15" t="s">
        <v>285</v>
      </c>
      <c r="C12" s="83"/>
      <c r="D12" s="84">
        <f>+C12*($I$16+$D$16)/($I$16+$C$16)</f>
        <v>0</v>
      </c>
      <c r="E12" s="84">
        <f>+E10</f>
        <v>0</v>
      </c>
      <c r="F12" s="6" t="str">
        <f t="shared" si="0"/>
        <v/>
      </c>
      <c r="G12" s="28">
        <f>'Specification machine'!$C$200</f>
        <v>10</v>
      </c>
      <c r="H12" s="16" t="str">
        <f>+IF(ISBLANK(K12),IF(ISNUMBER(C12),IF(ABS(F12)&lt;=ABS(G12),"X",""),""),"")</f>
        <v/>
      </c>
      <c r="I12" s="16" t="str">
        <f>+IF(ISBLANK(K12),IF(ISNUMBER(C12),IF(ABS(F12)&gt;ABS(G12),"X",""),""),"")</f>
        <v/>
      </c>
      <c r="J12" s="28" t="str">
        <f>+IF(ISBLANK(K12),IF(ISBLANK(C12),IF('Specification machine'!$C$191,"","X"),""),"")</f>
        <v/>
      </c>
      <c r="K12" s="17"/>
    </row>
    <row r="13" spans="2:11">
      <c r="B13" s="19"/>
      <c r="C13" s="74"/>
      <c r="D13" s="74"/>
      <c r="E13" s="74"/>
      <c r="F13" s="8"/>
      <c r="G13" s="8"/>
      <c r="H13" s="8"/>
      <c r="I13" s="8"/>
      <c r="J13" s="8"/>
      <c r="K13" s="9"/>
    </row>
    <row r="14" spans="2:11">
      <c r="B14" s="10"/>
      <c r="C14" s="82" t="s">
        <v>286</v>
      </c>
      <c r="D14" s="75" t="s">
        <v>287</v>
      </c>
      <c r="E14" s="75"/>
      <c r="K14" s="11"/>
    </row>
    <row r="15" spans="2:11" ht="12.75">
      <c r="B15" s="10"/>
      <c r="C15" s="76"/>
      <c r="D15" s="76" t="s">
        <v>288</v>
      </c>
      <c r="E15" s="75"/>
      <c r="G15" s="27" t="s">
        <v>289</v>
      </c>
      <c r="I15" t="s">
        <v>290</v>
      </c>
      <c r="K15" s="11"/>
    </row>
    <row r="16" spans="2:11" ht="24.95" customHeight="1">
      <c r="B16" s="10"/>
      <c r="C16" s="77"/>
      <c r="D16" s="78">
        <f>'Specification machine'!$C$196</f>
        <v>20</v>
      </c>
      <c r="E16" s="75"/>
      <c r="G16" s="6" t="str">
        <f>+'Specification machine'!C49</f>
        <v>Cu</v>
      </c>
      <c r="H16" s="27"/>
      <c r="I16" s="4">
        <f>+IF(G16="Cu",235,IF(G16="Al",225,"no value"))</f>
        <v>235</v>
      </c>
      <c r="K16" s="11"/>
    </row>
    <row r="17" spans="2:11" ht="12" thickBot="1">
      <c r="B17" s="20"/>
      <c r="C17" s="79"/>
      <c r="D17" s="79"/>
      <c r="E17" s="79"/>
      <c r="F17" s="21"/>
      <c r="G17" s="21"/>
      <c r="H17" s="21"/>
      <c r="I17" s="21"/>
      <c r="J17" s="21"/>
      <c r="K17" s="22"/>
    </row>
    <row r="18" spans="2:11">
      <c r="C18" s="75"/>
      <c r="D18" s="75"/>
      <c r="E18" s="75"/>
    </row>
    <row r="19" spans="2:11">
      <c r="C19" s="75"/>
      <c r="D19" s="75"/>
      <c r="E19" s="75"/>
    </row>
    <row r="20" spans="2:11">
      <c r="C20" s="75"/>
      <c r="D20" s="75"/>
      <c r="E20" s="75"/>
    </row>
    <row r="21" spans="2:11">
      <c r="C21" s="75"/>
      <c r="D21" s="75"/>
      <c r="E21" s="75"/>
    </row>
    <row r="22" spans="2:11">
      <c r="C22" s="75"/>
      <c r="D22" s="75"/>
      <c r="E22" s="75"/>
    </row>
    <row r="23" spans="2:11">
      <c r="C23" s="75"/>
      <c r="D23" s="75"/>
      <c r="E23" s="75"/>
    </row>
    <row r="24" spans="2:11">
      <c r="C24" s="75"/>
      <c r="D24" s="75"/>
      <c r="E24" s="75"/>
    </row>
    <row r="25" spans="2:11">
      <c r="E25" s="75"/>
    </row>
    <row r="26" spans="2:11">
      <c r="E26" s="75"/>
    </row>
    <row r="27" spans="2:11">
      <c r="E27" s="75"/>
    </row>
    <row r="28" spans="2:11">
      <c r="E28" s="75"/>
    </row>
    <row r="29" spans="2:11">
      <c r="E29" s="75"/>
    </row>
    <row r="30" spans="2:11">
      <c r="E30" s="75"/>
    </row>
    <row r="31" spans="2:11">
      <c r="E31" s="75"/>
    </row>
    <row r="32" spans="2:11">
      <c r="C32" s="75"/>
      <c r="D32" s="75"/>
      <c r="E32" s="75"/>
    </row>
    <row r="33" spans="3:5">
      <c r="C33" s="75"/>
      <c r="D33" s="75"/>
      <c r="E33" s="75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F0AE-6945-4BF2-A22E-3B23968E0EB4}">
  <sheetPr codeName="Blad4"/>
  <dimension ref="B1:J22"/>
  <sheetViews>
    <sheetView showGridLines="0" view="pageLayout" zoomScale="99" zoomScaleNormal="100" zoomScalePageLayoutView="99" workbookViewId="0">
      <selection activeCell="H31" sqref="H31"/>
    </sheetView>
  </sheetViews>
  <sheetFormatPr defaultRowHeight="11.25"/>
  <cols>
    <col min="1" max="1" width="1.25" customWidth="1"/>
    <col min="2" max="2" width="8.625" customWidth="1"/>
    <col min="3" max="5" width="12.625" customWidth="1"/>
    <col min="6" max="6" width="9.5" bestFit="1" customWidth="1"/>
    <col min="7" max="7" width="19.125" customWidth="1"/>
    <col min="8" max="8" width="17" customWidth="1"/>
    <col min="9" max="10" width="8.625" customWidth="1"/>
    <col min="11" max="11" width="1.5" customWidth="1"/>
  </cols>
  <sheetData>
    <row r="1" spans="2:10" ht="12" thickBot="1"/>
    <row r="2" spans="2:10" ht="12" thickBot="1">
      <c r="C2" s="399" t="s">
        <v>452</v>
      </c>
      <c r="D2" s="400"/>
    </row>
    <row r="3" spans="2:10">
      <c r="C3" s="19" t="s">
        <v>453</v>
      </c>
      <c r="D3" s="401" t="s">
        <v>454</v>
      </c>
    </row>
    <row r="4" spans="2:10">
      <c r="C4" s="10"/>
      <c r="D4" s="402"/>
    </row>
    <row r="5" spans="2:10">
      <c r="C5" s="10"/>
      <c r="D5" s="402"/>
    </row>
    <row r="6" spans="2:10" ht="12" thickBot="1">
      <c r="C6" s="20"/>
      <c r="D6" s="403"/>
    </row>
    <row r="7" spans="2:10" ht="24.95" customHeight="1">
      <c r="B7" s="23" t="s">
        <v>455</v>
      </c>
      <c r="C7" s="398"/>
      <c r="D7" s="398"/>
      <c r="E7" s="32" t="s">
        <v>456</v>
      </c>
      <c r="F7" s="33"/>
      <c r="G7" s="25" t="s">
        <v>275</v>
      </c>
      <c r="H7" s="24"/>
      <c r="I7" s="24"/>
      <c r="J7" s="26"/>
    </row>
    <row r="8" spans="2:10">
      <c r="B8" s="10"/>
      <c r="C8" s="5" t="s">
        <v>276</v>
      </c>
      <c r="D8" s="5" t="s">
        <v>276</v>
      </c>
      <c r="E8" s="18" t="s">
        <v>279</v>
      </c>
      <c r="F8" s="30" t="s">
        <v>162</v>
      </c>
      <c r="G8" s="1"/>
      <c r="J8" s="11"/>
    </row>
    <row r="9" spans="2:10" ht="12.75">
      <c r="B9" s="10"/>
      <c r="C9" s="5" t="s">
        <v>457</v>
      </c>
      <c r="D9" s="5" t="s">
        <v>458</v>
      </c>
      <c r="E9" s="4" t="s">
        <v>292</v>
      </c>
      <c r="F9" s="4" t="s">
        <v>292</v>
      </c>
      <c r="G9" s="5" t="s">
        <v>164</v>
      </c>
      <c r="H9" s="5" t="s">
        <v>165</v>
      </c>
      <c r="I9" s="5" t="s">
        <v>272</v>
      </c>
      <c r="J9" s="12" t="s">
        <v>166</v>
      </c>
    </row>
    <row r="10" spans="2:10" ht="24.95" customHeight="1">
      <c r="B10" s="13" t="s">
        <v>283</v>
      </c>
      <c r="C10" s="6" t="str">
        <f>+IF('3.4 Resistance Winding Cold'!C10&lt;&gt;0,'3.4 Resistance Winding Cold'!C10,"")</f>
        <v/>
      </c>
      <c r="D10" s="6" t="str">
        <f>+IF('3.13 Resistance Winding Hot'!C10&lt;&gt;0,'3.13 Resistance Winding Hot'!C10,"")</f>
        <v/>
      </c>
      <c r="E10" s="6" t="str">
        <f>+IF(OR(C10="",D10=""),"",((D10-C10)/D10)*($H$21+$C$21))</f>
        <v/>
      </c>
      <c r="F10" s="28">
        <f>+IF(OR($C$17="y",$C$17="Y"),'Specification machine'!C198,'Specification machine'!C197)</f>
        <v>90</v>
      </c>
      <c r="G10" s="28" t="str">
        <f>+IF(ISBLANK(J10),IF(AND(ISNUMBER(C10),ISNUMBER(D10)),IF(ABS(E10)&lt;=ABS(F10),"X",""),""),"")</f>
        <v/>
      </c>
      <c r="H10" s="28" t="str">
        <f>+IF(ISBLANK(J10),IF(AND(ISNUMBER(C10),ISNUMBER(D10)),IF(ABS(E10)&gt;ABS(F10),"X",""),""),"")</f>
        <v/>
      </c>
      <c r="I10" s="28" t="str">
        <f>+IF(ISBLANK(J10),IF(E10="",IF('Specification machine'!$C$191,"","X"),""),"")</f>
        <v/>
      </c>
      <c r="J10" s="29"/>
    </row>
    <row r="11" spans="2:10" ht="24.95" customHeight="1">
      <c r="B11" s="13" t="s">
        <v>284</v>
      </c>
      <c r="C11" s="6" t="str">
        <f>+IF('3.4 Resistance Winding Cold'!C11&lt;&gt;0,'3.4 Resistance Winding Cold'!C11,"")</f>
        <v/>
      </c>
      <c r="D11" s="6" t="str">
        <f>+IF('3.13 Resistance Winding Hot'!C11&lt;&gt;0,'3.13 Resistance Winding Hot'!C11,"")</f>
        <v/>
      </c>
      <c r="E11" s="6" t="str">
        <f>+IF(OR(C11="",D11=""),"",((D11-C11)/D11)*($H$21+$C$21))</f>
        <v/>
      </c>
      <c r="F11" s="28">
        <f>+IF(OR($C$17="y",$C$17="Y"),'Specification machine'!C198,'Specification machine'!C197)</f>
        <v>90</v>
      </c>
      <c r="G11" s="28" t="str">
        <f t="shared" ref="G11:G12" si="0">+IF(ISBLANK(J11),IF(AND(ISNUMBER(C11),ISNUMBER(D11)),IF(ABS(E11)&lt;=ABS(F11),"X",""),""),"")</f>
        <v/>
      </c>
      <c r="H11" s="28" t="str">
        <f t="shared" ref="H11:H12" si="1">+IF(ISBLANK(J11),IF(AND(ISNUMBER(C11),ISNUMBER(D11)),IF(ABS(E11)&gt;ABS(F11),"X",""),""),"")</f>
        <v/>
      </c>
      <c r="I11" s="28" t="str">
        <f>+IF(ISBLANK(J11),IF(E11="",IF('Specification machine'!$C$191,"","X"),""),"")</f>
        <v/>
      </c>
      <c r="J11" s="14"/>
    </row>
    <row r="12" spans="2:10" ht="24.95" customHeight="1" thickBot="1">
      <c r="B12" s="15" t="s">
        <v>285</v>
      </c>
      <c r="C12" s="6" t="str">
        <f>+IF('3.4 Resistance Winding Cold'!C12&lt;&gt;0,'3.4 Resistance Winding Cold'!C12,"")</f>
        <v/>
      </c>
      <c r="D12" s="6" t="str">
        <f>+IF('3.13 Resistance Winding Hot'!C12&lt;&gt;0,'3.13 Resistance Winding Hot'!C12,"")</f>
        <v/>
      </c>
      <c r="E12" s="6" t="str">
        <f>+IF(OR(C12="",D12=""),"",((D12-C12)/D12)*($H$21+$C$21))</f>
        <v/>
      </c>
      <c r="F12" s="28">
        <f>+IF(OR($C$17="y",$C$17="Y"),'Specification machine'!C198,'Specification machine'!C197)</f>
        <v>90</v>
      </c>
      <c r="G12" s="28" t="str">
        <f t="shared" si="0"/>
        <v/>
      </c>
      <c r="H12" s="28" t="str">
        <f t="shared" si="1"/>
        <v/>
      </c>
      <c r="I12" s="28" t="str">
        <f>+IF(ISBLANK(J12),IF(E12="",IF('Specification machine'!$C$191,"","X"),""),"")</f>
        <v/>
      </c>
      <c r="J12" s="17"/>
    </row>
    <row r="13" spans="2:10">
      <c r="B13" s="19"/>
      <c r="C13" s="8"/>
      <c r="D13" s="8"/>
      <c r="E13" s="8"/>
      <c r="F13" s="8"/>
      <c r="G13" s="8"/>
      <c r="H13" s="8"/>
      <c r="I13" s="8"/>
      <c r="J13" s="9"/>
    </row>
    <row r="14" spans="2:10">
      <c r="B14" s="10"/>
      <c r="J14" s="11"/>
    </row>
    <row r="15" spans="2:10" ht="22.5">
      <c r="B15" s="10"/>
      <c r="C15" s="31" t="s">
        <v>424</v>
      </c>
      <c r="E15" t="s">
        <v>425</v>
      </c>
      <c r="J15" s="11"/>
    </row>
    <row r="16" spans="2:10" ht="18">
      <c r="B16" s="10"/>
      <c r="C16" s="35" t="s">
        <v>426</v>
      </c>
      <c r="J16" s="11"/>
    </row>
    <row r="17" spans="2:10" ht="17.25" customHeight="1">
      <c r="B17" s="10"/>
      <c r="C17" s="64" t="s">
        <v>427</v>
      </c>
      <c r="J17" s="11"/>
    </row>
    <row r="18" spans="2:10">
      <c r="B18" s="10"/>
      <c r="C18" t="s">
        <v>291</v>
      </c>
      <c r="D18" t="s">
        <v>291</v>
      </c>
      <c r="J18" s="11"/>
    </row>
    <row r="19" spans="2:10">
      <c r="B19" s="10"/>
      <c r="C19" s="31" t="s">
        <v>459</v>
      </c>
      <c r="D19" t="s">
        <v>460</v>
      </c>
      <c r="J19" s="11"/>
    </row>
    <row r="20" spans="2:10" ht="12.75">
      <c r="B20" s="10"/>
      <c r="C20" s="4" t="s">
        <v>292</v>
      </c>
      <c r="D20" s="4" t="s">
        <v>292</v>
      </c>
      <c r="F20" s="27" t="s">
        <v>289</v>
      </c>
      <c r="H20" t="s">
        <v>290</v>
      </c>
      <c r="J20" s="11"/>
    </row>
    <row r="21" spans="2:10" ht="24.95" customHeight="1">
      <c r="B21" s="10"/>
      <c r="C21" s="34">
        <f>'3.4 Resistance Winding Cold'!$C$16</f>
        <v>0</v>
      </c>
      <c r="D21" s="6">
        <f>+'3.13 Resistance Winding Hot'!C16</f>
        <v>0</v>
      </c>
      <c r="F21" s="6" t="str">
        <f>+'Specification machine'!C49</f>
        <v>Cu</v>
      </c>
      <c r="G21" s="27"/>
      <c r="H21" s="4">
        <f>+IF(F21="Cu",235,IF(F21="Al",225,"no value"))</f>
        <v>235</v>
      </c>
      <c r="J21" s="11"/>
    </row>
    <row r="22" spans="2:10" ht="12" thickBot="1">
      <c r="B22" s="20"/>
      <c r="C22" s="21"/>
      <c r="D22" s="21"/>
      <c r="E22" s="21"/>
      <c r="F22" s="21"/>
      <c r="G22" s="21"/>
      <c r="H22" s="21"/>
      <c r="I22" s="21"/>
      <c r="J22" s="22"/>
    </row>
  </sheetData>
  <sheetProtection sheet="1" objects="1" scenarios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3BE3-43AE-4937-A5E8-60A3F5B8FD1C}">
  <sheetPr>
    <pageSetUpPr fitToPage="1"/>
  </sheetPr>
  <dimension ref="A1:V31"/>
  <sheetViews>
    <sheetView showGridLines="0" view="pageLayout" topLeftCell="A6" zoomScaleNormal="100" workbookViewId="0">
      <selection activeCell="L24" sqref="L24"/>
    </sheetView>
  </sheetViews>
  <sheetFormatPr defaultColWidth="2" defaultRowHeight="11.25"/>
  <cols>
    <col min="1" max="1" width="2.25" customWidth="1"/>
    <col min="2" max="2" width="11.75" customWidth="1"/>
    <col min="3" max="3" width="10.5" customWidth="1"/>
    <col min="4" max="5" width="9.25" customWidth="1"/>
    <col min="6" max="6" width="11.75" customWidth="1"/>
    <col min="7" max="7" width="11.5" customWidth="1"/>
    <col min="8" max="9" width="9.75" customWidth="1"/>
    <col min="10" max="10" width="10.5" customWidth="1"/>
    <col min="11" max="12" width="9.75" customWidth="1"/>
    <col min="13" max="13" width="11.125" customWidth="1"/>
    <col min="14" max="14" width="9.75" customWidth="1"/>
    <col min="15" max="15" width="11.125" customWidth="1"/>
    <col min="16" max="16" width="9.75" customWidth="1"/>
    <col min="17" max="17" width="9.375" customWidth="1"/>
    <col min="18" max="21" width="9.75" customWidth="1"/>
    <col min="23" max="23" width="9.875" customWidth="1"/>
  </cols>
  <sheetData>
    <row r="1" spans="1:22" ht="14.25">
      <c r="A1" s="141"/>
      <c r="B1" s="142" t="s">
        <v>461</v>
      </c>
      <c r="C1" s="143"/>
      <c r="D1" s="143"/>
      <c r="E1" s="144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2" ht="14.25">
      <c r="A2" s="141"/>
      <c r="B2" s="145"/>
      <c r="C2" s="141"/>
      <c r="D2" s="141"/>
      <c r="E2" s="146"/>
      <c r="F2" s="141"/>
      <c r="G2" s="141"/>
      <c r="H2" s="134" t="s">
        <v>462</v>
      </c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2" ht="14.25">
      <c r="A3" s="141"/>
      <c r="B3" s="147" t="s">
        <v>164</v>
      </c>
      <c r="C3" s="147" t="s">
        <v>165</v>
      </c>
      <c r="D3" s="147" t="s">
        <v>272</v>
      </c>
      <c r="E3" s="147" t="s">
        <v>166</v>
      </c>
      <c r="F3" s="141"/>
      <c r="G3" s="141"/>
      <c r="H3" s="382" t="s">
        <v>463</v>
      </c>
      <c r="I3" s="93"/>
      <c r="J3" s="381">
        <v>0.57735026918962584</v>
      </c>
      <c r="K3" s="141" t="s">
        <v>464</v>
      </c>
      <c r="L3" s="141" t="s">
        <v>465</v>
      </c>
      <c r="N3" s="141"/>
      <c r="O3" s="141"/>
      <c r="P3" s="141"/>
      <c r="Q3" s="141"/>
      <c r="R3" s="141"/>
      <c r="S3" s="141"/>
      <c r="T3" s="141"/>
      <c r="U3" s="141"/>
    </row>
    <row r="4" spans="1:22" ht="14.25">
      <c r="A4" s="141"/>
      <c r="B4" s="148"/>
      <c r="C4" s="148"/>
      <c r="D4" s="147" t="str">
        <f>+IF(AND(B4="",C4="",E4=""),IF('Specification machine'!$C$191,"","X"),"")</f>
        <v/>
      </c>
      <c r="E4" s="148"/>
      <c r="F4" s="141"/>
      <c r="G4" s="141"/>
      <c r="H4" s="382" t="s">
        <v>466</v>
      </c>
      <c r="I4" s="93"/>
      <c r="J4" s="381">
        <v>0.57735026918962584</v>
      </c>
      <c r="K4" s="141" t="s">
        <v>464</v>
      </c>
      <c r="L4" s="141"/>
      <c r="M4" s="141"/>
      <c r="N4" s="149"/>
      <c r="O4" s="134"/>
      <c r="P4" s="141"/>
      <c r="Q4" s="141"/>
      <c r="R4" s="141"/>
      <c r="S4" s="141"/>
      <c r="T4" s="141"/>
      <c r="U4" s="141"/>
    </row>
    <row r="5" spans="1:22" ht="14.25">
      <c r="A5" s="141"/>
      <c r="B5" s="141"/>
      <c r="C5" s="141"/>
      <c r="D5" s="141"/>
      <c r="E5" s="141"/>
      <c r="F5" s="141"/>
      <c r="G5" s="141"/>
      <c r="H5" s="141"/>
      <c r="I5" s="134"/>
      <c r="J5" s="141"/>
      <c r="K5" s="141"/>
      <c r="L5" s="141"/>
      <c r="M5" s="141"/>
      <c r="N5" s="149"/>
      <c r="O5" s="134"/>
      <c r="P5" s="141"/>
      <c r="Q5" s="141"/>
      <c r="R5" s="141"/>
      <c r="S5" s="141"/>
      <c r="T5" s="141"/>
      <c r="U5" s="141"/>
    </row>
    <row r="6" spans="1:22" ht="17.25">
      <c r="A6" s="141"/>
      <c r="B6" s="134" t="s">
        <v>467</v>
      </c>
      <c r="C6" s="134"/>
      <c r="D6" s="134"/>
      <c r="E6" s="141"/>
      <c r="F6" s="149"/>
      <c r="G6" s="149"/>
      <c r="H6" s="149"/>
      <c r="I6" s="149"/>
      <c r="J6" s="149"/>
      <c r="K6" s="149"/>
      <c r="L6" s="149"/>
      <c r="M6" s="149"/>
      <c r="N6" s="141"/>
      <c r="O6" s="141"/>
      <c r="P6" s="141"/>
      <c r="Q6" s="141"/>
      <c r="R6" s="141"/>
      <c r="S6" s="141"/>
      <c r="T6" s="141"/>
      <c r="U6" s="141"/>
    </row>
    <row r="7" spans="1:22" ht="14.25">
      <c r="A7" s="141"/>
      <c r="B7" s="141" t="s">
        <v>468</v>
      </c>
      <c r="C7" s="141" t="s">
        <v>468</v>
      </c>
      <c r="D7" s="141" t="s">
        <v>52</v>
      </c>
      <c r="E7" s="141" t="s">
        <v>52</v>
      </c>
      <c r="F7" s="149"/>
      <c r="G7" s="149"/>
      <c r="H7" s="149"/>
      <c r="I7" s="149"/>
      <c r="J7" s="149"/>
      <c r="K7" s="149"/>
      <c r="L7" s="149"/>
      <c r="M7" s="149"/>
      <c r="N7" s="141"/>
      <c r="O7" s="141"/>
      <c r="P7" s="141"/>
      <c r="Q7" s="141"/>
      <c r="R7" s="141"/>
      <c r="S7" s="134" t="s">
        <v>469</v>
      </c>
      <c r="T7" s="141"/>
      <c r="U7" s="141"/>
    </row>
    <row r="8" spans="1:22" s="337" customFormat="1" ht="14.25">
      <c r="A8" s="367"/>
      <c r="B8" s="367" t="s">
        <v>470</v>
      </c>
      <c r="C8" s="367" t="s">
        <v>471</v>
      </c>
      <c r="D8" s="367" t="s">
        <v>472</v>
      </c>
      <c r="E8" s="367" t="s">
        <v>473</v>
      </c>
      <c r="F8" s="367" t="s">
        <v>474</v>
      </c>
      <c r="G8" s="367" t="s">
        <v>475</v>
      </c>
      <c r="H8" s="367" t="s">
        <v>476</v>
      </c>
      <c r="I8" s="367" t="s">
        <v>477</v>
      </c>
      <c r="J8" s="367" t="s">
        <v>478</v>
      </c>
      <c r="K8" s="367" t="s">
        <v>479</v>
      </c>
      <c r="L8" s="367" t="s">
        <v>480</v>
      </c>
      <c r="M8" s="367" t="s">
        <v>481</v>
      </c>
      <c r="N8" s="367" t="s">
        <v>482</v>
      </c>
      <c r="O8" s="367" t="s">
        <v>483</v>
      </c>
      <c r="P8" s="367" t="s">
        <v>484</v>
      </c>
      <c r="Q8" s="367" t="s">
        <v>485</v>
      </c>
      <c r="R8" s="367" t="s">
        <v>486</v>
      </c>
      <c r="S8" s="367" t="s">
        <v>487</v>
      </c>
      <c r="T8" s="367" t="s">
        <v>488</v>
      </c>
      <c r="U8" s="367" t="s">
        <v>489</v>
      </c>
    </row>
    <row r="9" spans="1:22" ht="22.5" customHeight="1">
      <c r="A9" s="141"/>
      <c r="B9" s="135">
        <f>'Settings (no)load'!F8</f>
        <v>25</v>
      </c>
      <c r="C9" s="135">
        <f>'Settings (no)load'!G8</f>
        <v>141.67273870750972</v>
      </c>
      <c r="D9" s="135">
        <f>'Settings (no)load'!H8</f>
        <v>0</v>
      </c>
      <c r="E9" s="135">
        <f>'Settings (no)load'!I8</f>
        <v>79</v>
      </c>
      <c r="F9" s="136"/>
      <c r="G9" s="136"/>
      <c r="H9" s="136"/>
      <c r="I9" s="136"/>
      <c r="J9" s="136"/>
      <c r="K9" s="136"/>
      <c r="L9" s="377"/>
      <c r="M9" s="377"/>
      <c r="N9" s="377"/>
      <c r="O9" s="136"/>
      <c r="P9" s="136"/>
      <c r="Q9" s="136"/>
      <c r="R9" s="137">
        <f>+O9+P9+Q9</f>
        <v>0</v>
      </c>
      <c r="S9" s="137" t="str">
        <f t="shared" ref="S9:S11" si="0">+IF(ISBLANK(O9),"",((O9-(($J$3*F9*I9*L9)/1000))/O9)*100)</f>
        <v/>
      </c>
      <c r="T9" s="137" t="str">
        <f t="shared" ref="T9:T11" si="1">+IF(ISBLANK(P9),"",((P9-(($J$3*G9*J9*M9)/1000))/P9)*100)</f>
        <v/>
      </c>
      <c r="U9" s="137" t="str">
        <f t="shared" ref="U9:U11" si="2">+IF(ISBLANK(Q9),"",((Q9-(($J$3*H9*K9*N9)/1000))/Q9)*100)</f>
        <v/>
      </c>
      <c r="V9" s="1"/>
    </row>
    <row r="10" spans="1:22" ht="22.5" customHeight="1">
      <c r="A10" s="141"/>
      <c r="B10" s="135">
        <f>'Settings (no)load'!F9</f>
        <v>50</v>
      </c>
      <c r="C10" s="135">
        <f>'Settings (no)load'!G9</f>
        <v>283.34547741501945</v>
      </c>
      <c r="D10" s="135">
        <f>'Settings (no)load'!H9</f>
        <v>0</v>
      </c>
      <c r="E10" s="135">
        <f>'Settings (no)load'!I9</f>
        <v>79</v>
      </c>
      <c r="F10" s="136"/>
      <c r="G10" s="136"/>
      <c r="H10" s="136"/>
      <c r="I10" s="136"/>
      <c r="J10" s="136"/>
      <c r="K10" s="136"/>
      <c r="L10" s="377"/>
      <c r="M10" s="377"/>
      <c r="N10" s="377"/>
      <c r="O10" s="136"/>
      <c r="P10" s="136"/>
      <c r="Q10" s="136"/>
      <c r="R10" s="137">
        <f t="shared" ref="R10:R13" si="3">+O10+P10+Q10</f>
        <v>0</v>
      </c>
      <c r="S10" s="137" t="str">
        <f t="shared" si="0"/>
        <v/>
      </c>
      <c r="T10" s="137" t="str">
        <f t="shared" si="1"/>
        <v/>
      </c>
      <c r="U10" s="137" t="str">
        <f t="shared" si="2"/>
        <v/>
      </c>
      <c r="V10" s="1"/>
    </row>
    <row r="11" spans="1:22" ht="22.5" customHeight="1">
      <c r="A11" s="141"/>
      <c r="B11" s="135">
        <f>'Settings (no)load'!F10</f>
        <v>75</v>
      </c>
      <c r="C11" s="135">
        <f>'Settings (no)load'!G10</f>
        <v>425.01821612252917</v>
      </c>
      <c r="D11" s="135">
        <f>'Settings (no)load'!H10</f>
        <v>0</v>
      </c>
      <c r="E11" s="135">
        <f>'Settings (no)load'!I10</f>
        <v>79</v>
      </c>
      <c r="F11" s="136"/>
      <c r="G11" s="136"/>
      <c r="H11" s="136"/>
      <c r="I11" s="136"/>
      <c r="J11" s="136"/>
      <c r="K11" s="136"/>
      <c r="L11" s="377"/>
      <c r="M11" s="377"/>
      <c r="N11" s="377"/>
      <c r="O11" s="136"/>
      <c r="P11" s="136"/>
      <c r="Q11" s="136"/>
      <c r="R11" s="137">
        <f t="shared" si="3"/>
        <v>0</v>
      </c>
      <c r="S11" s="137" t="str">
        <f t="shared" si="0"/>
        <v/>
      </c>
      <c r="T11" s="137" t="str">
        <f t="shared" si="1"/>
        <v/>
      </c>
      <c r="U11" s="137" t="str">
        <f t="shared" si="2"/>
        <v/>
      </c>
    </row>
    <row r="12" spans="1:22" ht="22.5" customHeight="1">
      <c r="A12" s="141"/>
      <c r="B12" s="135">
        <f>'Settings (no)load'!F11</f>
        <v>100</v>
      </c>
      <c r="C12" s="135">
        <f>'Settings (no)load'!G11</f>
        <v>566.69095483003889</v>
      </c>
      <c r="D12" s="135">
        <f>'Settings (no)load'!H11</f>
        <v>0</v>
      </c>
      <c r="E12" s="135">
        <f>'Settings (no)load'!I11</f>
        <v>79</v>
      </c>
      <c r="F12" s="136"/>
      <c r="G12" s="136"/>
      <c r="H12" s="136"/>
      <c r="I12" s="136"/>
      <c r="J12" s="136"/>
      <c r="K12" s="136"/>
      <c r="L12" s="377"/>
      <c r="M12" s="377"/>
      <c r="N12" s="377"/>
      <c r="O12" s="136"/>
      <c r="P12" s="136"/>
      <c r="Q12" s="136"/>
      <c r="R12" s="137">
        <f t="shared" si="3"/>
        <v>0</v>
      </c>
      <c r="S12" s="137" t="str">
        <f>+IF(ISBLANK(O12),"",((O12-(($J$3*F12*I12*L12)/1000))/O12)*100)</f>
        <v/>
      </c>
      <c r="T12" s="137" t="str">
        <f t="shared" ref="T12:U12" si="4">+IF(ISBLANK(P12),"",((P12-(($J$3*G12*J12*M12)/1000))/P12)*100)</f>
        <v/>
      </c>
      <c r="U12" s="137" t="str">
        <f t="shared" si="4"/>
        <v/>
      </c>
    </row>
    <row r="13" spans="1:22" ht="22.5" customHeight="1">
      <c r="A13" s="141"/>
      <c r="B13" s="135">
        <f>'Settings (no)load'!F12</f>
        <v>110</v>
      </c>
      <c r="C13" s="135">
        <f>'Settings (no)load'!G12</f>
        <v>623.36005031304285</v>
      </c>
      <c r="D13" s="135">
        <f>'Settings (no)load'!H12</f>
        <v>0</v>
      </c>
      <c r="E13" s="135">
        <f>'Settings (no)load'!I12</f>
        <v>79</v>
      </c>
      <c r="F13" s="136"/>
      <c r="G13" s="136"/>
      <c r="H13" s="136"/>
      <c r="I13" s="136"/>
      <c r="J13" s="136"/>
      <c r="K13" s="136"/>
      <c r="L13" s="377"/>
      <c r="M13" s="377"/>
      <c r="N13" s="377"/>
      <c r="O13" s="136"/>
      <c r="P13" s="136"/>
      <c r="Q13" s="136"/>
      <c r="R13" s="137">
        <f t="shared" si="3"/>
        <v>0</v>
      </c>
      <c r="S13" s="137" t="str">
        <f>+IF(ISBLANK(O13),"",((O13-(($J$3*F13*I13*L13)/1000))/O13)*100)</f>
        <v/>
      </c>
      <c r="T13" s="137" t="str">
        <f t="shared" ref="T13" si="5">+IF(ISBLANK(P13),"",((P13-(($J$3*G13*J13*M13)/1000))/P13)*100)</f>
        <v/>
      </c>
      <c r="U13" s="137" t="str">
        <f t="shared" ref="U13" si="6">+IF(ISBLANK(Q13),"",((Q13-(($J$3*H13*K13*N13)/1000))/Q13)*100)</f>
        <v/>
      </c>
    </row>
    <row r="14" spans="1:22" ht="14.25">
      <c r="A14" s="141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1"/>
      <c r="P14" s="141"/>
      <c r="Q14" s="141"/>
      <c r="R14" s="141"/>
      <c r="S14" s="141"/>
      <c r="T14" s="141"/>
      <c r="U14" s="141"/>
    </row>
    <row r="15" spans="1:22" ht="17.25">
      <c r="A15" s="141"/>
      <c r="B15" s="134" t="s">
        <v>490</v>
      </c>
      <c r="C15" s="134"/>
      <c r="D15" s="134"/>
      <c r="E15" s="150"/>
      <c r="F15" s="149"/>
      <c r="G15" s="149"/>
      <c r="H15" s="149"/>
      <c r="I15" s="149"/>
      <c r="J15" s="149"/>
      <c r="K15" s="149"/>
      <c r="L15" s="149"/>
      <c r="M15" s="149"/>
      <c r="N15" s="141"/>
      <c r="O15" s="141"/>
      <c r="P15" s="141"/>
      <c r="Q15" s="141"/>
      <c r="R15" s="141"/>
      <c r="S15" s="134"/>
      <c r="T15" s="141"/>
      <c r="U15" s="141"/>
    </row>
    <row r="16" spans="1:22" ht="14.25">
      <c r="A16" s="141"/>
      <c r="B16" s="141" t="s">
        <v>468</v>
      </c>
      <c r="C16" s="141" t="s">
        <v>468</v>
      </c>
      <c r="D16" s="141" t="s">
        <v>52</v>
      </c>
      <c r="E16" s="141" t="s">
        <v>52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9"/>
      <c r="R16" s="149"/>
      <c r="S16" s="134" t="s">
        <v>469</v>
      </c>
      <c r="T16" s="141"/>
      <c r="U16" s="141"/>
    </row>
    <row r="17" spans="1:22" ht="14.25">
      <c r="A17" s="141"/>
      <c r="B17" s="367" t="s">
        <v>470</v>
      </c>
      <c r="C17" s="367" t="s">
        <v>471</v>
      </c>
      <c r="D17" s="367" t="s">
        <v>472</v>
      </c>
      <c r="E17" s="367" t="s">
        <v>473</v>
      </c>
      <c r="F17" s="367" t="s">
        <v>491</v>
      </c>
      <c r="G17" s="367" t="s">
        <v>492</v>
      </c>
      <c r="H17" s="367" t="s">
        <v>493</v>
      </c>
      <c r="I17" s="367" t="s">
        <v>494</v>
      </c>
      <c r="J17" s="367" t="s">
        <v>495</v>
      </c>
      <c r="K17" s="367" t="s">
        <v>496</v>
      </c>
      <c r="L17" s="367" t="s">
        <v>497</v>
      </c>
      <c r="M17" s="367" t="s">
        <v>498</v>
      </c>
      <c r="N17" s="367" t="s">
        <v>499</v>
      </c>
      <c r="O17" s="367" t="s">
        <v>500</v>
      </c>
      <c r="P17" s="367" t="s">
        <v>501</v>
      </c>
      <c r="Q17" s="367" t="s">
        <v>502</v>
      </c>
      <c r="R17" s="367" t="s">
        <v>486</v>
      </c>
      <c r="S17" s="367" t="s">
        <v>487</v>
      </c>
      <c r="T17" s="367" t="s">
        <v>488</v>
      </c>
      <c r="U17" s="367" t="s">
        <v>489</v>
      </c>
    </row>
    <row r="18" spans="1:22" ht="22.5" customHeight="1">
      <c r="A18" s="141"/>
      <c r="B18" s="135">
        <f t="shared" ref="B18" si="7">+B9</f>
        <v>25</v>
      </c>
      <c r="C18" s="135">
        <f t="shared" ref="C18:E22" si="8">+C9</f>
        <v>141.67273870750972</v>
      </c>
      <c r="D18" s="137">
        <f t="shared" si="8"/>
        <v>0</v>
      </c>
      <c r="E18" s="135">
        <f t="shared" si="8"/>
        <v>79</v>
      </c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7">
        <f>+O18+P18+Q18</f>
        <v>0</v>
      </c>
      <c r="S18" s="137" t="str">
        <f>+IF(ISBLANK(O18),"",((O18-(($J$4*F18*I18*L18)/1000))/O18)*100)</f>
        <v/>
      </c>
      <c r="T18" s="137" t="str">
        <f>+IF(ISBLANK(P18),"",((P18-(($J$4*G18*J18*M18)/1000))/P18)*100)</f>
        <v/>
      </c>
      <c r="U18" s="137" t="str">
        <f>+IF(ISBLANK(Q18),"",((Q18-(($J$4*H18*K18*N18)/1000))/Q18)*100)</f>
        <v/>
      </c>
      <c r="V18" s="1"/>
    </row>
    <row r="19" spans="1:22" ht="22.5" customHeight="1">
      <c r="A19" s="141"/>
      <c r="B19" s="135">
        <f t="shared" ref="B19" si="9">+B10</f>
        <v>50</v>
      </c>
      <c r="C19" s="135">
        <f t="shared" si="8"/>
        <v>283.34547741501945</v>
      </c>
      <c r="D19" s="137">
        <f t="shared" si="8"/>
        <v>0</v>
      </c>
      <c r="E19" s="135">
        <f t="shared" si="8"/>
        <v>79</v>
      </c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7">
        <f t="shared" ref="R19:R22" si="10">+O19+P19+Q19</f>
        <v>0</v>
      </c>
      <c r="S19" s="137" t="str">
        <f t="shared" ref="S19:S22" si="11">+IF(ISBLANK(O19),"",((O19-(($J$4*F19*I19*L19)/1000))/O19)*100)</f>
        <v/>
      </c>
      <c r="T19" s="137" t="str">
        <f t="shared" ref="T19:T22" si="12">+IF(ISBLANK(P19),"",((P19-(($J$4*G19*J19*M19)/1000))/P19)*100)</f>
        <v/>
      </c>
      <c r="U19" s="137" t="str">
        <f t="shared" ref="U19:U22" si="13">+IF(ISBLANK(Q19),"",((Q19-(($J$4*H19*K19*N19)/1000))/Q19)*100)</f>
        <v/>
      </c>
      <c r="V19" s="1"/>
    </row>
    <row r="20" spans="1:22" ht="22.5" customHeight="1">
      <c r="A20" s="141"/>
      <c r="B20" s="135">
        <f t="shared" ref="B20" si="14">+B11</f>
        <v>75</v>
      </c>
      <c r="C20" s="135">
        <f t="shared" si="8"/>
        <v>425.01821612252917</v>
      </c>
      <c r="D20" s="137">
        <f t="shared" si="8"/>
        <v>0</v>
      </c>
      <c r="E20" s="135">
        <f t="shared" si="8"/>
        <v>79</v>
      </c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7">
        <f t="shared" si="10"/>
        <v>0</v>
      </c>
      <c r="S20" s="137" t="str">
        <f t="shared" si="11"/>
        <v/>
      </c>
      <c r="T20" s="137" t="str">
        <f t="shared" si="12"/>
        <v/>
      </c>
      <c r="U20" s="137" t="str">
        <f t="shared" si="13"/>
        <v/>
      </c>
      <c r="V20" s="1"/>
    </row>
    <row r="21" spans="1:22" ht="22.5" customHeight="1">
      <c r="A21" s="141"/>
      <c r="B21" s="135">
        <f t="shared" ref="B21" si="15">+B12</f>
        <v>100</v>
      </c>
      <c r="C21" s="135">
        <f t="shared" si="8"/>
        <v>566.69095483003889</v>
      </c>
      <c r="D21" s="137">
        <f t="shared" si="8"/>
        <v>0</v>
      </c>
      <c r="E21" s="135">
        <f t="shared" si="8"/>
        <v>79</v>
      </c>
      <c r="F21" s="136"/>
      <c r="G21" s="136"/>
      <c r="H21" s="136"/>
      <c r="I21" s="136"/>
      <c r="J21" s="136"/>
      <c r="K21" s="136"/>
      <c r="L21" s="377"/>
      <c r="M21" s="377"/>
      <c r="N21" s="377"/>
      <c r="O21" s="136"/>
      <c r="P21" s="136"/>
      <c r="Q21" s="136"/>
      <c r="R21" s="137">
        <f t="shared" si="10"/>
        <v>0</v>
      </c>
      <c r="S21" s="137" t="str">
        <f t="shared" si="11"/>
        <v/>
      </c>
      <c r="T21" s="137" t="str">
        <f t="shared" si="12"/>
        <v/>
      </c>
      <c r="U21" s="137" t="str">
        <f t="shared" si="13"/>
        <v/>
      </c>
    </row>
    <row r="22" spans="1:22" ht="22.5" customHeight="1">
      <c r="A22" s="141"/>
      <c r="B22" s="135">
        <f t="shared" ref="B22" si="16">+B13</f>
        <v>110</v>
      </c>
      <c r="C22" s="135">
        <f t="shared" si="8"/>
        <v>623.36005031304285</v>
      </c>
      <c r="D22" s="137">
        <f t="shared" si="8"/>
        <v>0</v>
      </c>
      <c r="E22" s="135">
        <f t="shared" si="8"/>
        <v>79</v>
      </c>
      <c r="F22" s="136"/>
      <c r="G22" s="136"/>
      <c r="H22" s="136"/>
      <c r="I22" s="136"/>
      <c r="J22" s="136"/>
      <c r="K22" s="136"/>
      <c r="L22" s="377"/>
      <c r="M22" s="377"/>
      <c r="N22" s="377"/>
      <c r="O22" s="136"/>
      <c r="P22" s="136"/>
      <c r="Q22" s="136"/>
      <c r="R22" s="137">
        <f t="shared" si="10"/>
        <v>0</v>
      </c>
      <c r="S22" s="137" t="str">
        <f t="shared" si="11"/>
        <v/>
      </c>
      <c r="T22" s="137" t="str">
        <f t="shared" si="12"/>
        <v/>
      </c>
      <c r="U22" s="137" t="str">
        <f t="shared" si="13"/>
        <v/>
      </c>
    </row>
    <row r="23" spans="1:22" ht="14.25">
      <c r="A23" s="141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1"/>
      <c r="P23" s="141"/>
      <c r="Q23" s="141"/>
      <c r="R23" s="141"/>
      <c r="S23" s="141"/>
      <c r="T23" s="141"/>
      <c r="U23" s="141"/>
    </row>
    <row r="24" spans="1:22" ht="17.25">
      <c r="A24" s="141"/>
      <c r="B24" s="134" t="s">
        <v>503</v>
      </c>
      <c r="C24" s="134"/>
      <c r="D24" s="134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9"/>
      <c r="R24" s="149"/>
      <c r="S24" s="141"/>
      <c r="T24" s="141"/>
      <c r="U24" s="141"/>
    </row>
    <row r="25" spans="1:22" ht="14.25">
      <c r="A25" s="141"/>
      <c r="B25" s="141" t="s">
        <v>468</v>
      </c>
      <c r="C25" s="141" t="s">
        <v>468</v>
      </c>
      <c r="D25" s="141" t="s">
        <v>52</v>
      </c>
      <c r="E25" s="141" t="s">
        <v>52</v>
      </c>
      <c r="F25" s="141" t="s">
        <v>162</v>
      </c>
      <c r="G25" s="141" t="s">
        <v>392</v>
      </c>
      <c r="H25" s="141" t="s">
        <v>392</v>
      </c>
      <c r="I25" s="141" t="s">
        <v>504</v>
      </c>
      <c r="J25" s="141" t="s">
        <v>504</v>
      </c>
      <c r="K25" s="141" t="s">
        <v>504</v>
      </c>
      <c r="L25" s="141" t="s">
        <v>504</v>
      </c>
      <c r="M25" s="141" t="s">
        <v>162</v>
      </c>
      <c r="N25" s="141"/>
      <c r="O25" s="141"/>
      <c r="P25" s="141"/>
      <c r="Q25" s="149"/>
      <c r="R25" s="149"/>
      <c r="S25" s="134" t="s">
        <v>505</v>
      </c>
      <c r="T25" s="141"/>
      <c r="U25" s="141"/>
    </row>
    <row r="26" spans="1:22" ht="14.25">
      <c r="A26" s="141"/>
      <c r="B26" s="367" t="s">
        <v>470</v>
      </c>
      <c r="C26" s="367" t="s">
        <v>471</v>
      </c>
      <c r="D26" s="367" t="s">
        <v>472</v>
      </c>
      <c r="E26" s="367" t="s">
        <v>473</v>
      </c>
      <c r="F26" s="367" t="s">
        <v>506</v>
      </c>
      <c r="G26" s="367" t="s">
        <v>507</v>
      </c>
      <c r="H26" s="367" t="s">
        <v>508</v>
      </c>
      <c r="I26" s="367" t="s">
        <v>509</v>
      </c>
      <c r="J26" s="367" t="s">
        <v>510</v>
      </c>
      <c r="K26" s="367" t="s">
        <v>511</v>
      </c>
      <c r="L26" s="368" t="s">
        <v>512</v>
      </c>
      <c r="M26" s="368" t="s">
        <v>513</v>
      </c>
      <c r="N26" s="367" t="s">
        <v>176</v>
      </c>
      <c r="O26" s="367" t="s">
        <v>514</v>
      </c>
      <c r="P26" s="367" t="s">
        <v>515</v>
      </c>
      <c r="Q26" s="367" t="s">
        <v>516</v>
      </c>
      <c r="R26" s="368" t="s">
        <v>1030</v>
      </c>
      <c r="S26" s="367" t="s">
        <v>494</v>
      </c>
      <c r="T26" s="367" t="s">
        <v>495</v>
      </c>
      <c r="U26" s="367" t="s">
        <v>496</v>
      </c>
    </row>
    <row r="27" spans="1:22" ht="22.5" customHeight="1">
      <c r="A27" s="141"/>
      <c r="B27" s="135">
        <f>+B18</f>
        <v>25</v>
      </c>
      <c r="C27" s="135">
        <f>+C18</f>
        <v>141.67273870750972</v>
      </c>
      <c r="D27" s="137">
        <f>+D18</f>
        <v>0</v>
      </c>
      <c r="E27" s="135">
        <f>+E9</f>
        <v>79</v>
      </c>
      <c r="F27" s="411">
        <f>'Settings (no)load'!K8</f>
        <v>17125</v>
      </c>
      <c r="G27" s="138"/>
      <c r="H27" s="136"/>
      <c r="I27" s="137">
        <f t="shared" ref="I27:I29" si="17">+H27*2*PI()/60</f>
        <v>0</v>
      </c>
      <c r="J27" s="137">
        <f t="shared" ref="J27:J29" si="18">+G27*I27/1000</f>
        <v>0</v>
      </c>
      <c r="K27" s="137">
        <f>+SUM(O18:Q18)</f>
        <v>0</v>
      </c>
      <c r="L27" s="137">
        <f>+IF(K27=0,0,J27/K27*100)</f>
        <v>0</v>
      </c>
      <c r="M27" s="137">
        <f>'Settings (no)load'!M8</f>
        <v>91</v>
      </c>
      <c r="N27" s="137" t="str">
        <f>+IF(L27&gt;=M27,"pass","fail")</f>
        <v>fail</v>
      </c>
      <c r="O27" s="137" t="str">
        <f>+IF(J27&gt;=('Settings (no)load'!$C$18*($B27/100)),"pass","fail")</f>
        <v>fail</v>
      </c>
      <c r="P27" s="139" t="str">
        <f>+IF(G27&gt;=F27,"pass","fail")</f>
        <v>fail</v>
      </c>
      <c r="Q27" s="411">
        <f>+'Settings (no)load'!$B$9*($B27/100)</f>
        <v>0</v>
      </c>
      <c r="R27" s="137" t="str" cm="1">
        <f t="array" ref="R27">+IF(OR((ISBLANK(O9:Q9)),(ISBLANK(O18:Q18))),"",(SUM(O18:Q18)/SUM(O9:Q9))*100)</f>
        <v/>
      </c>
      <c r="S27" s="140" t="e">
        <f>+(I18-Q27)/Q27*100</f>
        <v>#DIV/0!</v>
      </c>
      <c r="T27" s="140" t="e">
        <f>+(J18-Q27)/Q27*100</f>
        <v>#DIV/0!</v>
      </c>
      <c r="U27" s="140" t="e">
        <f>+(K18-Q27)/Q27*100</f>
        <v>#DIV/0!</v>
      </c>
      <c r="V27" s="1"/>
    </row>
    <row r="28" spans="1:22" ht="22.5" customHeight="1">
      <c r="A28" s="141"/>
      <c r="B28" s="135">
        <f t="shared" ref="B28:D28" si="19">+B19</f>
        <v>50</v>
      </c>
      <c r="C28" s="135">
        <f t="shared" si="19"/>
        <v>283.34547741501945</v>
      </c>
      <c r="D28" s="137">
        <f t="shared" si="19"/>
        <v>0</v>
      </c>
      <c r="E28" s="135">
        <f t="shared" ref="E28:E31" si="20">+E10</f>
        <v>79</v>
      </c>
      <c r="F28" s="411">
        <f>'Settings (no)load'!K9</f>
        <v>34250</v>
      </c>
      <c r="G28" s="138"/>
      <c r="H28" s="136"/>
      <c r="I28" s="137">
        <f t="shared" si="17"/>
        <v>0</v>
      </c>
      <c r="J28" s="137">
        <f t="shared" si="18"/>
        <v>0</v>
      </c>
      <c r="K28" s="137">
        <f t="shared" ref="K28:K31" si="21">+SUM(O19:Q19)</f>
        <v>0</v>
      </c>
      <c r="L28" s="137">
        <f t="shared" ref="L28:L31" si="22">+IF(K28=0,0,J28/K28*100)</f>
        <v>0</v>
      </c>
      <c r="M28" s="137">
        <f>'Settings (no)load'!M9</f>
        <v>92</v>
      </c>
      <c r="N28" s="137" t="str">
        <f t="shared" ref="N28:N31" si="23">+IF(L28&gt;=M28,"pass","fail")</f>
        <v>fail</v>
      </c>
      <c r="O28" s="137" t="str">
        <f>+IF(J28&gt;=('Settings (no)load'!$C$18*($B28/100)),"pass","fail")</f>
        <v>fail</v>
      </c>
      <c r="P28" s="139" t="str">
        <f t="shared" ref="P28:P31" si="24">+IF(G28&gt;=F28,"pass","fail")</f>
        <v>fail</v>
      </c>
      <c r="Q28" s="411">
        <f>+'Settings (no)load'!$B$9*($B28/100)</f>
        <v>0</v>
      </c>
      <c r="R28" s="137" t="str" cm="1">
        <f t="array" ref="R28">+IF(OR((ISBLANK(O10:Q10)),(ISBLANK(O19:Q19))),"",(SUM(O19:Q19)/SUM(O10:Q10))*100)</f>
        <v/>
      </c>
      <c r="S28" s="140" t="e">
        <f>+(I19-Q28)/Q28*100</f>
        <v>#DIV/0!</v>
      </c>
      <c r="T28" s="140" t="e">
        <f>+(J19-Q28)/Q28*100</f>
        <v>#DIV/0!</v>
      </c>
      <c r="U28" s="140" t="e">
        <f>+(K19-Q28)/Q28*100</f>
        <v>#DIV/0!</v>
      </c>
      <c r="V28" s="1"/>
    </row>
    <row r="29" spans="1:22" ht="22.5" customHeight="1">
      <c r="A29" s="141"/>
      <c r="B29" s="135">
        <f t="shared" ref="B29:D29" si="25">+B20</f>
        <v>75</v>
      </c>
      <c r="C29" s="135">
        <f t="shared" si="25"/>
        <v>425.01821612252917</v>
      </c>
      <c r="D29" s="137">
        <f t="shared" si="25"/>
        <v>0</v>
      </c>
      <c r="E29" s="135">
        <f t="shared" si="20"/>
        <v>79</v>
      </c>
      <c r="F29" s="411">
        <f>'Settings (no)load'!K10</f>
        <v>51375</v>
      </c>
      <c r="G29" s="138"/>
      <c r="H29" s="136"/>
      <c r="I29" s="137">
        <f t="shared" si="17"/>
        <v>0</v>
      </c>
      <c r="J29" s="137">
        <f t="shared" si="18"/>
        <v>0</v>
      </c>
      <c r="K29" s="137">
        <f t="shared" si="21"/>
        <v>0</v>
      </c>
      <c r="L29" s="137">
        <f t="shared" si="22"/>
        <v>0</v>
      </c>
      <c r="M29" s="137">
        <f>'Settings (no)load'!M10</f>
        <v>93</v>
      </c>
      <c r="N29" s="137" t="str">
        <f t="shared" si="23"/>
        <v>fail</v>
      </c>
      <c r="O29" s="137" t="str">
        <f>+IF(J29&gt;=('Settings (no)load'!$C$18*($B29/100)),"pass","fail")</f>
        <v>fail</v>
      </c>
      <c r="P29" s="139" t="str">
        <f t="shared" si="24"/>
        <v>fail</v>
      </c>
      <c r="Q29" s="411">
        <f>+'Settings (no)load'!$B$9*($B29/100)</f>
        <v>0</v>
      </c>
      <c r="R29" s="137" t="str" cm="1">
        <f t="array" ref="R29">+IF(OR((ISBLANK(O11:Q11)),(ISBLANK(O20:Q20))),"",(SUM(O20:Q20)/SUM(O11:Q11))*100)</f>
        <v/>
      </c>
      <c r="S29" s="140" t="e">
        <f>+(I20-Q29)/Q29*100</f>
        <v>#DIV/0!</v>
      </c>
      <c r="T29" s="140" t="e">
        <f>+(J20-Q29)/Q29*100</f>
        <v>#DIV/0!</v>
      </c>
      <c r="U29" s="140" t="e">
        <f>+(K20-Q29)/Q29*100</f>
        <v>#DIV/0!</v>
      </c>
      <c r="V29" s="1"/>
    </row>
    <row r="30" spans="1:22" ht="22.5" customHeight="1">
      <c r="A30" s="141"/>
      <c r="B30" s="135">
        <f t="shared" ref="B30:D30" si="26">+B21</f>
        <v>100</v>
      </c>
      <c r="C30" s="135">
        <f t="shared" si="26"/>
        <v>566.69095483003889</v>
      </c>
      <c r="D30" s="137">
        <f t="shared" si="26"/>
        <v>0</v>
      </c>
      <c r="E30" s="135">
        <f t="shared" si="20"/>
        <v>79</v>
      </c>
      <c r="F30" s="411">
        <f>'Settings (no)load'!K11</f>
        <v>68500</v>
      </c>
      <c r="G30" s="138"/>
      <c r="H30" s="136"/>
      <c r="I30" s="137">
        <f>+H30*2*PI()/60</f>
        <v>0</v>
      </c>
      <c r="J30" s="137">
        <f>+G30*I30/1000</f>
        <v>0</v>
      </c>
      <c r="K30" s="137">
        <f>+SUM(O21:Q21)</f>
        <v>0</v>
      </c>
      <c r="L30" s="137">
        <f t="shared" si="22"/>
        <v>0</v>
      </c>
      <c r="M30" s="137">
        <f>'Settings (no)load'!M11</f>
        <v>94</v>
      </c>
      <c r="N30" s="137" t="str">
        <f t="shared" si="23"/>
        <v>fail</v>
      </c>
      <c r="O30" s="137" t="str">
        <f>+IF(J30&gt;=('Settings (no)load'!$C$18*($B30/100)),"pass","fail")</f>
        <v>fail</v>
      </c>
      <c r="P30" s="139" t="str">
        <f t="shared" si="24"/>
        <v>fail</v>
      </c>
      <c r="Q30" s="411">
        <f>+'Settings (no)load'!$B$9*($B30/100)</f>
        <v>0</v>
      </c>
      <c r="R30" s="137" t="str" cm="1">
        <f t="array" ref="R30">+IF(OR((ISBLANK(O12:Q12)),(ISBLANK(O21:Q21))),"",(SUM(O21:Q21)/SUM(O12:Q12))*100)</f>
        <v/>
      </c>
      <c r="S30" s="140" t="e">
        <f t="shared" ref="S30" si="27">+(I21-Q30)/Q30*100</f>
        <v>#DIV/0!</v>
      </c>
      <c r="T30" s="140" t="e">
        <f t="shared" ref="T30" si="28">+(J21-Q30)/Q30*100</f>
        <v>#DIV/0!</v>
      </c>
      <c r="U30" s="140" t="e">
        <f t="shared" ref="U30" si="29">+(K21-Q30)/Q30*100</f>
        <v>#DIV/0!</v>
      </c>
    </row>
    <row r="31" spans="1:22" ht="22.5" customHeight="1">
      <c r="A31" s="141"/>
      <c r="B31" s="135">
        <f t="shared" ref="B31:D31" si="30">+B22</f>
        <v>110</v>
      </c>
      <c r="C31" s="135">
        <f t="shared" si="30"/>
        <v>623.36005031304285</v>
      </c>
      <c r="D31" s="137">
        <f t="shared" si="30"/>
        <v>0</v>
      </c>
      <c r="E31" s="135">
        <f t="shared" si="20"/>
        <v>79</v>
      </c>
      <c r="F31" s="411">
        <f>'Settings (no)load'!K12</f>
        <v>75350</v>
      </c>
      <c r="G31" s="138"/>
      <c r="H31" s="136"/>
      <c r="I31" s="137">
        <f>+H31*2*PI()/60</f>
        <v>0</v>
      </c>
      <c r="J31" s="137">
        <f>+G31*I31/1000</f>
        <v>0</v>
      </c>
      <c r="K31" s="137">
        <f t="shared" si="21"/>
        <v>0</v>
      </c>
      <c r="L31" s="137">
        <f t="shared" si="22"/>
        <v>0</v>
      </c>
      <c r="M31" s="137">
        <f>'Settings (no)load'!M12</f>
        <v>93</v>
      </c>
      <c r="N31" s="137" t="str">
        <f t="shared" si="23"/>
        <v>fail</v>
      </c>
      <c r="O31" s="137" t="str">
        <f>+IF(J31&gt;=('Settings (no)load'!$C$18*($B31/100)),"pass","fail")</f>
        <v>fail</v>
      </c>
      <c r="P31" s="139" t="str">
        <f t="shared" si="24"/>
        <v>fail</v>
      </c>
      <c r="Q31" s="411">
        <f>+'Settings (no)load'!$B$9*($B31/100)</f>
        <v>0</v>
      </c>
      <c r="R31" s="137" t="str" cm="1">
        <f t="array" ref="R31">+IF(OR((ISBLANK(O13:Q13)),(ISBLANK(O22:Q22))),"",(SUM(O22:Q22)/SUM(O13:Q13))*100)</f>
        <v/>
      </c>
      <c r="S31" s="140" t="e">
        <f>+(I22-Q31)/Q31*100</f>
        <v>#DIV/0!</v>
      </c>
      <c r="T31" s="140" t="e">
        <f>+(J22-Q31)/Q31*100</f>
        <v>#DIV/0!</v>
      </c>
      <c r="U31" s="140" t="e">
        <f>+(K22-Q31)/Q31*100</f>
        <v>#DIV/0!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B9152-F7A1-41DA-9C79-0E4A51F75AAA}">
  <sheetPr>
    <pageSetUpPr fitToPage="1"/>
  </sheetPr>
  <dimension ref="A1:V32"/>
  <sheetViews>
    <sheetView showGridLines="0" view="pageLayout" topLeftCell="A10" zoomScaleNormal="100" workbookViewId="0">
      <selection activeCell="B38" sqref="B38"/>
    </sheetView>
  </sheetViews>
  <sheetFormatPr defaultColWidth="3" defaultRowHeight="11.25"/>
  <cols>
    <col min="1" max="1" width="1.25" customWidth="1"/>
    <col min="2" max="2" width="12" customWidth="1"/>
    <col min="3" max="3" width="11.125" customWidth="1"/>
    <col min="4" max="5" width="9.25" customWidth="1"/>
    <col min="6" max="6" width="12.25" customWidth="1"/>
    <col min="7" max="7" width="12" customWidth="1"/>
    <col min="8" max="9" width="9.75" customWidth="1"/>
    <col min="10" max="10" width="10.625" customWidth="1"/>
    <col min="11" max="12" width="9.75" customWidth="1"/>
    <col min="13" max="13" width="10.375" customWidth="1"/>
    <col min="14" max="21" width="9.75" customWidth="1"/>
    <col min="23" max="23" width="11.875" customWidth="1"/>
  </cols>
  <sheetData>
    <row r="1" spans="1:22" ht="14.25">
      <c r="A1" s="141"/>
      <c r="B1" s="142" t="s">
        <v>517</v>
      </c>
      <c r="C1" s="143"/>
      <c r="D1" s="143"/>
      <c r="E1" s="144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</row>
    <row r="2" spans="1:22" ht="14.25">
      <c r="A2" s="141"/>
      <c r="B2" s="145"/>
      <c r="C2" s="141"/>
      <c r="D2" s="141"/>
      <c r="E2" s="146"/>
      <c r="F2" s="141"/>
      <c r="G2" s="141"/>
      <c r="H2" s="134" t="s">
        <v>462</v>
      </c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2" ht="14.25">
      <c r="A3" s="141"/>
      <c r="B3" s="147" t="s">
        <v>164</v>
      </c>
      <c r="C3" s="147" t="s">
        <v>165</v>
      </c>
      <c r="D3" s="147" t="s">
        <v>272</v>
      </c>
      <c r="E3" s="147" t="s">
        <v>166</v>
      </c>
      <c r="F3" s="141"/>
      <c r="G3" s="141"/>
      <c r="H3" s="382" t="s">
        <v>463</v>
      </c>
      <c r="I3" s="93"/>
      <c r="J3" s="381">
        <v>0.57735026918962584</v>
      </c>
      <c r="K3" s="141" t="s">
        <v>464</v>
      </c>
      <c r="L3" s="141" t="s">
        <v>518</v>
      </c>
      <c r="M3" s="141"/>
      <c r="N3" s="141"/>
      <c r="O3" s="141"/>
      <c r="P3" s="141"/>
      <c r="Q3" s="141"/>
      <c r="R3" s="141"/>
      <c r="S3" s="141"/>
      <c r="T3" s="141"/>
      <c r="U3" s="141"/>
    </row>
    <row r="4" spans="1:22" ht="14.25">
      <c r="A4" s="141"/>
      <c r="B4" s="148"/>
      <c r="C4" s="148"/>
      <c r="D4" s="147" t="str">
        <f>+IF(AND(B4="",C4="",E4=""),IF('Specification machine'!$C$191,"","X"),"")</f>
        <v/>
      </c>
      <c r="E4" s="148"/>
      <c r="F4" s="141"/>
      <c r="G4" s="141"/>
      <c r="H4" s="382" t="s">
        <v>466</v>
      </c>
      <c r="I4" s="93"/>
      <c r="J4" s="381">
        <v>0.57735026918962584</v>
      </c>
      <c r="K4" s="141" t="s">
        <v>464</v>
      </c>
      <c r="L4" s="141"/>
      <c r="M4" s="141"/>
      <c r="N4" s="149"/>
      <c r="O4" s="134"/>
      <c r="P4" s="141"/>
      <c r="Q4" s="141"/>
      <c r="R4" s="141"/>
      <c r="S4" s="141"/>
      <c r="T4" s="141"/>
      <c r="U4" s="141"/>
    </row>
    <row r="5" spans="1:22" ht="14.25">
      <c r="A5" s="141"/>
      <c r="B5" s="141"/>
      <c r="C5" s="141"/>
      <c r="D5" s="141"/>
      <c r="E5" s="141"/>
      <c r="F5" s="141"/>
      <c r="G5" s="141"/>
      <c r="H5" s="141"/>
      <c r="I5" s="134"/>
      <c r="J5" s="141"/>
      <c r="K5" s="141"/>
      <c r="L5" s="141"/>
      <c r="M5" s="141"/>
      <c r="N5" s="149"/>
      <c r="O5" s="134"/>
      <c r="P5" s="141"/>
      <c r="Q5" s="141"/>
      <c r="R5" s="141"/>
      <c r="S5" s="141"/>
      <c r="T5" s="141"/>
      <c r="U5" s="141"/>
    </row>
    <row r="6" spans="1:22" ht="17.25">
      <c r="A6" s="141"/>
      <c r="B6" s="134" t="s">
        <v>467</v>
      </c>
      <c r="C6" s="134"/>
      <c r="D6" s="134"/>
      <c r="E6" s="141"/>
      <c r="F6" s="149"/>
      <c r="G6" s="149"/>
      <c r="H6" s="149"/>
      <c r="I6" s="149"/>
      <c r="J6" s="149"/>
      <c r="K6" s="149"/>
      <c r="L6" s="149"/>
      <c r="M6" s="149"/>
      <c r="N6" s="141"/>
      <c r="O6" s="141"/>
      <c r="P6" s="141"/>
      <c r="Q6" s="141"/>
      <c r="R6" s="141"/>
      <c r="S6" s="141"/>
      <c r="T6" s="141"/>
      <c r="U6" s="141"/>
    </row>
    <row r="7" spans="1:22" ht="14.25">
      <c r="A7" s="141"/>
      <c r="B7" s="141" t="s">
        <v>468</v>
      </c>
      <c r="C7" s="141" t="s">
        <v>468</v>
      </c>
      <c r="D7" s="141" t="s">
        <v>52</v>
      </c>
      <c r="E7" s="141" t="s">
        <v>52</v>
      </c>
      <c r="F7" s="149"/>
      <c r="G7" s="149"/>
      <c r="H7" s="149"/>
      <c r="I7" s="149"/>
      <c r="J7" s="149"/>
      <c r="K7" s="149"/>
      <c r="L7" s="149"/>
      <c r="M7" s="149"/>
      <c r="N7" s="141"/>
      <c r="O7" s="141"/>
      <c r="P7" s="141"/>
      <c r="Q7" s="141"/>
      <c r="R7" s="141"/>
      <c r="S7" s="134" t="s">
        <v>469</v>
      </c>
      <c r="T7" s="141"/>
      <c r="U7" s="141"/>
    </row>
    <row r="8" spans="1:22" ht="14.25">
      <c r="A8" s="141"/>
      <c r="B8" s="367" t="s">
        <v>470</v>
      </c>
      <c r="C8" s="367" t="s">
        <v>471</v>
      </c>
      <c r="D8" s="367" t="s">
        <v>472</v>
      </c>
      <c r="E8" s="367" t="s">
        <v>473</v>
      </c>
      <c r="F8" s="367" t="s">
        <v>474</v>
      </c>
      <c r="G8" s="367" t="s">
        <v>475</v>
      </c>
      <c r="H8" s="367" t="s">
        <v>476</v>
      </c>
      <c r="I8" s="367" t="s">
        <v>477</v>
      </c>
      <c r="J8" s="367" t="s">
        <v>478</v>
      </c>
      <c r="K8" s="367" t="s">
        <v>479</v>
      </c>
      <c r="L8" s="367" t="s">
        <v>480</v>
      </c>
      <c r="M8" s="367" t="s">
        <v>481</v>
      </c>
      <c r="N8" s="367" t="s">
        <v>482</v>
      </c>
      <c r="O8" s="367" t="s">
        <v>483</v>
      </c>
      <c r="P8" s="367" t="s">
        <v>484</v>
      </c>
      <c r="Q8" s="367" t="s">
        <v>485</v>
      </c>
      <c r="R8" s="367" t="s">
        <v>486</v>
      </c>
      <c r="S8" s="367" t="s">
        <v>487</v>
      </c>
      <c r="T8" s="367" t="s">
        <v>488</v>
      </c>
      <c r="U8" s="367" t="s">
        <v>489</v>
      </c>
    </row>
    <row r="9" spans="1:22" ht="22.5" customHeight="1">
      <c r="A9" s="141"/>
      <c r="B9" s="135">
        <f>'Settings (no)load'!F21</f>
        <v>5.006837290954449</v>
      </c>
      <c r="C9" s="135">
        <f>'Settings (no)load'!G21</f>
        <v>28.373294050896217</v>
      </c>
      <c r="D9" s="135">
        <f>'Settings (no)load'!H21</f>
        <v>0</v>
      </c>
      <c r="E9" s="135">
        <f>'Settings (no)load'!I21</f>
        <v>22.3</v>
      </c>
      <c r="F9" s="136"/>
      <c r="G9" s="136"/>
      <c r="H9" s="136"/>
      <c r="I9" s="136"/>
      <c r="J9" s="136"/>
      <c r="K9" s="136"/>
      <c r="L9" s="377"/>
      <c r="M9" s="377"/>
      <c r="N9" s="377"/>
      <c r="O9" s="136"/>
      <c r="P9" s="136"/>
      <c r="Q9" s="136"/>
      <c r="R9" s="137">
        <f>+O9+P9+Q9</f>
        <v>0</v>
      </c>
      <c r="S9" s="137" t="str">
        <f t="shared" ref="S9:U9" si="0">+IF(ISBLANK(O9),"",((O9-(($J$3*F9*I9*L9)/1000))/O9)*100)</f>
        <v/>
      </c>
      <c r="T9" s="137" t="str">
        <f t="shared" si="0"/>
        <v/>
      </c>
      <c r="U9" s="137" t="str">
        <f t="shared" si="0"/>
        <v/>
      </c>
      <c r="V9" s="1"/>
    </row>
    <row r="10" spans="1:22" ht="22.5" customHeight="1">
      <c r="A10" s="141"/>
      <c r="B10" s="135">
        <f>'Settings (no)load'!F22</f>
        <v>18.654162431858079</v>
      </c>
      <c r="C10" s="135">
        <f>'Settings (no)load'!G22</f>
        <v>105.71145120064295</v>
      </c>
      <c r="D10" s="135">
        <f>'Settings (no)load'!H22</f>
        <v>0</v>
      </c>
      <c r="E10" s="135">
        <f>'Settings (no)load'!I22</f>
        <v>39.9</v>
      </c>
      <c r="F10" s="136"/>
      <c r="G10" s="136"/>
      <c r="H10" s="136"/>
      <c r="I10" s="136"/>
      <c r="J10" s="136"/>
      <c r="K10" s="136"/>
      <c r="L10" s="377"/>
      <c r="M10" s="377"/>
      <c r="N10" s="377"/>
      <c r="O10" s="136"/>
      <c r="P10" s="136"/>
      <c r="Q10" s="136"/>
      <c r="R10" s="137">
        <f t="shared" ref="R10:R13" si="1">+O10+P10+Q10</f>
        <v>0</v>
      </c>
      <c r="S10" s="137" t="str">
        <f t="shared" ref="S10:S13" si="2">+IF(ISBLANK(O10),"",((O10-(($J$3*F10*I10*L10)/1000))/O10)*100)</f>
        <v/>
      </c>
      <c r="T10" s="137" t="str">
        <f t="shared" ref="T10:T13" si="3">+IF(ISBLANK(P10),"",((P10-(($J$3*G10*J10*M10)/1000))/P10)*100)</f>
        <v/>
      </c>
      <c r="U10" s="137" t="str">
        <f t="shared" ref="U10:U13" si="4">+IF(ISBLANK(Q10),"",((Q10-(($J$3*H10*K10*N10)/1000))/Q10)*100)</f>
        <v/>
      </c>
      <c r="V10" s="1"/>
    </row>
    <row r="11" spans="1:22" ht="22.5" customHeight="1">
      <c r="A11" s="141"/>
      <c r="B11" s="135">
        <f>'Settings (no)load'!F23</f>
        <v>31.16732883673658</v>
      </c>
      <c r="C11" s="135">
        <f>'Settings (no)load'!G23</f>
        <v>176.62243337992058</v>
      </c>
      <c r="D11" s="135">
        <f>'Settings (no)load'!H23</f>
        <v>0</v>
      </c>
      <c r="E11" s="135">
        <f>'Settings (no)load'!I23</f>
        <v>49.9</v>
      </c>
      <c r="F11" s="136"/>
      <c r="G11" s="136"/>
      <c r="H11" s="136"/>
      <c r="I11" s="136"/>
      <c r="J11" s="136"/>
      <c r="K11" s="136"/>
      <c r="L11" s="377"/>
      <c r="M11" s="377"/>
      <c r="N11" s="377"/>
      <c r="O11" s="136"/>
      <c r="P11" s="136"/>
      <c r="Q11" s="136"/>
      <c r="R11" s="137">
        <f t="shared" si="1"/>
        <v>0</v>
      </c>
      <c r="S11" s="137" t="str">
        <f t="shared" si="2"/>
        <v/>
      </c>
      <c r="T11" s="137" t="str">
        <f t="shared" si="3"/>
        <v/>
      </c>
      <c r="U11" s="137" t="str">
        <f t="shared" si="4"/>
        <v/>
      </c>
    </row>
    <row r="12" spans="1:22" ht="22.5" customHeight="1">
      <c r="A12" s="141"/>
      <c r="B12" s="135">
        <f>'Settings (no)load'!F24</f>
        <v>54.791647417536723</v>
      </c>
      <c r="C12" s="135">
        <f>'Settings (no)load'!G24</f>
        <v>310.49930991754724</v>
      </c>
      <c r="D12" s="135">
        <f>'Settings (no)load'!H24</f>
        <v>0</v>
      </c>
      <c r="E12" s="135">
        <f>'Settings (no)load'!I24</f>
        <v>59.9</v>
      </c>
      <c r="F12" s="136"/>
      <c r="G12" s="136"/>
      <c r="H12" s="136"/>
      <c r="I12" s="136"/>
      <c r="J12" s="136"/>
      <c r="K12" s="136"/>
      <c r="L12" s="377"/>
      <c r="M12" s="377"/>
      <c r="N12" s="377"/>
      <c r="O12" s="136"/>
      <c r="P12" s="136"/>
      <c r="Q12" s="136"/>
      <c r="R12" s="137">
        <f t="shared" si="1"/>
        <v>0</v>
      </c>
      <c r="S12" s="137" t="str">
        <f t="shared" si="2"/>
        <v/>
      </c>
      <c r="T12" s="137" t="str">
        <f t="shared" si="3"/>
        <v/>
      </c>
      <c r="U12" s="137" t="str">
        <f t="shared" si="4"/>
        <v/>
      </c>
    </row>
    <row r="13" spans="1:22" ht="22.5" customHeight="1">
      <c r="A13" s="141"/>
      <c r="B13" s="135">
        <f>'Settings (no)load'!F25</f>
        <v>100</v>
      </c>
      <c r="C13" s="135">
        <f>'Settings (no)load'!G25</f>
        <v>566.69095483003889</v>
      </c>
      <c r="D13" s="135">
        <f>'Settings (no)load'!H25</f>
        <v>0</v>
      </c>
      <c r="E13" s="135">
        <f>'Settings (no)load'!I25</f>
        <v>79</v>
      </c>
      <c r="F13" s="136"/>
      <c r="G13" s="136"/>
      <c r="H13" s="136"/>
      <c r="I13" s="136"/>
      <c r="J13" s="136"/>
      <c r="K13" s="136"/>
      <c r="L13" s="377"/>
      <c r="M13" s="377"/>
      <c r="N13" s="377"/>
      <c r="O13" s="136"/>
      <c r="P13" s="136"/>
      <c r="Q13" s="136"/>
      <c r="R13" s="137">
        <f t="shared" si="1"/>
        <v>0</v>
      </c>
      <c r="S13" s="137" t="str">
        <f t="shared" si="2"/>
        <v/>
      </c>
      <c r="T13" s="137" t="str">
        <f t="shared" si="3"/>
        <v/>
      </c>
      <c r="U13" s="137" t="str">
        <f t="shared" si="4"/>
        <v/>
      </c>
    </row>
    <row r="14" spans="1:22" ht="14.25">
      <c r="A14" s="141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1"/>
      <c r="P14" s="141"/>
      <c r="Q14" s="141"/>
      <c r="R14" s="141"/>
      <c r="S14" s="141"/>
      <c r="T14" s="141"/>
      <c r="U14" s="141"/>
    </row>
    <row r="15" spans="1:22" ht="17.25">
      <c r="A15" s="141"/>
      <c r="B15" s="134" t="s">
        <v>490</v>
      </c>
      <c r="C15" s="134"/>
      <c r="D15" s="134"/>
      <c r="E15" s="150"/>
      <c r="F15" s="149"/>
      <c r="G15" s="149"/>
      <c r="H15" s="149"/>
      <c r="I15" s="149"/>
      <c r="J15" s="149"/>
      <c r="K15" s="149"/>
      <c r="L15" s="149"/>
      <c r="M15" s="149"/>
      <c r="N15" s="141"/>
      <c r="O15" s="141"/>
      <c r="P15" s="141"/>
      <c r="Q15" s="141"/>
      <c r="R15" s="141"/>
      <c r="S15" s="134"/>
      <c r="T15" s="141"/>
      <c r="U15" s="141"/>
    </row>
    <row r="16" spans="1:22" ht="14.25">
      <c r="A16" s="141"/>
      <c r="B16" s="141" t="s">
        <v>468</v>
      </c>
      <c r="C16" s="141" t="s">
        <v>468</v>
      </c>
      <c r="D16" s="141" t="s">
        <v>52</v>
      </c>
      <c r="E16" s="141" t="s">
        <v>52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9"/>
      <c r="R16" s="149"/>
      <c r="S16" s="134" t="s">
        <v>469</v>
      </c>
      <c r="T16" s="141"/>
      <c r="U16" s="141"/>
    </row>
    <row r="17" spans="1:22" ht="14.25">
      <c r="A17" s="141"/>
      <c r="B17" s="367" t="s">
        <v>470</v>
      </c>
      <c r="C17" s="367" t="s">
        <v>471</v>
      </c>
      <c r="D17" s="367" t="s">
        <v>472</v>
      </c>
      <c r="E17" s="367" t="s">
        <v>473</v>
      </c>
      <c r="F17" s="367" t="s">
        <v>491</v>
      </c>
      <c r="G17" s="367" t="s">
        <v>492</v>
      </c>
      <c r="H17" s="367" t="s">
        <v>493</v>
      </c>
      <c r="I17" s="367" t="s">
        <v>494</v>
      </c>
      <c r="J17" s="367" t="s">
        <v>495</v>
      </c>
      <c r="K17" s="367" t="s">
        <v>496</v>
      </c>
      <c r="L17" s="367" t="s">
        <v>497</v>
      </c>
      <c r="M17" s="367" t="s">
        <v>498</v>
      </c>
      <c r="N17" s="367" t="s">
        <v>499</v>
      </c>
      <c r="O17" s="367" t="s">
        <v>500</v>
      </c>
      <c r="P17" s="367" t="s">
        <v>501</v>
      </c>
      <c r="Q17" s="367" t="s">
        <v>502</v>
      </c>
      <c r="R17" s="367" t="s">
        <v>486</v>
      </c>
      <c r="S17" s="367" t="s">
        <v>487</v>
      </c>
      <c r="T17" s="367" t="s">
        <v>488</v>
      </c>
      <c r="U17" s="367" t="s">
        <v>489</v>
      </c>
      <c r="V17" s="337"/>
    </row>
    <row r="18" spans="1:22" ht="22.5" customHeight="1">
      <c r="A18" s="141"/>
      <c r="B18" s="135">
        <f t="shared" ref="B18" si="5">+B9</f>
        <v>5.006837290954449</v>
      </c>
      <c r="C18" s="135">
        <f t="shared" ref="C18:E22" si="6">+C9</f>
        <v>28.373294050896217</v>
      </c>
      <c r="D18" s="137">
        <f t="shared" si="6"/>
        <v>0</v>
      </c>
      <c r="E18" s="135">
        <f t="shared" si="6"/>
        <v>22.3</v>
      </c>
      <c r="F18" s="136"/>
      <c r="G18" s="136"/>
      <c r="H18" s="136"/>
      <c r="I18" s="136"/>
      <c r="J18" s="136"/>
      <c r="K18" s="136"/>
      <c r="L18" s="377"/>
      <c r="M18" s="377"/>
      <c r="N18" s="377"/>
      <c r="O18" s="136"/>
      <c r="P18" s="136"/>
      <c r="Q18" s="136"/>
      <c r="R18" s="137">
        <f>+O18+P18+Q18</f>
        <v>0</v>
      </c>
      <c r="S18" s="137" t="str">
        <f>+IF(ISBLANK(O18),"",((O18-(($J$4*F18*I18*L18)/1000))/O18)*100)</f>
        <v/>
      </c>
      <c r="T18" s="137" t="str">
        <f>+IF(ISBLANK(P18),"",((P18-(($J$4*G18*J18*M18)/1000))/P18)*100)</f>
        <v/>
      </c>
      <c r="U18" s="137" t="str">
        <f>+IF(ISBLANK(Q18),"",((Q18-(($J$4*H18*K18*N18)/1000))/Q18)*100)</f>
        <v/>
      </c>
      <c r="V18" s="1"/>
    </row>
    <row r="19" spans="1:22" ht="22.5" customHeight="1">
      <c r="A19" s="141"/>
      <c r="B19" s="135">
        <f t="shared" ref="B19" si="7">+B10</f>
        <v>18.654162431858079</v>
      </c>
      <c r="C19" s="135">
        <f t="shared" si="6"/>
        <v>105.71145120064295</v>
      </c>
      <c r="D19" s="137">
        <f t="shared" si="6"/>
        <v>0</v>
      </c>
      <c r="E19" s="135">
        <f t="shared" si="6"/>
        <v>39.9</v>
      </c>
      <c r="F19" s="136"/>
      <c r="G19" s="136"/>
      <c r="H19" s="136"/>
      <c r="I19" s="136"/>
      <c r="J19" s="136"/>
      <c r="K19" s="136"/>
      <c r="L19" s="377"/>
      <c r="M19" s="377"/>
      <c r="N19" s="377"/>
      <c r="O19" s="136"/>
      <c r="P19" s="136"/>
      <c r="Q19" s="136"/>
      <c r="R19" s="137">
        <f t="shared" ref="R19:R22" si="8">+O19+P19+Q19</f>
        <v>0</v>
      </c>
      <c r="S19" s="137" t="str">
        <f t="shared" ref="S19:S22" si="9">+IF(ISBLANK(O19),"",((O19-(($J$4*F19*I19*L19)/1000))/O19)*100)</f>
        <v/>
      </c>
      <c r="T19" s="137" t="str">
        <f t="shared" ref="T19:T22" si="10">+IF(ISBLANK(P19),"",((P19-(($J$4*G19*J19*M19)/1000))/P19)*100)</f>
        <v/>
      </c>
      <c r="U19" s="137" t="str">
        <f t="shared" ref="U19:U22" si="11">+IF(ISBLANK(Q19),"",((Q19-(($J$4*H19*K19*N19)/1000))/Q19)*100)</f>
        <v/>
      </c>
      <c r="V19" s="1"/>
    </row>
    <row r="20" spans="1:22" ht="22.5" customHeight="1">
      <c r="A20" s="141"/>
      <c r="B20" s="135">
        <f t="shared" ref="B20" si="12">+B11</f>
        <v>31.16732883673658</v>
      </c>
      <c r="C20" s="135">
        <f t="shared" si="6"/>
        <v>176.62243337992058</v>
      </c>
      <c r="D20" s="137">
        <f t="shared" si="6"/>
        <v>0</v>
      </c>
      <c r="E20" s="135">
        <f t="shared" si="6"/>
        <v>49.9</v>
      </c>
      <c r="F20" s="136"/>
      <c r="G20" s="136"/>
      <c r="H20" s="136"/>
      <c r="I20" s="136"/>
      <c r="J20" s="136"/>
      <c r="K20" s="136"/>
      <c r="L20" s="377"/>
      <c r="M20" s="377"/>
      <c r="N20" s="377"/>
      <c r="O20" s="136"/>
      <c r="P20" s="136"/>
      <c r="Q20" s="136"/>
      <c r="R20" s="137">
        <f t="shared" si="8"/>
        <v>0</v>
      </c>
      <c r="S20" s="137" t="str">
        <f t="shared" si="9"/>
        <v/>
      </c>
      <c r="T20" s="137" t="str">
        <f t="shared" si="10"/>
        <v/>
      </c>
      <c r="U20" s="137" t="str">
        <f t="shared" si="11"/>
        <v/>
      </c>
      <c r="V20" s="1"/>
    </row>
    <row r="21" spans="1:22" ht="22.5" customHeight="1">
      <c r="A21" s="141"/>
      <c r="B21" s="135">
        <f t="shared" ref="B21" si="13">+B12</f>
        <v>54.791647417536723</v>
      </c>
      <c r="C21" s="135">
        <f t="shared" si="6"/>
        <v>310.49930991754724</v>
      </c>
      <c r="D21" s="137">
        <f t="shared" si="6"/>
        <v>0</v>
      </c>
      <c r="E21" s="135">
        <f t="shared" si="6"/>
        <v>59.9</v>
      </c>
      <c r="F21" s="136"/>
      <c r="G21" s="136"/>
      <c r="H21" s="136"/>
      <c r="I21" s="136"/>
      <c r="J21" s="136"/>
      <c r="K21" s="136"/>
      <c r="L21" s="377"/>
      <c r="M21" s="377"/>
      <c r="N21" s="377"/>
      <c r="O21" s="136"/>
      <c r="P21" s="136"/>
      <c r="Q21" s="136"/>
      <c r="R21" s="137">
        <f t="shared" si="8"/>
        <v>0</v>
      </c>
      <c r="S21" s="137" t="str">
        <f t="shared" si="9"/>
        <v/>
      </c>
      <c r="T21" s="137" t="str">
        <f t="shared" si="10"/>
        <v/>
      </c>
      <c r="U21" s="137" t="str">
        <f t="shared" si="11"/>
        <v/>
      </c>
    </row>
    <row r="22" spans="1:22" ht="22.5" customHeight="1">
      <c r="A22" s="141"/>
      <c r="B22" s="135">
        <f t="shared" ref="B22" si="14">+B13</f>
        <v>100</v>
      </c>
      <c r="C22" s="135">
        <f t="shared" si="6"/>
        <v>566.69095483003889</v>
      </c>
      <c r="D22" s="137">
        <f t="shared" si="6"/>
        <v>0</v>
      </c>
      <c r="E22" s="135">
        <f t="shared" si="6"/>
        <v>79</v>
      </c>
      <c r="F22" s="136"/>
      <c r="G22" s="136"/>
      <c r="H22" s="136"/>
      <c r="I22" s="136"/>
      <c r="J22" s="136"/>
      <c r="K22" s="136"/>
      <c r="L22" s="377"/>
      <c r="M22" s="377"/>
      <c r="N22" s="377"/>
      <c r="O22" s="136"/>
      <c r="P22" s="136"/>
      <c r="Q22" s="136"/>
      <c r="R22" s="137">
        <f t="shared" si="8"/>
        <v>0</v>
      </c>
      <c r="S22" s="137" t="str">
        <f t="shared" si="9"/>
        <v/>
      </c>
      <c r="T22" s="137" t="str">
        <f t="shared" si="10"/>
        <v/>
      </c>
      <c r="U22" s="137" t="str">
        <f t="shared" si="11"/>
        <v/>
      </c>
    </row>
    <row r="23" spans="1:22" ht="14.25">
      <c r="A23" s="141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1"/>
      <c r="P23" s="141"/>
      <c r="Q23" s="141"/>
      <c r="R23" s="141"/>
      <c r="S23" s="141"/>
      <c r="T23" s="141"/>
      <c r="U23" s="141"/>
    </row>
    <row r="24" spans="1:22" ht="17.25">
      <c r="A24" s="141"/>
      <c r="B24" s="134" t="s">
        <v>503</v>
      </c>
      <c r="C24" s="134"/>
      <c r="D24" s="134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9"/>
      <c r="R24" s="149"/>
      <c r="S24" s="141"/>
      <c r="T24" s="141"/>
      <c r="U24" s="141"/>
    </row>
    <row r="25" spans="1:22" ht="14.25">
      <c r="A25" s="141"/>
      <c r="B25" s="141" t="s">
        <v>468</v>
      </c>
      <c r="C25" s="141" t="s">
        <v>468</v>
      </c>
      <c r="D25" s="141" t="s">
        <v>52</v>
      </c>
      <c r="E25" s="141" t="s">
        <v>52</v>
      </c>
      <c r="F25" s="141" t="s">
        <v>162</v>
      </c>
      <c r="G25" s="141" t="s">
        <v>392</v>
      </c>
      <c r="H25" s="141" t="s">
        <v>392</v>
      </c>
      <c r="I25" s="141" t="s">
        <v>504</v>
      </c>
      <c r="J25" s="141" t="s">
        <v>504</v>
      </c>
      <c r="K25" s="141" t="s">
        <v>504</v>
      </c>
      <c r="L25" s="141" t="s">
        <v>504</v>
      </c>
      <c r="M25" s="141" t="s">
        <v>162</v>
      </c>
      <c r="N25" s="141"/>
      <c r="O25" s="141"/>
      <c r="P25" s="141"/>
      <c r="Q25" s="149"/>
      <c r="R25" s="149"/>
      <c r="S25" s="134" t="s">
        <v>505</v>
      </c>
      <c r="T25" s="141"/>
      <c r="U25" s="141"/>
    </row>
    <row r="26" spans="1:22" ht="14.25">
      <c r="A26" s="141"/>
      <c r="B26" s="367" t="s">
        <v>470</v>
      </c>
      <c r="C26" s="367" t="s">
        <v>471</v>
      </c>
      <c r="D26" s="367" t="s">
        <v>472</v>
      </c>
      <c r="E26" s="367" t="s">
        <v>473</v>
      </c>
      <c r="F26" s="367" t="s">
        <v>506</v>
      </c>
      <c r="G26" s="367" t="s">
        <v>507</v>
      </c>
      <c r="H26" s="367" t="s">
        <v>508</v>
      </c>
      <c r="I26" s="367" t="s">
        <v>509</v>
      </c>
      <c r="J26" s="367" t="s">
        <v>510</v>
      </c>
      <c r="K26" s="367" t="s">
        <v>511</v>
      </c>
      <c r="L26" s="368" t="s">
        <v>512</v>
      </c>
      <c r="M26" s="368" t="s">
        <v>519</v>
      </c>
      <c r="N26" s="367" t="s">
        <v>176</v>
      </c>
      <c r="O26" s="367" t="s">
        <v>514</v>
      </c>
      <c r="P26" s="367" t="s">
        <v>515</v>
      </c>
      <c r="Q26" s="367" t="s">
        <v>516</v>
      </c>
      <c r="R26" s="368" t="s">
        <v>1030</v>
      </c>
      <c r="S26" s="367" t="s">
        <v>494</v>
      </c>
      <c r="T26" s="367" t="s">
        <v>495</v>
      </c>
      <c r="U26" s="367" t="s">
        <v>496</v>
      </c>
    </row>
    <row r="27" spans="1:22" ht="22.5" customHeight="1">
      <c r="A27" s="141"/>
      <c r="B27" s="135">
        <f>+B18</f>
        <v>5.006837290954449</v>
      </c>
      <c r="C27" s="135">
        <f>+C18</f>
        <v>28.373294050896217</v>
      </c>
      <c r="D27" s="137">
        <f>+D18</f>
        <v>0</v>
      </c>
      <c r="E27" s="135">
        <f>+E9</f>
        <v>22.3</v>
      </c>
      <c r="F27" s="411">
        <f>'Settings (no)load'!K21</f>
        <v>12150</v>
      </c>
      <c r="G27" s="138"/>
      <c r="H27" s="136"/>
      <c r="I27" s="137">
        <f t="shared" ref="I27:I29" si="15">+H27*2*PI()/60</f>
        <v>0</v>
      </c>
      <c r="J27" s="137">
        <f t="shared" ref="J27:J31" si="16">+G27*I27/1000</f>
        <v>0</v>
      </c>
      <c r="K27" s="137">
        <f>+SUM(O18:Q18)</f>
        <v>0</v>
      </c>
      <c r="L27" s="137">
        <f>+IF(K27=0,0,J27/K27*100)</f>
        <v>0</v>
      </c>
      <c r="M27" s="137">
        <f>'Settings (no)load'!M21</f>
        <v>90.849794881271364</v>
      </c>
      <c r="N27" s="137" t="str">
        <f>+IF(L27&gt;=M27,"pass","fail")</f>
        <v>fail</v>
      </c>
      <c r="O27" s="137" t="str">
        <f>+IF(J27&gt;=('Settings (no)load'!$C$18*($B27/100)),"pass","fail")</f>
        <v>fail</v>
      </c>
      <c r="P27" s="139" t="str">
        <f>+IF(G27&gt;=F27,"pass","fail")</f>
        <v>fail</v>
      </c>
      <c r="Q27" s="411">
        <f>+'Settings (no)load'!$B$9*($B27/100)</f>
        <v>0</v>
      </c>
      <c r="R27" s="137" t="str" cm="1">
        <f t="array" ref="R27">+IF(OR((ISBLANK(O9:Q9)),(ISBLANK(O18:Q18))),"",(SUM(O18:Q18)/SUM(O9:Q9))*100)</f>
        <v/>
      </c>
      <c r="S27" s="140" t="e">
        <f>+(I18-Q27)/Q27*100</f>
        <v>#DIV/0!</v>
      </c>
      <c r="T27" s="140" t="e">
        <f>+(J18-Q27)/Q27*100</f>
        <v>#DIV/0!</v>
      </c>
      <c r="U27" s="140" t="e">
        <f>+(K18-Q27)/Q27*100</f>
        <v>#DIV/0!</v>
      </c>
      <c r="V27" s="1"/>
    </row>
    <row r="28" spans="1:22" ht="22.5" customHeight="1">
      <c r="A28" s="141"/>
      <c r="B28" s="135">
        <f t="shared" ref="B28:C31" si="17">+B19</f>
        <v>18.654162431858079</v>
      </c>
      <c r="C28" s="135">
        <f t="shared" si="17"/>
        <v>105.71145120064295</v>
      </c>
      <c r="D28" s="137">
        <f t="shared" ref="D28:D31" si="18">+D19</f>
        <v>0</v>
      </c>
      <c r="E28" s="135">
        <f>+E10</f>
        <v>39.9</v>
      </c>
      <c r="F28" s="411">
        <f>'Settings (no)load'!K22</f>
        <v>25300</v>
      </c>
      <c r="G28" s="138"/>
      <c r="H28" s="136"/>
      <c r="I28" s="137">
        <f t="shared" si="15"/>
        <v>0</v>
      </c>
      <c r="J28" s="137">
        <f t="shared" si="16"/>
        <v>0</v>
      </c>
      <c r="K28" s="137">
        <f>+SUM(O19:Q19)</f>
        <v>0</v>
      </c>
      <c r="L28" s="137">
        <f t="shared" ref="L28:L31" si="19">+IF(K28=0,0,J28/K28*100)</f>
        <v>0</v>
      </c>
      <c r="M28" s="137">
        <f>'Settings (no)load'!M22</f>
        <v>90.440375127044263</v>
      </c>
      <c r="N28" s="137" t="str">
        <f t="shared" ref="N28:N31" si="20">+IF(L28&gt;=M28,"pass","fail")</f>
        <v>fail</v>
      </c>
      <c r="O28" s="137" t="str">
        <f>+IF(J28&gt;=('Settings (no)load'!$C$18*($B28/100)),"pass","fail")</f>
        <v>fail</v>
      </c>
      <c r="P28" s="139" t="str">
        <f t="shared" ref="P28:P31" si="21">+IF(G28&gt;=F28,"pass","fail")</f>
        <v>fail</v>
      </c>
      <c r="Q28" s="411">
        <f>+'Settings (no)load'!$B$9*($B28/100)</f>
        <v>0</v>
      </c>
      <c r="R28" s="137" t="str" cm="1">
        <f t="array" ref="R28">+IF(OR((ISBLANK(O10:Q10)),(ISBLANK(O19:Q19))),"",(SUM(O19:Q19)/SUM(O10:Q10))*100)</f>
        <v/>
      </c>
      <c r="S28" s="140" t="e">
        <f>+(I19-Q28)/Q28*100</f>
        <v>#DIV/0!</v>
      </c>
      <c r="T28" s="140" t="e">
        <f>+(J19-Q28)/Q28*100</f>
        <v>#DIV/0!</v>
      </c>
      <c r="U28" s="140" t="e">
        <f>+(K19-Q28)/Q28*100</f>
        <v>#DIV/0!</v>
      </c>
      <c r="V28" s="1"/>
    </row>
    <row r="29" spans="1:22" ht="22.5" customHeight="1">
      <c r="A29" s="141"/>
      <c r="B29" s="135">
        <f t="shared" si="17"/>
        <v>31.16732883673658</v>
      </c>
      <c r="C29" s="135">
        <f t="shared" si="17"/>
        <v>176.62243337992058</v>
      </c>
      <c r="D29" s="137">
        <f t="shared" si="18"/>
        <v>0</v>
      </c>
      <c r="E29" s="135">
        <f>+E11</f>
        <v>49.9</v>
      </c>
      <c r="F29" s="411">
        <f>'Settings (no)load'!K23</f>
        <v>33800</v>
      </c>
      <c r="G29" s="138"/>
      <c r="H29" s="136"/>
      <c r="I29" s="137">
        <f t="shared" si="15"/>
        <v>0</v>
      </c>
      <c r="J29" s="137">
        <f t="shared" si="16"/>
        <v>0</v>
      </c>
      <c r="K29" s="137">
        <f>+SUM(O20:Q20)</f>
        <v>0</v>
      </c>
      <c r="L29" s="137">
        <f t="shared" si="19"/>
        <v>0</v>
      </c>
      <c r="M29" s="137">
        <f>'Settings (no)load'!M23</f>
        <v>91.935019865102092</v>
      </c>
      <c r="N29" s="137" t="str">
        <f t="shared" si="20"/>
        <v>fail</v>
      </c>
      <c r="O29" s="137" t="str">
        <f>+IF(J29&gt;=('Settings (no)load'!$C$18*($B29/100)),"pass","fail")</f>
        <v>fail</v>
      </c>
      <c r="P29" s="139" t="str">
        <f t="shared" si="21"/>
        <v>fail</v>
      </c>
      <c r="Q29" s="411">
        <f>+'Settings (no)load'!$B$9*($B29/100)</f>
        <v>0</v>
      </c>
      <c r="R29" s="137" t="str" cm="1">
        <f t="array" ref="R29">+IF(OR((ISBLANK(O11:Q11)),(ISBLANK(O20:Q20))),"",(SUM(O20:Q20)/SUM(O11:Q11))*100)</f>
        <v/>
      </c>
      <c r="S29" s="140" t="e">
        <f>+(I20-Q29)/Q29*100</f>
        <v>#DIV/0!</v>
      </c>
      <c r="T29" s="140" t="e">
        <f>+(J20-Q29)/Q29*100</f>
        <v>#DIV/0!</v>
      </c>
      <c r="U29" s="140" t="e">
        <f>+(K20-Q29)/Q29*100</f>
        <v>#DIV/0!</v>
      </c>
      <c r="V29" s="1"/>
    </row>
    <row r="30" spans="1:22" ht="22.5" customHeight="1">
      <c r="A30" s="141"/>
      <c r="B30" s="135">
        <f t="shared" si="17"/>
        <v>54.791647417536723</v>
      </c>
      <c r="C30" s="135">
        <f t="shared" si="17"/>
        <v>310.49930991754724</v>
      </c>
      <c r="D30" s="137">
        <f t="shared" si="18"/>
        <v>0</v>
      </c>
      <c r="E30" s="135">
        <f>+E21</f>
        <v>59.9</v>
      </c>
      <c r="F30" s="411">
        <f>'Settings (no)load'!K24</f>
        <v>49500</v>
      </c>
      <c r="G30" s="138"/>
      <c r="H30" s="136"/>
      <c r="I30" s="137">
        <f>+H30*2*PI()/60</f>
        <v>0</v>
      </c>
      <c r="J30" s="137">
        <f t="shared" si="16"/>
        <v>0</v>
      </c>
      <c r="K30" s="137">
        <f>+SUM(O21:Q21)</f>
        <v>0</v>
      </c>
      <c r="L30" s="137">
        <f t="shared" si="19"/>
        <v>0</v>
      </c>
      <c r="M30" s="137">
        <f>'Settings (no)load'!M24</f>
        <v>92.643749422526099</v>
      </c>
      <c r="N30" s="137" t="str">
        <f t="shared" si="20"/>
        <v>fail</v>
      </c>
      <c r="O30" s="137" t="str">
        <f>+IF(J30&gt;=('Settings (no)load'!$C$18*($B30/100)),"pass","fail")</f>
        <v>fail</v>
      </c>
      <c r="P30" s="139" t="str">
        <f t="shared" si="21"/>
        <v>fail</v>
      </c>
      <c r="Q30" s="411">
        <f>+'Settings (no)load'!$B$9*($B30/100)</f>
        <v>0</v>
      </c>
      <c r="R30" s="137" t="str" cm="1">
        <f t="array" ref="R30">+IF(OR((ISBLANK(O12:Q12)),(ISBLANK(O21:Q21))),"",(SUM(O21:Q21)/SUM(O12:Q12))*100)</f>
        <v/>
      </c>
      <c r="S30" s="140" t="e">
        <f t="shared" ref="S30" si="22">+(I21-Q30)/Q30*100</f>
        <v>#DIV/0!</v>
      </c>
      <c r="T30" s="140" t="e">
        <f t="shared" ref="T30" si="23">+(J21-Q30)/Q30*100</f>
        <v>#DIV/0!</v>
      </c>
      <c r="U30" s="140" t="e">
        <f t="shared" ref="U30" si="24">+(K21-Q30)/Q30*100</f>
        <v>#DIV/0!</v>
      </c>
    </row>
    <row r="31" spans="1:22" ht="22.5" customHeight="1">
      <c r="A31" s="141"/>
      <c r="B31" s="135">
        <f t="shared" si="17"/>
        <v>100</v>
      </c>
      <c r="C31" s="135">
        <f t="shared" si="17"/>
        <v>566.69095483003889</v>
      </c>
      <c r="D31" s="137">
        <f t="shared" si="18"/>
        <v>0</v>
      </c>
      <c r="E31" s="135">
        <f>+E22</f>
        <v>79</v>
      </c>
      <c r="F31" s="411">
        <f>'Settings (no)load'!K25</f>
        <v>68500</v>
      </c>
      <c r="G31" s="138"/>
      <c r="H31" s="136"/>
      <c r="I31" s="137">
        <f>+H31*2*PI()/60</f>
        <v>0</v>
      </c>
      <c r="J31" s="137">
        <f t="shared" si="16"/>
        <v>0</v>
      </c>
      <c r="K31" s="137">
        <f>+SUM(O22:Q22)</f>
        <v>0</v>
      </c>
      <c r="L31" s="137">
        <f t="shared" si="19"/>
        <v>0</v>
      </c>
      <c r="M31" s="137">
        <f>'Settings (no)load'!M25</f>
        <v>94</v>
      </c>
      <c r="N31" s="137" t="str">
        <f t="shared" si="20"/>
        <v>fail</v>
      </c>
      <c r="O31" s="137" t="str">
        <f>+IF(J31&gt;=('Settings (no)load'!$C$18*($B31/100)),"pass","fail")</f>
        <v>fail</v>
      </c>
      <c r="P31" s="139" t="str">
        <f t="shared" si="21"/>
        <v>fail</v>
      </c>
      <c r="Q31" s="411">
        <f>+'Settings (no)load'!$B$9*($B31/100)</f>
        <v>0</v>
      </c>
      <c r="R31" s="137" t="str" cm="1">
        <f t="array" ref="R31">+IF(OR((ISBLANK(O13:Q13)),(ISBLANK(O22:Q22))),"",(SUM(O22:Q22)/SUM(O13:Q13))*100)</f>
        <v/>
      </c>
      <c r="S31" s="140" t="e">
        <f>+(I22-Q31)/Q31*100</f>
        <v>#DIV/0!</v>
      </c>
      <c r="T31" s="140" t="e">
        <f>+(J22-Q31)/Q31*100</f>
        <v>#DIV/0!</v>
      </c>
      <c r="U31" s="140" t="e">
        <f>+(K22-Q31)/Q31*100</f>
        <v>#DIV/0!</v>
      </c>
    </row>
    <row r="32" spans="1:22" ht="14.2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A0F1-1147-4397-85D7-DF1F67181B1E}">
  <sheetPr>
    <pageSetUpPr fitToPage="1"/>
  </sheetPr>
  <dimension ref="B1:Q32"/>
  <sheetViews>
    <sheetView showGridLines="0" view="pageLayout" zoomScale="99" zoomScaleNormal="100" zoomScalePageLayoutView="99" workbookViewId="0">
      <selection activeCell="G2" sqref="G2"/>
    </sheetView>
  </sheetViews>
  <sheetFormatPr defaultColWidth="0" defaultRowHeight="11.25"/>
  <cols>
    <col min="1" max="1" width="2.25" customWidth="1"/>
    <col min="2" max="2" width="15.5" customWidth="1"/>
    <col min="3" max="9" width="9.75" customWidth="1"/>
    <col min="10" max="10" width="14.125" customWidth="1"/>
    <col min="11" max="15" width="9.75" customWidth="1"/>
    <col min="16" max="16" width="10.125" customWidth="1"/>
    <col min="17" max="17" width="37.375" hidden="1" customWidth="1"/>
    <col min="16383" max="16383" width="38.875" customWidth="1"/>
    <col min="16384" max="16384" width="34.375" customWidth="1"/>
  </cols>
  <sheetData>
    <row r="1" spans="2:16" ht="14.25">
      <c r="B1" s="151" t="s">
        <v>520</v>
      </c>
      <c r="C1" s="152"/>
      <c r="D1" s="152"/>
      <c r="E1" s="153"/>
      <c r="F1" s="69"/>
      <c r="G1" s="69"/>
      <c r="H1" s="73"/>
      <c r="I1" s="69"/>
      <c r="J1" s="69"/>
      <c r="K1" s="69"/>
      <c r="L1" s="159"/>
      <c r="M1" s="73"/>
      <c r="N1" s="69"/>
      <c r="O1" s="69"/>
      <c r="P1" s="69"/>
    </row>
    <row r="2" spans="2:16" ht="14.25">
      <c r="B2" s="154"/>
      <c r="C2" s="69"/>
      <c r="D2" s="69"/>
      <c r="E2" s="155"/>
      <c r="F2" s="69"/>
      <c r="G2" s="69"/>
      <c r="H2" s="73"/>
      <c r="I2" s="69"/>
      <c r="J2" s="73"/>
      <c r="K2" s="69"/>
      <c r="L2" s="159"/>
      <c r="M2" s="73"/>
      <c r="N2" s="69"/>
      <c r="O2" s="69"/>
      <c r="P2" s="73"/>
    </row>
    <row r="3" spans="2:16" ht="14.25">
      <c r="B3" s="156" t="s">
        <v>164</v>
      </c>
      <c r="C3" s="156" t="s">
        <v>165</v>
      </c>
      <c r="D3" s="156" t="s">
        <v>272</v>
      </c>
      <c r="E3" s="156" t="s">
        <v>166</v>
      </c>
      <c r="F3" s="69"/>
      <c r="G3" s="69"/>
      <c r="H3" s="73"/>
      <c r="I3" s="69"/>
      <c r="J3" s="69"/>
      <c r="K3" s="69"/>
      <c r="L3" s="159"/>
      <c r="M3" s="73"/>
      <c r="N3" s="69"/>
      <c r="O3" s="69"/>
      <c r="P3" s="69"/>
    </row>
    <row r="4" spans="2:16" ht="14.25">
      <c r="B4" s="157"/>
      <c r="C4" s="157"/>
      <c r="D4" s="158" t="str">
        <f>+IF(AND(B4="",C4="",E4=""),IF('Specification machine'!$C$191,"","X"),"")</f>
        <v/>
      </c>
      <c r="E4" s="157"/>
      <c r="F4" s="69"/>
      <c r="G4" s="69"/>
      <c r="H4" s="73"/>
      <c r="I4" s="69"/>
      <c r="J4" s="73"/>
      <c r="K4" s="69"/>
      <c r="L4" s="159"/>
      <c r="M4" s="73"/>
      <c r="N4" s="69"/>
      <c r="O4" s="69"/>
      <c r="P4" s="73"/>
    </row>
    <row r="5" spans="2:16" ht="14.25">
      <c r="B5" s="73"/>
      <c r="C5" s="69"/>
      <c r="D5" s="69"/>
      <c r="E5" s="73"/>
      <c r="F5" s="69"/>
      <c r="G5" s="69"/>
      <c r="H5" s="73"/>
      <c r="I5" s="69"/>
      <c r="J5" s="73"/>
      <c r="K5" s="69"/>
      <c r="L5" s="159"/>
      <c r="M5" s="73"/>
      <c r="N5" s="69"/>
      <c r="O5" s="69"/>
      <c r="P5" s="73"/>
    </row>
    <row r="6" spans="2:16" ht="14.25">
      <c r="B6" s="69"/>
      <c r="C6" s="69"/>
      <c r="D6" s="69"/>
      <c r="E6" s="159"/>
      <c r="F6" s="159"/>
      <c r="G6" s="159"/>
      <c r="H6" s="159"/>
      <c r="I6" s="159"/>
      <c r="J6" s="159"/>
      <c r="K6" s="159"/>
      <c r="L6" s="69"/>
      <c r="M6" s="69"/>
      <c r="N6" s="69"/>
      <c r="O6" s="69"/>
      <c r="P6" s="69"/>
    </row>
    <row r="7" spans="2:16" ht="17.25">
      <c r="B7" s="73" t="s">
        <v>521</v>
      </c>
      <c r="C7" s="73"/>
      <c r="D7" s="69"/>
      <c r="E7" s="159"/>
      <c r="F7" s="159"/>
      <c r="G7" s="159"/>
      <c r="H7" s="159"/>
      <c r="I7" s="159"/>
      <c r="J7" s="73" t="s">
        <v>522</v>
      </c>
      <c r="K7" s="159"/>
      <c r="L7" s="69"/>
      <c r="M7" s="69"/>
      <c r="N7" s="69"/>
      <c r="O7" s="69"/>
      <c r="P7" s="69"/>
    </row>
    <row r="8" spans="2:16" ht="14.25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</row>
    <row r="9" spans="2:16" ht="22.5" customHeight="1">
      <c r="B9" s="132" t="s">
        <v>523</v>
      </c>
      <c r="C9" s="132" t="str">
        <f>+IF(ISBLANK('Settings (no)load'!$A$35),"",'Settings (no)load'!$A$35)</f>
        <v/>
      </c>
      <c r="D9" s="132">
        <f>+IF(ISBLANK('Settings (no)load'!$C$35),"",'Settings (no)load'!$C$35)</f>
        <v>80</v>
      </c>
      <c r="E9" s="132">
        <f>+IF(ISBLANK('Settings (no)load'!$F$35),"",'Settings (no)load'!$F$35)</f>
        <v>90</v>
      </c>
      <c r="F9" s="132">
        <f>+IF(ISBLANK('Settings (no)load'!$I$35),"",'Settings (no)load'!$I$35)</f>
        <v>100</v>
      </c>
      <c r="G9" s="132">
        <f>+IF(ISBLANK('Settings (no)load'!$L$35),"",'Settings (no)load'!$L$35)</f>
        <v>110</v>
      </c>
      <c r="H9" s="132" t="str">
        <f>+IF(ISBLANK('Settings (no)load'!$N$35),"",'Settings (no)load'!$N$35)</f>
        <v/>
      </c>
      <c r="I9" s="69"/>
      <c r="J9" s="132" t="s">
        <v>523</v>
      </c>
      <c r="K9" s="132" t="str">
        <f>+IF(ISBLANK('Settings (no)load'!$A$35),"",'Settings (no)load'!$A$35)</f>
        <v/>
      </c>
      <c r="L9" s="132">
        <f>+IF(ISBLANK('Settings (no)load'!$C$35),"",'Settings (no)load'!$C$35)</f>
        <v>80</v>
      </c>
      <c r="M9" s="132">
        <f>+IF(ISBLANK('Settings (no)load'!$F$35),"",'Settings (no)load'!$F$35)</f>
        <v>90</v>
      </c>
      <c r="N9" s="132">
        <f>+IF(ISBLANK('Settings (no)load'!$I$35),"",'Settings (no)load'!$I$35)</f>
        <v>100</v>
      </c>
      <c r="O9" s="132">
        <f>+IF(ISBLANK('Settings (no)load'!$L$35),"",'Settings (no)load'!$L$35)</f>
        <v>110</v>
      </c>
      <c r="P9" s="132" t="str">
        <f>+IF(ISBLANK('Settings (no)load'!$N$35),"",'Settings (no)load'!$N$35)</f>
        <v/>
      </c>
    </row>
    <row r="10" spans="2:16" ht="22.5" customHeight="1">
      <c r="B10" s="132" t="s">
        <v>524</v>
      </c>
      <c r="C10" s="132" t="str">
        <f>+IF(ISBLANK('Settings (no)load'!$A$36),"",'Settings (no)load'!$A$36)</f>
        <v/>
      </c>
      <c r="D10" s="132">
        <f>+IF(ISBLANK('Settings (no)load'!$C$36),"",'Settings (no)load'!$C$36)</f>
        <v>400</v>
      </c>
      <c r="E10" s="132">
        <f>+IF(ISBLANK('Settings (no)load'!$F$36),"",'Settings (no)load'!$F$36)</f>
        <v>450</v>
      </c>
      <c r="F10" s="132">
        <f>+IF(ISBLANK('Settings (no)load'!$I$36),"",'Settings (no)load'!$I$36)</f>
        <v>500</v>
      </c>
      <c r="G10" s="132">
        <f>+IF(ISBLANK('Settings (no)load'!$L$36),"",'Settings (no)load'!$L$36)</f>
        <v>550</v>
      </c>
      <c r="H10" s="132" t="str">
        <f>+IF(ISBLANK('Settings (no)load'!$N$36),"",'Settings (no)load'!$N$36)</f>
        <v/>
      </c>
      <c r="I10" s="69"/>
      <c r="J10" s="132" t="s">
        <v>524</v>
      </c>
      <c r="K10" s="132" t="str">
        <f>+IF(ISBLANK('Settings (no)load'!$A$36),"",'Settings (no)load'!$A$36)</f>
        <v/>
      </c>
      <c r="L10" s="132">
        <f>+IF(ISBLANK('Settings (no)load'!$C$36),"",'Settings (no)load'!$C$36)</f>
        <v>400</v>
      </c>
      <c r="M10" s="132">
        <f>+IF(ISBLANK('Settings (no)load'!$F$36),"",'Settings (no)load'!$F$36)</f>
        <v>450</v>
      </c>
      <c r="N10" s="132">
        <f>+IF(ISBLANK('Settings (no)load'!$I$36),"",'Settings (no)load'!$I$36)</f>
        <v>500</v>
      </c>
      <c r="O10" s="132">
        <f>+IF(ISBLANK('Settings (no)load'!$L$36),"",'Settings (no)load'!$L$36)</f>
        <v>550</v>
      </c>
      <c r="P10" s="132" t="str">
        <f>+IF(ISBLANK('Settings (no)load'!$N$36),"",'Settings (no)load'!$N$36)</f>
        <v/>
      </c>
    </row>
    <row r="11" spans="2:16" ht="22.5" customHeight="1">
      <c r="B11" s="132" t="s">
        <v>525</v>
      </c>
      <c r="C11" s="133"/>
      <c r="D11" s="133"/>
      <c r="E11" s="133"/>
      <c r="F11" s="133"/>
      <c r="G11" s="133"/>
      <c r="H11" s="133"/>
      <c r="I11" s="69"/>
      <c r="J11" s="132" t="s">
        <v>525</v>
      </c>
      <c r="K11" s="133"/>
      <c r="L11" s="133"/>
      <c r="M11" s="133"/>
      <c r="N11" s="133"/>
      <c r="O11" s="133"/>
      <c r="P11" s="133"/>
    </row>
    <row r="12" spans="2:16" ht="22.5" customHeight="1">
      <c r="B12" s="132" t="s">
        <v>508</v>
      </c>
      <c r="C12" s="133"/>
      <c r="D12" s="133"/>
      <c r="E12" s="133"/>
      <c r="F12" s="133"/>
      <c r="G12" s="133"/>
      <c r="H12" s="133"/>
      <c r="I12" s="69"/>
      <c r="J12" s="132" t="s">
        <v>508</v>
      </c>
      <c r="K12" s="133"/>
      <c r="L12" s="133"/>
      <c r="M12" s="133"/>
      <c r="N12" s="133"/>
      <c r="O12" s="133"/>
      <c r="P12" s="133"/>
    </row>
    <row r="13" spans="2:16" ht="22.5" customHeight="1">
      <c r="B13" s="161" t="s">
        <v>526</v>
      </c>
      <c r="C13" s="133"/>
      <c r="D13" s="133"/>
      <c r="E13" s="133"/>
      <c r="F13" s="133"/>
      <c r="G13" s="133"/>
      <c r="H13" s="133"/>
      <c r="I13" s="69"/>
      <c r="J13" s="161" t="s">
        <v>527</v>
      </c>
      <c r="K13" s="133"/>
      <c r="L13" s="133"/>
      <c r="M13" s="133"/>
      <c r="N13" s="133"/>
      <c r="O13" s="133"/>
      <c r="P13" s="133"/>
    </row>
    <row r="14" spans="2:16" ht="22.5" customHeight="1">
      <c r="B14" s="161" t="s">
        <v>528</v>
      </c>
      <c r="C14" s="133"/>
      <c r="D14" s="133"/>
      <c r="E14" s="133"/>
      <c r="F14" s="133"/>
      <c r="G14" s="133"/>
      <c r="H14" s="133"/>
      <c r="I14" s="69"/>
      <c r="J14" s="161" t="s">
        <v>529</v>
      </c>
      <c r="K14" s="133"/>
      <c r="L14" s="133"/>
      <c r="M14" s="133"/>
      <c r="N14" s="133"/>
      <c r="O14" s="133"/>
      <c r="P14" s="133"/>
    </row>
    <row r="15" spans="2:16" ht="22.5" customHeight="1">
      <c r="B15" s="161" t="s">
        <v>530</v>
      </c>
      <c r="C15" s="133"/>
      <c r="D15" s="133"/>
      <c r="E15" s="133"/>
      <c r="F15" s="133"/>
      <c r="G15" s="133"/>
      <c r="H15" s="133"/>
      <c r="I15" s="69"/>
      <c r="J15" s="161" t="s">
        <v>531</v>
      </c>
      <c r="K15" s="133"/>
      <c r="L15" s="133"/>
      <c r="M15" s="133"/>
      <c r="N15" s="133"/>
      <c r="O15" s="133"/>
      <c r="P15" s="133"/>
    </row>
    <row r="16" spans="2:16" ht="22.5" customHeight="1">
      <c r="B16" s="161" t="s">
        <v>532</v>
      </c>
      <c r="C16" s="133"/>
      <c r="D16" s="133"/>
      <c r="E16" s="133"/>
      <c r="F16" s="133"/>
      <c r="G16" s="133"/>
      <c r="H16" s="133"/>
      <c r="I16" s="69"/>
      <c r="J16" s="161" t="s">
        <v>533</v>
      </c>
      <c r="K16" s="133"/>
      <c r="L16" s="133"/>
      <c r="M16" s="133"/>
      <c r="N16" s="133"/>
      <c r="O16" s="133"/>
      <c r="P16" s="133"/>
    </row>
    <row r="17" spans="2:16" ht="22.5" customHeight="1">
      <c r="B17" s="161" t="s">
        <v>534</v>
      </c>
      <c r="C17" s="133"/>
      <c r="D17" s="133"/>
      <c r="E17" s="133"/>
      <c r="F17" s="133"/>
      <c r="G17" s="133"/>
      <c r="H17" s="133"/>
      <c r="I17" s="69"/>
      <c r="J17" s="161" t="s">
        <v>535</v>
      </c>
      <c r="K17" s="133"/>
      <c r="L17" s="133"/>
      <c r="M17" s="133"/>
      <c r="N17" s="133"/>
      <c r="O17" s="133"/>
      <c r="P17" s="133"/>
    </row>
    <row r="18" spans="2:16" ht="22.5" customHeight="1">
      <c r="B18" s="161" t="s">
        <v>536</v>
      </c>
      <c r="C18" s="133"/>
      <c r="D18" s="133"/>
      <c r="E18" s="133"/>
      <c r="F18" s="133"/>
      <c r="G18" s="133"/>
      <c r="H18" s="133"/>
      <c r="I18" s="69"/>
      <c r="J18" s="161" t="s">
        <v>537</v>
      </c>
      <c r="K18" s="133"/>
      <c r="L18" s="133"/>
      <c r="M18" s="133"/>
      <c r="N18" s="133"/>
      <c r="O18" s="133"/>
      <c r="P18" s="133"/>
    </row>
    <row r="19" spans="2:16" ht="22.5" customHeight="1">
      <c r="B19" s="161" t="s">
        <v>538</v>
      </c>
      <c r="C19" s="133"/>
      <c r="D19" s="133"/>
      <c r="E19" s="133"/>
      <c r="F19" s="133"/>
      <c r="G19" s="133"/>
      <c r="H19" s="133"/>
      <c r="I19" s="69"/>
      <c r="J19" s="161" t="s">
        <v>539</v>
      </c>
      <c r="K19" s="133"/>
      <c r="L19" s="133"/>
      <c r="M19" s="133"/>
      <c r="N19" s="133"/>
      <c r="O19" s="133"/>
      <c r="P19" s="133"/>
    </row>
    <row r="20" spans="2:16" ht="22.5" customHeight="1">
      <c r="B20" s="161" t="s">
        <v>540</v>
      </c>
      <c r="C20" s="133"/>
      <c r="D20" s="133"/>
      <c r="E20" s="133"/>
      <c r="F20" s="133"/>
      <c r="G20" s="133"/>
      <c r="H20" s="133"/>
      <c r="I20" s="69"/>
      <c r="J20" s="161" t="s">
        <v>541</v>
      </c>
      <c r="K20" s="133"/>
      <c r="L20" s="133"/>
      <c r="M20" s="133"/>
      <c r="N20" s="133"/>
      <c r="O20" s="133"/>
      <c r="P20" s="133"/>
    </row>
    <row r="21" spans="2:16" ht="22.5" customHeight="1">
      <c r="B21" s="161" t="s">
        <v>542</v>
      </c>
      <c r="C21" s="133"/>
      <c r="D21" s="133"/>
      <c r="E21" s="133"/>
      <c r="F21" s="133"/>
      <c r="G21" s="133"/>
      <c r="H21" s="133"/>
      <c r="I21" s="69"/>
      <c r="J21" s="161" t="s">
        <v>543</v>
      </c>
      <c r="K21" s="133"/>
      <c r="L21" s="133"/>
      <c r="M21" s="133"/>
      <c r="N21" s="133"/>
      <c r="O21" s="133"/>
      <c r="P21" s="133"/>
    </row>
    <row r="22" spans="2:16" ht="22.5" customHeight="1">
      <c r="B22" s="161" t="s">
        <v>544</v>
      </c>
      <c r="C22" s="133"/>
      <c r="D22" s="133"/>
      <c r="E22" s="133"/>
      <c r="F22" s="133"/>
      <c r="G22" s="133"/>
      <c r="H22" s="133"/>
      <c r="I22" s="69"/>
      <c r="J22" s="161" t="s">
        <v>545</v>
      </c>
      <c r="K22" s="133"/>
      <c r="L22" s="133"/>
      <c r="M22" s="133"/>
      <c r="N22" s="133"/>
      <c r="O22" s="133"/>
      <c r="P22" s="133"/>
    </row>
    <row r="23" spans="2:16" ht="22.5" customHeight="1">
      <c r="B23" s="161" t="s">
        <v>546</v>
      </c>
      <c r="C23" s="133"/>
      <c r="D23" s="133"/>
      <c r="E23" s="133"/>
      <c r="F23" s="133"/>
      <c r="G23" s="133"/>
      <c r="H23" s="133"/>
      <c r="I23" s="69"/>
      <c r="J23" s="161" t="s">
        <v>547</v>
      </c>
      <c r="K23" s="133"/>
      <c r="L23" s="133"/>
      <c r="M23" s="133"/>
      <c r="N23" s="133"/>
      <c r="O23" s="133"/>
      <c r="P23" s="133"/>
    </row>
    <row r="24" spans="2:16" ht="22.5" customHeight="1">
      <c r="B24" s="161" t="s">
        <v>548</v>
      </c>
      <c r="C24" s="133"/>
      <c r="D24" s="133"/>
      <c r="E24" s="133"/>
      <c r="F24" s="133"/>
      <c r="G24" s="133"/>
      <c r="H24" s="133"/>
      <c r="I24" s="69"/>
      <c r="J24" s="161" t="s">
        <v>549</v>
      </c>
      <c r="K24" s="133"/>
      <c r="L24" s="133"/>
      <c r="M24" s="133"/>
      <c r="N24" s="133"/>
      <c r="O24" s="133"/>
      <c r="P24" s="133"/>
    </row>
    <row r="25" spans="2:16" ht="22.5" customHeight="1">
      <c r="B25" s="132" t="s">
        <v>550</v>
      </c>
      <c r="C25" s="132">
        <f>+SUM(C22:C24)</f>
        <v>0</v>
      </c>
      <c r="D25" s="132">
        <f t="shared" ref="D25:H25" si="0">+SUM(D22:D24)</f>
        <v>0</v>
      </c>
      <c r="E25" s="132">
        <f t="shared" si="0"/>
        <v>0</v>
      </c>
      <c r="F25" s="132">
        <f t="shared" si="0"/>
        <v>0</v>
      </c>
      <c r="G25" s="132">
        <f t="shared" si="0"/>
        <v>0</v>
      </c>
      <c r="H25" s="132">
        <f t="shared" si="0"/>
        <v>0</v>
      </c>
      <c r="I25" s="69"/>
      <c r="J25" s="132" t="s">
        <v>551</v>
      </c>
      <c r="K25" s="132">
        <f>+SUM(K22:K24)</f>
        <v>0</v>
      </c>
      <c r="L25" s="132">
        <f t="shared" ref="L25" si="1">+SUM(L22:L24)</f>
        <v>0</v>
      </c>
      <c r="M25" s="132">
        <f t="shared" ref="M25" si="2">+SUM(M22:M24)</f>
        <v>0</v>
      </c>
      <c r="N25" s="132">
        <f t="shared" ref="N25" si="3">+SUM(N22:N24)</f>
        <v>0</v>
      </c>
      <c r="O25" s="132">
        <f t="shared" ref="O25" si="4">+SUM(O22:O24)</f>
        <v>0</v>
      </c>
      <c r="P25" s="132">
        <f t="shared" ref="P25" si="5">+SUM(P22:P24)</f>
        <v>0</v>
      </c>
    </row>
    <row r="26" spans="2:16" ht="22.5" customHeight="1">
      <c r="B26" s="132" t="s">
        <v>550</v>
      </c>
      <c r="C26" s="132">
        <f>+C13*C16*C19+C14*C17*C20+C15*C18*C21</f>
        <v>0</v>
      </c>
      <c r="D26" s="132">
        <f t="shared" ref="D26:H26" si="6">+D13*D16*D19+D14*D17*D20+D15*D18*D21</f>
        <v>0</v>
      </c>
      <c r="E26" s="132">
        <f t="shared" si="6"/>
        <v>0</v>
      </c>
      <c r="F26" s="132">
        <f t="shared" si="6"/>
        <v>0</v>
      </c>
      <c r="G26" s="132">
        <f t="shared" si="6"/>
        <v>0</v>
      </c>
      <c r="H26" s="132">
        <f t="shared" si="6"/>
        <v>0</v>
      </c>
      <c r="I26" s="159"/>
      <c r="J26" s="132" t="s">
        <v>551</v>
      </c>
      <c r="K26" s="132">
        <f>+K13*K16*K19+K14*K17*K20+K15*K18*K21</f>
        <v>0</v>
      </c>
      <c r="L26" s="132">
        <f t="shared" ref="L26:P26" si="7">+L13*L16*L19+L14*L17*L20+L15*L18*L21</f>
        <v>0</v>
      </c>
      <c r="M26" s="132">
        <f t="shared" si="7"/>
        <v>0</v>
      </c>
      <c r="N26" s="132">
        <f t="shared" si="7"/>
        <v>0</v>
      </c>
      <c r="O26" s="132">
        <f t="shared" si="7"/>
        <v>0</v>
      </c>
      <c r="P26" s="132">
        <f t="shared" si="7"/>
        <v>0</v>
      </c>
    </row>
    <row r="27" spans="2:16" ht="22.5" customHeight="1">
      <c r="B27" s="69"/>
      <c r="C27" s="73"/>
      <c r="D27" s="160"/>
      <c r="E27" s="159"/>
      <c r="F27" s="159"/>
      <c r="G27" s="159"/>
      <c r="H27" s="159"/>
      <c r="I27" s="159"/>
      <c r="J27" s="161" t="s">
        <v>552</v>
      </c>
      <c r="K27" s="133"/>
      <c r="L27" s="133"/>
      <c r="M27" s="133"/>
      <c r="N27" s="133"/>
      <c r="O27" s="133"/>
      <c r="P27" s="133"/>
    </row>
    <row r="28" spans="2:16" ht="22.5" customHeight="1">
      <c r="B28" s="69"/>
      <c r="C28" s="69"/>
      <c r="D28" s="69"/>
      <c r="E28" s="69"/>
      <c r="F28" s="69"/>
      <c r="G28" s="69"/>
      <c r="H28" s="69"/>
      <c r="I28" s="69"/>
      <c r="J28" s="161" t="s">
        <v>553</v>
      </c>
      <c r="K28" s="133"/>
      <c r="L28" s="133"/>
      <c r="M28" s="133"/>
      <c r="N28" s="133"/>
      <c r="O28" s="133"/>
      <c r="P28" s="133"/>
    </row>
    <row r="29" spans="2:16" ht="22.5" customHeight="1">
      <c r="B29" s="69"/>
      <c r="C29" s="69"/>
      <c r="D29" s="69"/>
      <c r="E29" s="69"/>
      <c r="F29" s="69"/>
      <c r="G29" s="69"/>
      <c r="H29" s="69"/>
      <c r="I29" s="69"/>
      <c r="J29" s="161" t="s">
        <v>554</v>
      </c>
      <c r="K29" s="133"/>
      <c r="L29" s="133"/>
      <c r="M29" s="133"/>
      <c r="N29" s="133"/>
      <c r="O29" s="133"/>
      <c r="P29" s="133"/>
    </row>
    <row r="30" spans="2:16" ht="22.5" customHeight="1">
      <c r="B30" s="161" t="s">
        <v>555</v>
      </c>
      <c r="C30" s="133"/>
      <c r="D30" s="69"/>
      <c r="E30" s="69" t="s">
        <v>556</v>
      </c>
      <c r="F30" s="69"/>
      <c r="G30" s="69"/>
      <c r="H30" s="69"/>
      <c r="I30" s="69"/>
      <c r="J30" s="161" t="s">
        <v>557</v>
      </c>
      <c r="K30" s="133"/>
      <c r="L30" s="133"/>
      <c r="M30" s="133"/>
      <c r="N30" s="133"/>
      <c r="O30" s="133"/>
      <c r="P30" s="133"/>
    </row>
    <row r="31" spans="2:16" ht="22.5" customHeight="1">
      <c r="B31" s="161" t="s">
        <v>558</v>
      </c>
      <c r="C31" s="133"/>
      <c r="D31" s="69"/>
      <c r="E31" s="69" t="s">
        <v>559</v>
      </c>
      <c r="F31" s="69"/>
      <c r="G31" s="69"/>
      <c r="H31" s="69"/>
      <c r="I31" s="69"/>
      <c r="J31" s="161" t="s">
        <v>560</v>
      </c>
      <c r="K31" s="133"/>
      <c r="L31" s="133"/>
      <c r="M31" s="133"/>
      <c r="N31" s="133"/>
      <c r="O31" s="133"/>
      <c r="P31" s="133"/>
    </row>
    <row r="32" spans="2:16">
      <c r="O32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B2283-31C3-4E77-8E42-C026BA39ABB3}">
  <dimension ref="B1:K19"/>
  <sheetViews>
    <sheetView showGridLines="0" view="pageLayout" zoomScaleNormal="100" workbookViewId="0">
      <selection activeCell="C6" sqref="C6"/>
    </sheetView>
  </sheetViews>
  <sheetFormatPr defaultRowHeight="11.25"/>
  <cols>
    <col min="1" max="1" width="2.25" customWidth="1"/>
    <col min="2" max="2" width="48.5" customWidth="1"/>
    <col min="3" max="4" width="19.125" customWidth="1"/>
    <col min="5" max="5" width="19.625" customWidth="1"/>
    <col min="6" max="6" width="15.75" customWidth="1"/>
    <col min="7" max="7" width="16.5" customWidth="1"/>
    <col min="8" max="8" width="23.875" customWidth="1"/>
    <col min="9" max="9" width="36.5" customWidth="1"/>
    <col min="11" max="11" width="14.375" customWidth="1"/>
  </cols>
  <sheetData>
    <row r="1" spans="2:11" ht="12" thickBot="1">
      <c r="K1" s="2"/>
    </row>
    <row r="2" spans="2:11" ht="14.25">
      <c r="B2" s="198" t="s">
        <v>364</v>
      </c>
      <c r="C2" s="199" t="s">
        <v>561</v>
      </c>
      <c r="D2" s="200" t="s">
        <v>562</v>
      </c>
      <c r="K2" s="2"/>
    </row>
    <row r="3" spans="2:11" ht="23.25" customHeight="1">
      <c r="B3" s="201" t="s">
        <v>563</v>
      </c>
      <c r="C3" s="193">
        <f>+'Specification machine'!C70</f>
        <v>79</v>
      </c>
      <c r="D3" s="202" t="str">
        <f>'Specification machine'!$D$70</f>
        <v>rpm</v>
      </c>
      <c r="K3" s="2"/>
    </row>
    <row r="4" spans="2:11" ht="23.25" customHeight="1">
      <c r="B4" s="201" t="s">
        <v>564</v>
      </c>
      <c r="C4" s="195" t="str">
        <f>'Specification machine'!$C$110</f>
        <v>B</v>
      </c>
      <c r="D4" s="202" t="s">
        <v>114</v>
      </c>
      <c r="K4" s="2"/>
    </row>
    <row r="5" spans="2:11" ht="14.25">
      <c r="B5" s="201" t="s">
        <v>565</v>
      </c>
      <c r="C5" s="193" t="str">
        <f>'Specification machine'!$C$81</f>
        <v xml:space="preserve"> </v>
      </c>
      <c r="D5" s="202" t="str">
        <f>'Specification machine'!$D$81</f>
        <v>mm</v>
      </c>
      <c r="K5" s="2"/>
    </row>
    <row r="6" spans="2:11" ht="23.25" customHeight="1">
      <c r="B6" s="201" t="s">
        <v>566</v>
      </c>
      <c r="C6" s="207">
        <f>'Specification machine'!$C$109</f>
        <v>1.5</v>
      </c>
      <c r="D6" s="202" t="str">
        <f>'Specification machine'!$D$109</f>
        <v>V rms (mm/s)</v>
      </c>
      <c r="K6" s="2"/>
    </row>
    <row r="7" spans="2:11" ht="23.25" customHeight="1">
      <c r="B7" s="201" t="s">
        <v>567</v>
      </c>
      <c r="C7" s="205" t="s">
        <v>568</v>
      </c>
      <c r="D7" s="202" t="s">
        <v>114</v>
      </c>
    </row>
    <row r="8" spans="2:11" ht="45.75" customHeight="1">
      <c r="B8" s="201" t="s">
        <v>569</v>
      </c>
      <c r="C8" s="205" t="s">
        <v>570</v>
      </c>
      <c r="D8" s="202" t="s">
        <v>114</v>
      </c>
    </row>
    <row r="9" spans="2:11" ht="51.75" customHeight="1" thickBot="1">
      <c r="B9" s="203" t="s">
        <v>571</v>
      </c>
      <c r="C9" s="206" t="s">
        <v>572</v>
      </c>
      <c r="D9" s="204" t="s">
        <v>114</v>
      </c>
    </row>
    <row r="10" spans="2:11" ht="33.75" customHeight="1">
      <c r="B10" s="196"/>
      <c r="C10" s="197"/>
      <c r="D10" s="197"/>
    </row>
    <row r="12" spans="2:11" ht="11.25" customHeight="1" thickBot="1"/>
    <row r="13" spans="2:11" ht="20.25" customHeight="1" thickBot="1">
      <c r="B13" s="473" t="s">
        <v>573</v>
      </c>
      <c r="C13" s="473" t="s">
        <v>574</v>
      </c>
      <c r="D13" s="476" t="s">
        <v>575</v>
      </c>
      <c r="E13" s="477"/>
    </row>
    <row r="14" spans="2:11" ht="15.75" thickBot="1">
      <c r="B14" s="474"/>
      <c r="C14" s="474"/>
      <c r="D14" s="190" t="s">
        <v>576</v>
      </c>
      <c r="E14" s="190" t="s">
        <v>577</v>
      </c>
    </row>
    <row r="15" spans="2:11" ht="15" thickBot="1">
      <c r="B15" s="475"/>
      <c r="C15" s="475"/>
      <c r="D15" s="190" t="s">
        <v>578</v>
      </c>
      <c r="E15" s="190" t="s">
        <v>578</v>
      </c>
    </row>
    <row r="16" spans="2:11" ht="15" thickBot="1">
      <c r="B16" s="478" t="s">
        <v>173</v>
      </c>
      <c r="C16" s="190" t="s">
        <v>579</v>
      </c>
      <c r="D16" s="190">
        <v>2.8</v>
      </c>
      <c r="E16" s="190">
        <v>2.8</v>
      </c>
    </row>
    <row r="17" spans="2:5" ht="15" thickBot="1">
      <c r="B17" s="479"/>
      <c r="C17" s="190" t="s">
        <v>580</v>
      </c>
      <c r="D17" s="190" t="s">
        <v>114</v>
      </c>
      <c r="E17" s="190">
        <v>2.2999999999999998</v>
      </c>
    </row>
    <row r="18" spans="2:5" ht="15" thickBot="1">
      <c r="B18" s="478" t="s">
        <v>299</v>
      </c>
      <c r="C18" s="190" t="s">
        <v>579</v>
      </c>
      <c r="D18" s="190">
        <v>1.1000000000000001</v>
      </c>
      <c r="E18" s="190">
        <v>1.8</v>
      </c>
    </row>
    <row r="19" spans="2:5" ht="15" thickBot="1">
      <c r="B19" s="479"/>
      <c r="C19" s="190" t="s">
        <v>580</v>
      </c>
      <c r="D19" s="190" t="s">
        <v>114</v>
      </c>
      <c r="E19" s="190">
        <v>1.5</v>
      </c>
    </row>
  </sheetData>
  <sheetProtection sheet="1" objects="1" scenarios="1"/>
  <mergeCells count="5">
    <mergeCell ref="B13:B15"/>
    <mergeCell ref="C13:C15"/>
    <mergeCell ref="D13:E13"/>
    <mergeCell ref="B16:B17"/>
    <mergeCell ref="B18:B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8310-6C8B-4706-B19A-C0BBF57E5AF8}">
  <dimension ref="B2:L30"/>
  <sheetViews>
    <sheetView showGridLines="0" view="pageLayout" topLeftCell="A7" zoomScaleNormal="100" workbookViewId="0">
      <selection activeCell="B31" sqref="B31"/>
    </sheetView>
  </sheetViews>
  <sheetFormatPr defaultRowHeight="11.25"/>
  <cols>
    <col min="1" max="1" width="2.25" customWidth="1"/>
    <col min="2" max="2" width="39.625" customWidth="1"/>
    <col min="3" max="3" width="6.5" customWidth="1"/>
    <col min="4" max="5" width="19.125" customWidth="1"/>
    <col min="6" max="6" width="19.625" customWidth="1"/>
    <col min="7" max="7" width="15.75" customWidth="1"/>
    <col min="8" max="8" width="16.5" customWidth="1"/>
    <col min="9" max="9" width="23.875" customWidth="1"/>
    <col min="10" max="10" width="36.5" customWidth="1"/>
    <col min="12" max="12" width="14.375" customWidth="1"/>
  </cols>
  <sheetData>
    <row r="2" spans="12:12">
      <c r="L2" s="2"/>
    </row>
    <row r="3" spans="12:12">
      <c r="L3" s="2"/>
    </row>
    <row r="4" spans="12:12">
      <c r="L4" s="2"/>
    </row>
    <row r="5" spans="12:12">
      <c r="L5" s="2"/>
    </row>
    <row r="6" spans="12:12">
      <c r="L6" s="2"/>
    </row>
    <row r="7" spans="12:12">
      <c r="L7" s="2"/>
    </row>
    <row r="8" spans="12:12">
      <c r="L8" s="2"/>
    </row>
    <row r="18" spans="2:10" ht="12" thickBot="1"/>
    <row r="19" spans="2:10" ht="26.25" thickBot="1">
      <c r="B19" s="167" t="s">
        <v>581</v>
      </c>
      <c r="C19" s="170"/>
      <c r="D19" s="173" t="s">
        <v>582</v>
      </c>
      <c r="E19" s="172" t="s">
        <v>583</v>
      </c>
      <c r="F19" s="173" t="s">
        <v>584</v>
      </c>
      <c r="G19" s="172" t="s">
        <v>583</v>
      </c>
    </row>
    <row r="20" spans="2:10" ht="25.5">
      <c r="B20" s="174" t="s">
        <v>585</v>
      </c>
      <c r="C20" s="180"/>
      <c r="D20" s="183"/>
      <c r="E20" s="175"/>
      <c r="F20" s="177"/>
      <c r="G20" s="175"/>
    </row>
    <row r="21" spans="2:10" ht="25.5">
      <c r="B21" s="168" t="s">
        <v>586</v>
      </c>
      <c r="C21" s="181"/>
      <c r="D21" s="184"/>
      <c r="E21" s="171"/>
      <c r="F21" s="178"/>
      <c r="G21" s="171"/>
    </row>
    <row r="22" spans="2:10" ht="25.5">
      <c r="B22" s="168" t="s">
        <v>587</v>
      </c>
      <c r="C22" s="181"/>
      <c r="D22" s="184"/>
      <c r="E22" s="171"/>
      <c r="F22" s="178"/>
      <c r="G22" s="171"/>
      <c r="J22" s="3"/>
    </row>
    <row r="23" spans="2:10" ht="30" customHeight="1">
      <c r="B23" s="168" t="s">
        <v>588</v>
      </c>
      <c r="C23" s="181"/>
      <c r="D23" s="184"/>
      <c r="E23" s="171"/>
      <c r="F23" s="178"/>
      <c r="G23" s="171"/>
    </row>
    <row r="24" spans="2:10" ht="26.25" thickBot="1">
      <c r="B24" s="169" t="s">
        <v>589</v>
      </c>
      <c r="C24" s="182"/>
      <c r="D24" s="185"/>
      <c r="E24" s="176"/>
      <c r="F24" s="179"/>
      <c r="G24" s="176"/>
    </row>
    <row r="27" spans="2:10" ht="14.25">
      <c r="D27" s="151" t="s">
        <v>590</v>
      </c>
      <c r="E27" s="152"/>
      <c r="F27" s="152"/>
      <c r="G27" s="153"/>
    </row>
    <row r="28" spans="2:10" ht="14.25">
      <c r="D28" s="154"/>
      <c r="E28" s="69"/>
      <c r="F28" s="69"/>
      <c r="G28" s="155"/>
    </row>
    <row r="29" spans="2:10" ht="14.25">
      <c r="D29" s="156" t="s">
        <v>164</v>
      </c>
      <c r="E29" s="156" t="s">
        <v>165</v>
      </c>
      <c r="F29" s="156" t="s">
        <v>272</v>
      </c>
      <c r="G29" s="156" t="s">
        <v>166</v>
      </c>
    </row>
    <row r="30" spans="2:10" ht="14.25">
      <c r="D30" s="157"/>
      <c r="E30" s="157"/>
      <c r="F30" s="158" t="str">
        <f>+IF(AND(D30="",E30="",G30=""),IF('Specification machine'!$C$191,"","X"),"")</f>
        <v/>
      </c>
      <c r="G30" s="157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C9AE-AA74-4029-B5E4-5D43832BCDF1}">
  <dimension ref="B9:K21"/>
  <sheetViews>
    <sheetView showGridLines="0" view="pageLayout" zoomScaleNormal="100" workbookViewId="0">
      <selection activeCell="C1" sqref="C1"/>
    </sheetView>
  </sheetViews>
  <sheetFormatPr defaultRowHeight="11.25"/>
  <cols>
    <col min="1" max="1" width="2.25" customWidth="1"/>
    <col min="2" max="2" width="48.5" customWidth="1"/>
    <col min="3" max="3" width="31.375" customWidth="1"/>
    <col min="4" max="4" width="21.25" customWidth="1"/>
    <col min="5" max="5" width="19.625" customWidth="1"/>
    <col min="6" max="6" width="15.75" customWidth="1"/>
    <col min="7" max="7" width="16.5" customWidth="1"/>
    <col min="8" max="8" width="23.875" customWidth="1"/>
    <col min="9" max="9" width="36.5" customWidth="1"/>
    <col min="11" max="11" width="14.375" customWidth="1"/>
  </cols>
  <sheetData>
    <row r="9" spans="2:11">
      <c r="K9" s="2"/>
    </row>
    <row r="10" spans="2:11" ht="14.25">
      <c r="B10" s="191" t="s">
        <v>364</v>
      </c>
      <c r="C10" s="191" t="s">
        <v>561</v>
      </c>
      <c r="D10" s="191" t="s">
        <v>562</v>
      </c>
      <c r="K10" s="2"/>
    </row>
    <row r="11" spans="2:11" ht="23.25" customHeight="1">
      <c r="B11" s="192" t="s">
        <v>563</v>
      </c>
      <c r="C11" s="193">
        <f>+'Specification machine'!C70</f>
        <v>79</v>
      </c>
      <c r="D11" s="194" t="str">
        <f>'Specification machine'!$D$70</f>
        <v>rpm</v>
      </c>
      <c r="K11" s="2"/>
    </row>
    <row r="12" spans="2:11" ht="23.25" customHeight="1">
      <c r="B12" s="192" t="s">
        <v>591</v>
      </c>
      <c r="C12" s="193">
        <f>+C14-C13</f>
        <v>76</v>
      </c>
      <c r="D12" s="194" t="s">
        <v>592</v>
      </c>
      <c r="K12" s="2"/>
    </row>
    <row r="13" spans="2:11" ht="17.25">
      <c r="B13" s="192" t="s">
        <v>593</v>
      </c>
      <c r="C13" s="205">
        <v>2</v>
      </c>
      <c r="D13" s="194" t="s">
        <v>592</v>
      </c>
      <c r="K13" s="2"/>
    </row>
    <row r="14" spans="2:11" ht="23.25" customHeight="1">
      <c r="B14" s="192" t="s">
        <v>594</v>
      </c>
      <c r="C14" s="193">
        <f>'Specification machine'!$C$111</f>
        <v>78</v>
      </c>
      <c r="D14" s="194" t="str">
        <f>'Specification machine'!$D$111</f>
        <v>dB(A)</v>
      </c>
      <c r="K14" s="2"/>
    </row>
    <row r="15" spans="2:11" ht="23.25" customHeight="1">
      <c r="B15" s="192" t="s">
        <v>187</v>
      </c>
      <c r="C15" s="215" t="str">
        <f>'Specification machine'!$C$126</f>
        <v xml:space="preserve"> </v>
      </c>
      <c r="D15" s="194" t="s">
        <v>114</v>
      </c>
      <c r="K15" s="2"/>
    </row>
    <row r="16" spans="2:11" ht="23.25" customHeight="1">
      <c r="B16" s="192" t="s">
        <v>595</v>
      </c>
      <c r="C16" s="214" t="str">
        <f>'Specification machine'!$C$127</f>
        <v xml:space="preserve"> </v>
      </c>
      <c r="D16" s="194"/>
    </row>
    <row r="17" spans="2:4" ht="51.75" customHeight="1">
      <c r="B17" s="192" t="s">
        <v>596</v>
      </c>
      <c r="C17" s="205" t="s">
        <v>572</v>
      </c>
      <c r="D17" s="194" t="s">
        <v>114</v>
      </c>
    </row>
    <row r="18" spans="2:4" ht="33.75" customHeight="1">
      <c r="B18" s="196"/>
      <c r="C18" s="197"/>
      <c r="D18" s="197"/>
    </row>
    <row r="20" spans="2:4" ht="11.25" customHeight="1"/>
    <row r="21" spans="2:4" ht="20.25" customHeight="1"/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EC08-E737-4662-945A-6EA0A3793FF7}">
  <dimension ref="B2:L29"/>
  <sheetViews>
    <sheetView showGridLines="0" view="pageLayout" zoomScaleNormal="100" workbookViewId="0">
      <selection activeCell="F8" sqref="F8"/>
    </sheetView>
  </sheetViews>
  <sheetFormatPr defaultRowHeight="11.25"/>
  <cols>
    <col min="1" max="1" width="2.25" customWidth="1"/>
    <col min="2" max="2" width="39.625" customWidth="1"/>
    <col min="3" max="3" width="6.5" customWidth="1"/>
    <col min="4" max="5" width="19.125" customWidth="1"/>
    <col min="6" max="6" width="19.625" customWidth="1"/>
    <col min="7" max="7" width="15.75" customWidth="1"/>
    <col min="8" max="8" width="16.5" customWidth="1"/>
    <col min="9" max="9" width="23.875" customWidth="1"/>
    <col min="10" max="10" width="36.5" customWidth="1"/>
    <col min="12" max="12" width="14.375" customWidth="1"/>
  </cols>
  <sheetData>
    <row r="2" spans="12:12">
      <c r="L2" s="2"/>
    </row>
    <row r="3" spans="12:12">
      <c r="L3" s="2"/>
    </row>
    <row r="4" spans="12:12">
      <c r="L4" s="2"/>
    </row>
    <row r="5" spans="12:12">
      <c r="L5" s="2"/>
    </row>
    <row r="6" spans="12:12">
      <c r="L6" s="2"/>
    </row>
    <row r="7" spans="12:12">
      <c r="L7" s="2"/>
    </row>
    <row r="8" spans="12:12">
      <c r="L8" s="2"/>
    </row>
    <row r="16" spans="12:12" ht="12" thickBot="1"/>
    <row r="17" spans="2:10" ht="26.25" thickBot="1">
      <c r="B17" s="173" t="s">
        <v>597</v>
      </c>
      <c r="C17" s="170"/>
      <c r="D17" s="173" t="s">
        <v>598</v>
      </c>
      <c r="E17" s="172" t="s">
        <v>599</v>
      </c>
      <c r="F17" s="173" t="s">
        <v>600</v>
      </c>
      <c r="G17" s="172" t="s">
        <v>601</v>
      </c>
    </row>
    <row r="18" spans="2:10" ht="25.5">
      <c r="B18" s="174" t="s">
        <v>585</v>
      </c>
      <c r="C18" s="180"/>
      <c r="D18" s="183"/>
      <c r="E18" s="175"/>
      <c r="F18" s="177"/>
      <c r="G18" s="175"/>
    </row>
    <row r="19" spans="2:10" ht="25.5">
      <c r="B19" s="168" t="s">
        <v>586</v>
      </c>
      <c r="C19" s="181"/>
      <c r="D19" s="184"/>
      <c r="E19" s="171"/>
      <c r="F19" s="178"/>
      <c r="G19" s="171"/>
    </row>
    <row r="20" spans="2:10" ht="25.5">
      <c r="B20" s="168" t="s">
        <v>602</v>
      </c>
      <c r="C20" s="181"/>
      <c r="D20" s="184"/>
      <c r="E20" s="171"/>
      <c r="F20" s="178"/>
      <c r="G20" s="171"/>
      <c r="J20" s="3"/>
    </row>
    <row r="21" spans="2:10" ht="25.5">
      <c r="B21" s="168" t="s">
        <v>603</v>
      </c>
      <c r="C21" s="181"/>
      <c r="D21" s="184"/>
      <c r="E21" s="171"/>
      <c r="F21" s="178"/>
      <c r="G21" s="171"/>
    </row>
    <row r="22" spans="2:10" ht="25.5">
      <c r="B22" s="168" t="s">
        <v>604</v>
      </c>
      <c r="C22" s="208"/>
      <c r="D22" s="209"/>
      <c r="E22" s="210"/>
      <c r="F22" s="211"/>
      <c r="G22" s="210"/>
    </row>
    <row r="23" spans="2:10" ht="25.5">
      <c r="B23" s="372" t="s">
        <v>605</v>
      </c>
      <c r="C23" s="208"/>
      <c r="D23" s="209"/>
      <c r="E23" s="210"/>
      <c r="F23" s="211"/>
      <c r="G23" s="210"/>
    </row>
    <row r="24" spans="2:10" ht="26.25" thickBot="1">
      <c r="B24" s="213" t="s">
        <v>606</v>
      </c>
      <c r="C24" s="182"/>
      <c r="D24" s="185"/>
      <c r="E24" s="176"/>
      <c r="F24" s="179"/>
      <c r="G24" s="176"/>
    </row>
    <row r="26" spans="2:10" ht="14.25">
      <c r="D26" s="151" t="s">
        <v>607</v>
      </c>
      <c r="E26" s="152"/>
      <c r="F26" s="152"/>
      <c r="G26" s="153"/>
    </row>
    <row r="27" spans="2:10" ht="14.25">
      <c r="D27" s="154"/>
      <c r="E27" s="69"/>
      <c r="F27" s="69"/>
      <c r="G27" s="155"/>
    </row>
    <row r="28" spans="2:10" ht="14.25">
      <c r="D28" s="156" t="s">
        <v>164</v>
      </c>
      <c r="E28" s="156" t="s">
        <v>165</v>
      </c>
      <c r="F28" s="156" t="s">
        <v>272</v>
      </c>
      <c r="G28" s="156" t="s">
        <v>166</v>
      </c>
    </row>
    <row r="29" spans="2:10" ht="14.25">
      <c r="B29" s="212" t="s">
        <v>608</v>
      </c>
      <c r="D29" s="157"/>
      <c r="E29" s="157"/>
      <c r="F29" s="158" t="str">
        <f>+IF(AND(D29="",E29="",G29=""),IF('Specification machine'!$C$191,"","X"),"")</f>
        <v/>
      </c>
      <c r="G29" s="157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BCE9-D403-4F87-8FD6-46BA113E7CA7}">
  <dimension ref="A2:I40"/>
  <sheetViews>
    <sheetView showGridLines="0" view="pageLayout" topLeftCell="A7" zoomScaleNormal="100" workbookViewId="0">
      <selection activeCell="B17" sqref="B17"/>
    </sheetView>
  </sheetViews>
  <sheetFormatPr defaultColWidth="9" defaultRowHeight="11.25"/>
  <cols>
    <col min="1" max="1" width="2.25" customWidth="1"/>
    <col min="2" max="9" width="14.75" customWidth="1"/>
  </cols>
  <sheetData>
    <row r="2" spans="1:7">
      <c r="G2" s="2"/>
    </row>
    <row r="3" spans="1:7" ht="12.75">
      <c r="A3" t="s">
        <v>609</v>
      </c>
      <c r="B3" s="337"/>
      <c r="G3" s="2"/>
    </row>
    <row r="4" spans="1:7" ht="12.75">
      <c r="A4" s="394" t="s">
        <v>610</v>
      </c>
    </row>
    <row r="5" spans="1:7">
      <c r="G5" s="2"/>
    </row>
    <row r="6" spans="1:7">
      <c r="G6" s="2"/>
    </row>
    <row r="7" spans="1:7">
      <c r="B7" s="1" t="s">
        <v>611</v>
      </c>
      <c r="G7" s="2"/>
    </row>
    <row r="8" spans="1:7">
      <c r="G8" s="2"/>
    </row>
    <row r="9" spans="1:7">
      <c r="A9">
        <v>1</v>
      </c>
      <c r="B9" t="s">
        <v>612</v>
      </c>
    </row>
    <row r="10" spans="1:7">
      <c r="A10">
        <v>2</v>
      </c>
      <c r="B10" t="s">
        <v>613</v>
      </c>
    </row>
    <row r="11" spans="1:7">
      <c r="A11">
        <v>3</v>
      </c>
      <c r="B11" t="s">
        <v>614</v>
      </c>
    </row>
    <row r="12" spans="1:7">
      <c r="A12">
        <v>4</v>
      </c>
      <c r="B12" t="s">
        <v>615</v>
      </c>
    </row>
    <row r="13" spans="1:7">
      <c r="A13">
        <v>5</v>
      </c>
      <c r="B13" t="s">
        <v>616</v>
      </c>
    </row>
    <row r="15" spans="1:7">
      <c r="B15" t="s">
        <v>617</v>
      </c>
    </row>
    <row r="16" spans="1:7" ht="18">
      <c r="B16" s="390" t="s">
        <v>516</v>
      </c>
    </row>
    <row r="17" spans="2:9" ht="14.25">
      <c r="B17" s="393"/>
    </row>
    <row r="19" spans="2:9">
      <c r="B19" t="s">
        <v>618</v>
      </c>
    </row>
    <row r="20" spans="2:9" ht="18">
      <c r="B20" s="390" t="s">
        <v>619</v>
      </c>
    </row>
    <row r="21" spans="2:9" ht="14.25">
      <c r="B21" s="396">
        <v>500</v>
      </c>
    </row>
    <row r="22" spans="2:9">
      <c r="B22" s="395"/>
    </row>
    <row r="23" spans="2:9">
      <c r="B23" t="s">
        <v>620</v>
      </c>
    </row>
    <row r="24" spans="2:9">
      <c r="B24" t="s">
        <v>621</v>
      </c>
    </row>
    <row r="28" spans="2:9">
      <c r="G28" s="1" t="s">
        <v>622</v>
      </c>
    </row>
    <row r="30" spans="2:9" ht="18">
      <c r="B30" s="390" t="s">
        <v>623</v>
      </c>
      <c r="C30" s="390" t="s">
        <v>624</v>
      </c>
      <c r="D30" s="391" t="s">
        <v>625</v>
      </c>
      <c r="E30" s="391" t="s">
        <v>626</v>
      </c>
      <c r="F30" s="391" t="s">
        <v>627</v>
      </c>
      <c r="G30" s="391" t="s">
        <v>628</v>
      </c>
      <c r="H30" s="390" t="s">
        <v>629</v>
      </c>
      <c r="I30" s="390" t="s">
        <v>525</v>
      </c>
    </row>
    <row r="31" spans="2:9" ht="14.25">
      <c r="B31" s="392"/>
      <c r="C31" s="392"/>
      <c r="D31" s="393" t="str">
        <f t="shared" ref="D31:D36" si="0">+IF(ISNUMBER(C31),(($B$21/B31)*C31)/1000,"")</f>
        <v/>
      </c>
      <c r="E31" s="392"/>
      <c r="F31" s="392"/>
      <c r="G31" s="393" t="str">
        <f>+IF(ISNUMBER(E31),E31+F31,"")</f>
        <v/>
      </c>
      <c r="H31" s="392"/>
      <c r="I31" s="392"/>
    </row>
    <row r="32" spans="2:9" ht="14.25">
      <c r="B32" s="392"/>
      <c r="C32" s="392"/>
      <c r="D32" s="393" t="str">
        <f t="shared" si="0"/>
        <v/>
      </c>
      <c r="E32" s="392"/>
      <c r="F32" s="392"/>
      <c r="G32" s="393" t="str">
        <f t="shared" ref="G32:G36" si="1">+IF(ISNUMBER(E32),E32+F32,"")</f>
        <v/>
      </c>
      <c r="H32" s="392"/>
      <c r="I32" s="392"/>
    </row>
    <row r="33" spans="2:9" ht="14.25">
      <c r="B33" s="392"/>
      <c r="C33" s="392"/>
      <c r="D33" s="393" t="str">
        <f t="shared" si="0"/>
        <v/>
      </c>
      <c r="E33" s="392"/>
      <c r="F33" s="392"/>
      <c r="G33" s="393" t="str">
        <f t="shared" si="1"/>
        <v/>
      </c>
      <c r="H33" s="392"/>
      <c r="I33" s="392"/>
    </row>
    <row r="34" spans="2:9" ht="14.25">
      <c r="B34" s="392"/>
      <c r="C34" s="392"/>
      <c r="D34" s="393" t="str">
        <f t="shared" si="0"/>
        <v/>
      </c>
      <c r="E34" s="392"/>
      <c r="F34" s="392"/>
      <c r="G34" s="393" t="str">
        <f t="shared" si="1"/>
        <v/>
      </c>
      <c r="H34" s="392"/>
      <c r="I34" s="392"/>
    </row>
    <row r="35" spans="2:9" ht="14.25">
      <c r="B35" s="392"/>
      <c r="C35" s="392"/>
      <c r="D35" s="393" t="str">
        <f t="shared" si="0"/>
        <v/>
      </c>
      <c r="E35" s="392"/>
      <c r="F35" s="392"/>
      <c r="G35" s="393" t="str">
        <f t="shared" si="1"/>
        <v/>
      </c>
      <c r="H35" s="392"/>
      <c r="I35" s="392"/>
    </row>
    <row r="36" spans="2:9" ht="14.25">
      <c r="B36" s="392"/>
      <c r="C36" s="392"/>
      <c r="D36" s="393" t="str">
        <f t="shared" si="0"/>
        <v/>
      </c>
      <c r="E36" s="392"/>
      <c r="F36" s="392"/>
      <c r="G36" s="393" t="str">
        <f t="shared" si="1"/>
        <v/>
      </c>
      <c r="H36" s="392"/>
      <c r="I36" s="392"/>
    </row>
    <row r="40" spans="2:9">
      <c r="F40" s="3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9CF9-05B6-4BB4-9478-BBFFC57F0955}">
  <dimension ref="B5:I35"/>
  <sheetViews>
    <sheetView showGridLines="0" view="pageLayout" zoomScaleNormal="100" workbookViewId="0">
      <selection activeCell="C13" sqref="C13"/>
    </sheetView>
  </sheetViews>
  <sheetFormatPr defaultColWidth="9" defaultRowHeight="11.25"/>
  <cols>
    <col min="1" max="1" width="2.25" customWidth="1"/>
    <col min="2" max="2" width="24.125" customWidth="1"/>
    <col min="3" max="3" width="29.375" customWidth="1"/>
    <col min="4" max="5" width="4.875" customWidth="1"/>
    <col min="6" max="6" width="36.5" hidden="1" customWidth="1"/>
    <col min="7" max="7" width="9" hidden="1" customWidth="1"/>
    <col min="8" max="8" width="24.125" customWidth="1"/>
    <col min="9" max="9" width="29.375" customWidth="1"/>
  </cols>
  <sheetData>
    <row r="5" spans="2:9">
      <c r="H5" s="2"/>
    </row>
    <row r="6" spans="2:9">
      <c r="H6" s="2"/>
    </row>
    <row r="7" spans="2:9" ht="14.25">
      <c r="B7" s="134" t="s">
        <v>35</v>
      </c>
      <c r="H7" s="134" t="s">
        <v>36</v>
      </c>
    </row>
    <row r="8" spans="2:9">
      <c r="B8" s="238" t="s">
        <v>37</v>
      </c>
      <c r="C8" s="241" t="s">
        <v>38</v>
      </c>
      <c r="H8" s="238" t="s">
        <v>39</v>
      </c>
      <c r="I8" s="241"/>
    </row>
    <row r="9" spans="2:9">
      <c r="B9" s="238" t="s">
        <v>40</v>
      </c>
      <c r="C9" s="242" t="s">
        <v>41</v>
      </c>
      <c r="H9" s="238" t="s">
        <v>42</v>
      </c>
      <c r="I9" s="241"/>
    </row>
    <row r="10" spans="2:9">
      <c r="B10" s="238" t="s">
        <v>43</v>
      </c>
      <c r="C10" s="239" t="str">
        <f>'Specification machine'!$C$6</f>
        <v xml:space="preserve"> </v>
      </c>
      <c r="H10" s="238" t="s">
        <v>44</v>
      </c>
      <c r="I10" s="241"/>
    </row>
    <row r="11" spans="2:9">
      <c r="B11" s="238" t="s">
        <v>45</v>
      </c>
      <c r="C11" s="261" t="str">
        <f>'Specification machine'!$C$5</f>
        <v xml:space="preserve"> </v>
      </c>
      <c r="H11" s="238" t="s">
        <v>46</v>
      </c>
      <c r="I11" s="241"/>
    </row>
    <row r="12" spans="2:9">
      <c r="B12" s="325" t="s">
        <v>47</v>
      </c>
      <c r="C12" s="241"/>
      <c r="H12" s="238" t="s">
        <v>48</v>
      </c>
      <c r="I12" s="241"/>
    </row>
    <row r="13" spans="2:9">
      <c r="B13" s="39" t="s">
        <v>49</v>
      </c>
      <c r="C13" s="240" t="str">
        <f>'Specification machine'!$C$32</f>
        <v xml:space="preserve"> </v>
      </c>
      <c r="D13" t="s">
        <v>50</v>
      </c>
      <c r="H13" s="238" t="s">
        <v>51</v>
      </c>
      <c r="I13" s="244"/>
    </row>
    <row r="14" spans="2:9">
      <c r="B14" s="39" t="s">
        <v>52</v>
      </c>
      <c r="C14" s="240">
        <f>'Specification machine'!$C$70</f>
        <v>79</v>
      </c>
      <c r="D14" t="s">
        <v>53</v>
      </c>
      <c r="H14" s="238" t="s">
        <v>54</v>
      </c>
      <c r="I14" s="241"/>
    </row>
    <row r="16" spans="2:9" ht="14.25">
      <c r="B16" s="134" t="s">
        <v>55</v>
      </c>
      <c r="H16" s="134" t="s">
        <v>56</v>
      </c>
    </row>
    <row r="17" spans="2:9">
      <c r="B17" s="238" t="s">
        <v>39</v>
      </c>
      <c r="C17" s="241"/>
      <c r="D17" s="31"/>
      <c r="H17" s="238" t="s">
        <v>39</v>
      </c>
      <c r="I17" s="241"/>
    </row>
    <row r="18" spans="2:9">
      <c r="B18" s="238" t="s">
        <v>42</v>
      </c>
      <c r="C18" s="241"/>
      <c r="D18" s="31"/>
      <c r="H18" s="238" t="s">
        <v>42</v>
      </c>
      <c r="I18" s="241"/>
    </row>
    <row r="19" spans="2:9">
      <c r="B19" s="238" t="s">
        <v>44</v>
      </c>
      <c r="C19" s="241"/>
      <c r="D19" s="31"/>
      <c r="H19" s="238" t="s">
        <v>44</v>
      </c>
      <c r="I19" s="241"/>
    </row>
    <row r="20" spans="2:9" ht="19.5" customHeight="1">
      <c r="B20" s="238" t="s">
        <v>46</v>
      </c>
      <c r="C20" s="243"/>
      <c r="D20" s="31"/>
      <c r="H20" s="238" t="s">
        <v>46</v>
      </c>
      <c r="I20" s="241"/>
    </row>
    <row r="21" spans="2:9">
      <c r="B21" s="238" t="s">
        <v>48</v>
      </c>
      <c r="C21" s="244"/>
      <c r="D21" s="31"/>
      <c r="H21" s="238" t="s">
        <v>48</v>
      </c>
      <c r="I21" s="244"/>
    </row>
    <row r="22" spans="2:9">
      <c r="B22" s="238" t="s">
        <v>51</v>
      </c>
      <c r="C22" s="241"/>
      <c r="D22" s="31"/>
      <c r="H22" s="238" t="s">
        <v>51</v>
      </c>
      <c r="I22" s="244"/>
    </row>
    <row r="23" spans="2:9">
      <c r="B23" s="238" t="s">
        <v>57</v>
      </c>
      <c r="C23" s="241"/>
      <c r="D23" s="31"/>
      <c r="H23" s="238" t="s">
        <v>54</v>
      </c>
      <c r="I23" s="241"/>
    </row>
    <row r="24" spans="2:9">
      <c r="D24" s="31"/>
    </row>
    <row r="25" spans="2:9" ht="14.25">
      <c r="B25" s="134" t="s">
        <v>58</v>
      </c>
      <c r="D25" s="31"/>
      <c r="H25" s="134" t="s">
        <v>59</v>
      </c>
    </row>
    <row r="26" spans="2:9" ht="25.5">
      <c r="B26" s="238" t="s">
        <v>39</v>
      </c>
      <c r="C26" s="241"/>
      <c r="H26" s="238" t="s">
        <v>39</v>
      </c>
      <c r="I26" s="241" t="s">
        <v>60</v>
      </c>
    </row>
    <row r="27" spans="2:9" ht="22.5">
      <c r="B27" s="238" t="s">
        <v>42</v>
      </c>
      <c r="C27" s="241"/>
      <c r="H27" s="238" t="s">
        <v>42</v>
      </c>
      <c r="I27" s="241" t="s">
        <v>61</v>
      </c>
    </row>
    <row r="28" spans="2:9" ht="22.5">
      <c r="B28" s="238" t="s">
        <v>44</v>
      </c>
      <c r="C28" s="241"/>
      <c r="H28" s="238" t="s">
        <v>44</v>
      </c>
      <c r="I28" s="241" t="s">
        <v>62</v>
      </c>
    </row>
    <row r="29" spans="2:9">
      <c r="B29" s="238" t="s">
        <v>46</v>
      </c>
      <c r="C29" s="243"/>
      <c r="H29" s="238" t="s">
        <v>46</v>
      </c>
      <c r="I29" s="241" t="s">
        <v>63</v>
      </c>
    </row>
    <row r="30" spans="2:9">
      <c r="B30" s="238" t="s">
        <v>48</v>
      </c>
      <c r="C30" s="244"/>
      <c r="H30" s="238" t="s">
        <v>48</v>
      </c>
      <c r="I30" s="241" t="s">
        <v>64</v>
      </c>
    </row>
    <row r="31" spans="2:9">
      <c r="B31" s="238" t="s">
        <v>51</v>
      </c>
      <c r="C31" s="241"/>
      <c r="H31" s="238" t="s">
        <v>51</v>
      </c>
      <c r="I31" s="244" t="s">
        <v>65</v>
      </c>
    </row>
    <row r="32" spans="2:9">
      <c r="B32" s="238" t="s">
        <v>54</v>
      </c>
      <c r="C32" s="241"/>
      <c r="H32" s="238" t="s">
        <v>54</v>
      </c>
      <c r="I32" s="241"/>
    </row>
    <row r="35" spans="6:6">
      <c r="F35" s="3"/>
    </row>
  </sheetData>
  <sheetProtection sheet="1" objects="1" scenarios="1"/>
  <hyperlinks>
    <hyperlink ref="I31" r:id="rId1" display="http://www.hhnk.nl/" xr:uid="{D2C2BA8F-7A0C-428B-9416-F3AC08055D4B}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61BD-2DAD-4CD9-A9B0-787F0DB225EA}">
  <dimension ref="B3:H35"/>
  <sheetViews>
    <sheetView showGridLines="0" view="pageLayout" zoomScaleNormal="100" workbookViewId="0">
      <selection activeCell="E19" sqref="E19"/>
    </sheetView>
  </sheetViews>
  <sheetFormatPr defaultRowHeight="11.25"/>
  <cols>
    <col min="1" max="1" width="2.25" customWidth="1"/>
    <col min="2" max="2" width="26.125" customWidth="1"/>
    <col min="3" max="3" width="14.5" customWidth="1"/>
    <col min="4" max="4" width="14.375" customWidth="1"/>
    <col min="5" max="5" width="16" customWidth="1"/>
    <col min="6" max="6" width="11.375" customWidth="1"/>
    <col min="8" max="8" width="14.375" customWidth="1"/>
  </cols>
  <sheetData>
    <row r="3" spans="2:8">
      <c r="B3" s="1" t="s">
        <v>374</v>
      </c>
      <c r="C3" s="1" t="s">
        <v>375</v>
      </c>
    </row>
    <row r="4" spans="2:8">
      <c r="B4" t="s">
        <v>630</v>
      </c>
      <c r="C4" s="54">
        <f>'Specification machine'!$C$42</f>
        <v>0</v>
      </c>
      <c r="D4" t="s">
        <v>171</v>
      </c>
      <c r="E4" s="58" t="s">
        <v>377</v>
      </c>
      <c r="F4" s="54">
        <f>'Specification machine'!$F$39</f>
        <v>1000</v>
      </c>
      <c r="G4" t="s">
        <v>53</v>
      </c>
    </row>
    <row r="5" spans="2:8">
      <c r="B5" t="s">
        <v>378</v>
      </c>
      <c r="C5" s="54">
        <f>'Specification machine'!$F$40</f>
        <v>79</v>
      </c>
      <c r="D5" t="s">
        <v>53</v>
      </c>
      <c r="F5" s="3"/>
    </row>
    <row r="6" spans="2:8">
      <c r="C6" s="3"/>
      <c r="E6" s="58"/>
      <c r="F6" s="3"/>
    </row>
    <row r="7" spans="2:8">
      <c r="E7" s="1" t="s">
        <v>379</v>
      </c>
      <c r="F7" s="1"/>
      <c r="G7" s="1" t="s">
        <v>380</v>
      </c>
    </row>
    <row r="8" spans="2:8">
      <c r="B8" s="1" t="s">
        <v>381</v>
      </c>
      <c r="C8" s="1" t="s">
        <v>382</v>
      </c>
      <c r="E8" s="39">
        <f>'Specification machine'!$H$42</f>
        <v>-10</v>
      </c>
      <c r="F8" t="s">
        <v>177</v>
      </c>
      <c r="G8" s="39">
        <f>'Specification machine'!$J$42</f>
        <v>2</v>
      </c>
      <c r="H8" t="s">
        <v>177</v>
      </c>
    </row>
    <row r="9" spans="2:8">
      <c r="B9" t="str">
        <f>+"Ubemf at "&amp;ROUND(C5,0)&amp;" rpm"</f>
        <v>Ubemf at 79 rpm</v>
      </c>
      <c r="C9" s="54">
        <f>+(C4/F4)*C5</f>
        <v>0</v>
      </c>
      <c r="D9" t="s">
        <v>171</v>
      </c>
      <c r="E9" s="53">
        <f>+C9*(1+($E$8/100))</f>
        <v>0</v>
      </c>
      <c r="F9" t="s">
        <v>171</v>
      </c>
      <c r="G9" s="53">
        <f>+C9*(1+($G$8/100))</f>
        <v>0</v>
      </c>
      <c r="H9" t="s">
        <v>171</v>
      </c>
    </row>
    <row r="10" spans="2:8">
      <c r="B10" t="s">
        <v>383</v>
      </c>
      <c r="C10" s="53">
        <f>+SQRT(2)*C9</f>
        <v>0</v>
      </c>
      <c r="D10" s="2" t="s">
        <v>171</v>
      </c>
      <c r="E10" s="53">
        <f>+C10*(1+($E$8/100))</f>
        <v>0</v>
      </c>
      <c r="F10" s="2" t="s">
        <v>171</v>
      </c>
      <c r="G10" s="53">
        <f>+C10*(1+($G$8/100))</f>
        <v>0</v>
      </c>
      <c r="H10" t="s">
        <v>171</v>
      </c>
    </row>
    <row r="11" spans="2:8">
      <c r="B11" t="s">
        <v>384</v>
      </c>
      <c r="C11" s="53">
        <f>2*C10</f>
        <v>0</v>
      </c>
      <c r="D11" s="2" t="s">
        <v>171</v>
      </c>
      <c r="E11" s="53">
        <f>+C11*(1+($E$8/100))</f>
        <v>0</v>
      </c>
      <c r="F11" s="2" t="s">
        <v>171</v>
      </c>
      <c r="G11" s="53">
        <f>+C11*(1+($G$8/100))</f>
        <v>0</v>
      </c>
      <c r="H11" t="s">
        <v>171</v>
      </c>
    </row>
    <row r="12" spans="2:8">
      <c r="C12" s="2"/>
      <c r="D12" s="2"/>
      <c r="E12" s="2"/>
      <c r="F12" s="2"/>
      <c r="G12" s="2"/>
    </row>
    <row r="13" spans="2:8">
      <c r="B13" s="1" t="s">
        <v>385</v>
      </c>
      <c r="C13" s="2" t="s">
        <v>382</v>
      </c>
      <c r="D13" s="2"/>
      <c r="E13" s="2" t="s">
        <v>379</v>
      </c>
      <c r="F13" s="2"/>
      <c r="G13" s="2" t="s">
        <v>386</v>
      </c>
    </row>
    <row r="14" spans="2:8">
      <c r="B14" t="str">
        <f>+"Ubemf at "&amp;ROUND(G20,0)&amp;" rpm"</f>
        <v>Ubemf at 0 rpm</v>
      </c>
      <c r="C14" s="54">
        <f>+(C4/F4)*G20</f>
        <v>0</v>
      </c>
      <c r="D14" t="s">
        <v>171</v>
      </c>
      <c r="E14" s="53">
        <f>+C14*(1+($E$8/100))</f>
        <v>0</v>
      </c>
      <c r="F14" t="s">
        <v>171</v>
      </c>
      <c r="G14" s="53">
        <f>+C14*(1+($G$8/100))</f>
        <v>0</v>
      </c>
      <c r="H14" t="s">
        <v>171</v>
      </c>
    </row>
    <row r="15" spans="2:8">
      <c r="B15" t="s">
        <v>383</v>
      </c>
      <c r="C15" s="53">
        <f>+SQRT(2)*C14</f>
        <v>0</v>
      </c>
      <c r="D15" s="2" t="s">
        <v>171</v>
      </c>
      <c r="E15" s="53">
        <f>+C15*(1+($E$8/100))</f>
        <v>0</v>
      </c>
      <c r="F15" s="2" t="s">
        <v>171</v>
      </c>
      <c r="G15" s="53">
        <f>+C15*(1+($G$8/100))</f>
        <v>0</v>
      </c>
      <c r="H15" t="s">
        <v>171</v>
      </c>
    </row>
    <row r="16" spans="2:8">
      <c r="B16" t="s">
        <v>384</v>
      </c>
      <c r="C16" s="53">
        <f>2*C15</f>
        <v>0</v>
      </c>
      <c r="D16" s="2" t="s">
        <v>171</v>
      </c>
      <c r="E16" s="53">
        <f>+C16*(1+($E$8/100))</f>
        <v>0</v>
      </c>
      <c r="F16" s="2" t="s">
        <v>171</v>
      </c>
      <c r="G16" s="53">
        <f>+C16*(1+($G$8/100))</f>
        <v>0</v>
      </c>
      <c r="H16" t="s">
        <v>171</v>
      </c>
    </row>
    <row r="17" spans="2:8">
      <c r="C17" s="2"/>
      <c r="D17" s="2"/>
      <c r="E17" s="2"/>
      <c r="F17" s="2"/>
      <c r="G17" s="2"/>
    </row>
    <row r="18" spans="2:8">
      <c r="C18" s="2"/>
      <c r="D18" s="2"/>
      <c r="E18" s="2"/>
      <c r="F18" s="2"/>
      <c r="G18" s="2"/>
    </row>
    <row r="19" spans="2:8">
      <c r="B19" s="1" t="s">
        <v>387</v>
      </c>
    </row>
    <row r="20" spans="2:8">
      <c r="B20" t="s">
        <v>388</v>
      </c>
      <c r="C20" s="63"/>
      <c r="D20" t="s">
        <v>171</v>
      </c>
      <c r="F20" t="s">
        <v>389</v>
      </c>
      <c r="G20" s="62"/>
      <c r="H20" t="s">
        <v>53</v>
      </c>
    </row>
    <row r="21" spans="2:8">
      <c r="B21" t="s">
        <v>383</v>
      </c>
      <c r="C21" s="53">
        <f>+C20/2</f>
        <v>0</v>
      </c>
      <c r="D21" s="2" t="s">
        <v>171</v>
      </c>
      <c r="F21" t="s">
        <v>390</v>
      </c>
      <c r="G21" s="61">
        <f>+(C26*G20)/60</f>
        <v>0</v>
      </c>
      <c r="H21" t="s">
        <v>179</v>
      </c>
    </row>
    <row r="22" spans="2:8">
      <c r="B22" t="s">
        <v>391</v>
      </c>
      <c r="C22" s="53">
        <f>+C21*(SQRT(2)/2)</f>
        <v>0</v>
      </c>
      <c r="D22" s="2" t="s">
        <v>171</v>
      </c>
    </row>
    <row r="23" spans="2:8">
      <c r="C23" s="2"/>
      <c r="D23" s="2"/>
    </row>
    <row r="24" spans="2:8">
      <c r="B24" s="1" t="s">
        <v>52</v>
      </c>
      <c r="C24" s="1" t="s">
        <v>382</v>
      </c>
      <c r="G24" s="1" t="s">
        <v>392</v>
      </c>
    </row>
    <row r="25" spans="2:8">
      <c r="B25" t="s">
        <v>393</v>
      </c>
      <c r="C25" s="54">
        <f>'Specification machine'!$C$34</f>
        <v>0</v>
      </c>
      <c r="D25" s="2" t="s">
        <v>179</v>
      </c>
      <c r="F25" t="s">
        <v>389</v>
      </c>
      <c r="G25" s="62"/>
      <c r="H25" t="s">
        <v>179</v>
      </c>
    </row>
    <row r="26" spans="2:8">
      <c r="B26" t="s">
        <v>394</v>
      </c>
      <c r="C26" s="54">
        <f>'Specification machine'!$C$41/2</f>
        <v>0</v>
      </c>
      <c r="D26" s="2" t="s">
        <v>395</v>
      </c>
      <c r="F26" t="s">
        <v>390</v>
      </c>
      <c r="G26" s="39">
        <f>+IF($G$20=0,0,(60*G25)/G20)</f>
        <v>0</v>
      </c>
      <c r="H26" t="s">
        <v>395</v>
      </c>
    </row>
    <row r="27" spans="2:8">
      <c r="B27" t="s">
        <v>378</v>
      </c>
      <c r="C27" s="54" t="e">
        <f>+(C25*60)/C26</f>
        <v>#DIV/0!</v>
      </c>
      <c r="D27" s="2" t="s">
        <v>53</v>
      </c>
      <c r="F27" t="s">
        <v>390</v>
      </c>
      <c r="G27" s="54">
        <f>+IF($G$26=0,0,(G25*60)/G26)</f>
        <v>0</v>
      </c>
      <c r="H27" s="2" t="s">
        <v>53</v>
      </c>
    </row>
    <row r="28" spans="2:8" ht="12.75">
      <c r="B28" s="59" t="s">
        <v>396</v>
      </c>
      <c r="C28" s="60" t="e">
        <f>+C27*2*PI()/60</f>
        <v>#DIV/0!</v>
      </c>
      <c r="D28" t="s">
        <v>397</v>
      </c>
      <c r="F28" t="s">
        <v>390</v>
      </c>
      <c r="G28" s="60">
        <f>+G27*2*PI()/60</f>
        <v>0</v>
      </c>
      <c r="H28" t="s">
        <v>397</v>
      </c>
    </row>
    <row r="29" spans="2:8" ht="12">
      <c r="B29" t="s">
        <v>398</v>
      </c>
      <c r="C29" s="61" t="e">
        <f>+C10/C28</f>
        <v>#DIV/0!</v>
      </c>
      <c r="D29" t="s">
        <v>399</v>
      </c>
      <c r="F29" t="s">
        <v>390</v>
      </c>
      <c r="G29" s="61">
        <f>IF(G28=0,0,+C21/G28)</f>
        <v>0</v>
      </c>
      <c r="H29" t="s">
        <v>399</v>
      </c>
    </row>
    <row r="30" spans="2:8">
      <c r="B30" t="s">
        <v>400</v>
      </c>
      <c r="C30" s="39" t="e">
        <f>+(60*1000)/(C26*C27)</f>
        <v>#DIV/0!</v>
      </c>
      <c r="D30" t="s">
        <v>401</v>
      </c>
      <c r="F30" t="s">
        <v>390</v>
      </c>
      <c r="G30" s="61">
        <f>+IF(C26*G27=0,0,(60*1000)/(C26*G27))</f>
        <v>0</v>
      </c>
      <c r="H30" t="s">
        <v>401</v>
      </c>
    </row>
    <row r="32" spans="2:8">
      <c r="B32" s="40" t="s">
        <v>631</v>
      </c>
      <c r="C32" s="41"/>
      <c r="D32" s="41"/>
      <c r="E32" s="42"/>
    </row>
    <row r="33" spans="2:5">
      <c r="B33" s="43"/>
      <c r="E33" s="44"/>
    </row>
    <row r="34" spans="2:5">
      <c r="B34" s="5" t="s">
        <v>164</v>
      </c>
      <c r="C34" s="5" t="s">
        <v>165</v>
      </c>
      <c r="D34" s="5" t="s">
        <v>272</v>
      </c>
      <c r="E34" s="5" t="s">
        <v>166</v>
      </c>
    </row>
    <row r="35" spans="2:5">
      <c r="B35" s="46"/>
      <c r="C35" s="46"/>
      <c r="D35" s="47" t="str">
        <f>+IF(AND(B35="",C35="",E35=""),IF('Specification machine'!$C$191,"","X"),"")</f>
        <v/>
      </c>
      <c r="E35" s="46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&amp;L&amp;"Verdana,Vet"&amp;12&amp;A&amp;9
&amp;"Verdana,Standaard"&amp;10&amp;F&amp;R&amp;G</oddHeader>
    <oddFooter>&amp;L&amp;D &amp;T&amp;C&amp;P</oddFooter>
  </headerFooter>
  <legacyDrawingHF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3E0E-0A7C-4CCE-981F-D36A66813487}">
  <dimension ref="B3:H43"/>
  <sheetViews>
    <sheetView showGridLines="0" view="pageLayout" topLeftCell="A2" zoomScaleNormal="100" workbookViewId="0">
      <selection activeCell="D5" sqref="D5"/>
    </sheetView>
  </sheetViews>
  <sheetFormatPr defaultRowHeight="11.25"/>
  <cols>
    <col min="1" max="1" width="2.25" customWidth="1"/>
    <col min="2" max="2" width="29.375" customWidth="1"/>
    <col min="3" max="3" width="14.5" customWidth="1"/>
    <col min="4" max="4" width="7.625" customWidth="1"/>
    <col min="5" max="5" width="7.875" customWidth="1"/>
    <col min="6" max="6" width="36.5" customWidth="1"/>
    <col min="8" max="8" width="14.375" customWidth="1"/>
  </cols>
  <sheetData>
    <row r="3" spans="2:8">
      <c r="B3" s="1" t="s">
        <v>237</v>
      </c>
      <c r="C3" s="86">
        <v>1000</v>
      </c>
      <c r="D3" t="s">
        <v>238</v>
      </c>
      <c r="E3" s="2"/>
    </row>
    <row r="4" spans="2:8" ht="12">
      <c r="B4" s="1" t="s">
        <v>239</v>
      </c>
      <c r="C4" s="86">
        <v>100</v>
      </c>
      <c r="D4" t="s">
        <v>240</v>
      </c>
      <c r="E4" s="2"/>
    </row>
    <row r="5" spans="2:8">
      <c r="E5" s="2"/>
    </row>
    <row r="6" spans="2:8" ht="23.25">
      <c r="B6" s="85" t="s">
        <v>241</v>
      </c>
      <c r="C6" s="1" t="s">
        <v>242</v>
      </c>
      <c r="F6" s="85" t="s">
        <v>243</v>
      </c>
      <c r="G6" s="1" t="s">
        <v>242</v>
      </c>
    </row>
    <row r="7" spans="2:8">
      <c r="B7" t="s">
        <v>244</v>
      </c>
      <c r="C7" s="56"/>
      <c r="D7" t="str">
        <f>+IF(ISBLANK(C7),"",IF(C7&lt;$C$4,"Fail","Pass"))</f>
        <v/>
      </c>
      <c r="F7" t="s">
        <v>245</v>
      </c>
      <c r="G7" s="56"/>
      <c r="H7" t="str">
        <f>+IF(ISBLANK(G7),"",IF(G7&lt;$C$4,"Fail","Pass"))</f>
        <v/>
      </c>
    </row>
    <row r="8" spans="2:8">
      <c r="B8" t="s">
        <v>246</v>
      </c>
      <c r="C8" s="56"/>
      <c r="D8" t="str">
        <f t="shared" ref="D8:D9" si="0">+IF(ISBLANK(C8),"",IF(C8&lt;$C$4,"Fail","Pass"))</f>
        <v/>
      </c>
      <c r="F8" t="s">
        <v>247</v>
      </c>
      <c r="G8" s="56"/>
      <c r="H8" t="str">
        <f>+IF(ISBLANK(G8),"",IF(G8&lt;$C$4,"Fail","Pass"))</f>
        <v/>
      </c>
    </row>
    <row r="9" spans="2:8">
      <c r="B9" t="s">
        <v>248</v>
      </c>
      <c r="C9" s="56"/>
      <c r="D9" t="str">
        <f t="shared" si="0"/>
        <v/>
      </c>
      <c r="F9" t="s">
        <v>249</v>
      </c>
      <c r="G9" s="56"/>
      <c r="H9" t="str">
        <f>+IF(ISBLANK(G9),"",IF(G9&lt;$C$4,"Fail","Pass"))</f>
        <v/>
      </c>
    </row>
    <row r="10" spans="2:8">
      <c r="E10" s="2"/>
      <c r="G10" s="2"/>
      <c r="H10" s="2"/>
    </row>
    <row r="11" spans="2:8" ht="23.25">
      <c r="B11" s="85" t="s">
        <v>250</v>
      </c>
      <c r="C11" s="1" t="s">
        <v>242</v>
      </c>
      <c r="E11" s="2"/>
      <c r="F11" s="85" t="s">
        <v>243</v>
      </c>
      <c r="G11" s="1" t="s">
        <v>242</v>
      </c>
    </row>
    <row r="12" spans="2:8">
      <c r="B12" t="s">
        <v>251</v>
      </c>
      <c r="C12" s="56"/>
      <c r="D12" t="str">
        <f t="shared" ref="D12:D14" si="1">+IF(ISBLANK(C12),"",IF(C12&lt;$C$4,"Fail","Pass"))</f>
        <v/>
      </c>
      <c r="E12" s="2"/>
      <c r="F12" t="s">
        <v>252</v>
      </c>
      <c r="G12" s="56"/>
      <c r="H12" t="str">
        <f>+IF(ISBLANK(G12),"",IF(G12&lt;$C$4,"Fail","Pass"))</f>
        <v/>
      </c>
    </row>
    <row r="13" spans="2:8">
      <c r="B13" t="s">
        <v>253</v>
      </c>
      <c r="C13" s="56"/>
      <c r="D13" t="str">
        <f t="shared" si="1"/>
        <v/>
      </c>
      <c r="E13" s="2"/>
      <c r="F13" t="s">
        <v>254</v>
      </c>
      <c r="G13" s="56"/>
      <c r="H13" t="str">
        <f>+IF(ISBLANK(G13),"",IF(G13&lt;$C$4,"Fail","Pass"))</f>
        <v/>
      </c>
    </row>
    <row r="14" spans="2:8">
      <c r="B14" t="s">
        <v>255</v>
      </c>
      <c r="C14" s="56"/>
      <c r="D14" t="str">
        <f t="shared" si="1"/>
        <v/>
      </c>
      <c r="E14" s="2"/>
      <c r="F14" t="s">
        <v>256</v>
      </c>
      <c r="G14" s="56"/>
      <c r="H14" t="str">
        <f>+IF(ISBLANK(G14),"",IF(G14&lt;$C$4,"Fail","Pass"))</f>
        <v/>
      </c>
    </row>
    <row r="15" spans="2:8">
      <c r="E15" s="2"/>
    </row>
    <row r="16" spans="2:8" ht="23.25">
      <c r="B16" s="85" t="s">
        <v>257</v>
      </c>
      <c r="C16" s="1" t="s">
        <v>242</v>
      </c>
      <c r="E16" s="2"/>
      <c r="F16" s="85" t="s">
        <v>258</v>
      </c>
      <c r="G16" s="1" t="s">
        <v>242</v>
      </c>
    </row>
    <row r="17" spans="2:8">
      <c r="B17" t="s">
        <v>259</v>
      </c>
      <c r="C17" s="56"/>
      <c r="D17" t="str">
        <f t="shared" ref="D17:D20" si="2">+IF(ISBLANK(C17),"",IF(C17&lt;$C$4,"Fail","Pass"))</f>
        <v/>
      </c>
      <c r="E17" s="2"/>
      <c r="F17" t="s">
        <v>260</v>
      </c>
      <c r="G17" s="56"/>
      <c r="H17" t="str">
        <f>+IF(ISBLANK(G17),"",IF(G17&lt;$C$4,"Fail","Pass"))</f>
        <v/>
      </c>
    </row>
    <row r="18" spans="2:8">
      <c r="B18" t="s">
        <v>261</v>
      </c>
      <c r="C18" s="56"/>
      <c r="D18" t="str">
        <f t="shared" si="2"/>
        <v/>
      </c>
      <c r="E18" s="2"/>
      <c r="F18" t="s">
        <v>262</v>
      </c>
      <c r="G18" s="56"/>
      <c r="H18" t="str">
        <f>+IF(ISBLANK(G18),"",IF(G18&lt;$C$4,"Fail","Pass"))</f>
        <v/>
      </c>
    </row>
    <row r="19" spans="2:8">
      <c r="B19" t="s">
        <v>263</v>
      </c>
      <c r="C19" s="56"/>
      <c r="D19" t="str">
        <f t="shared" si="2"/>
        <v/>
      </c>
      <c r="E19" s="2"/>
      <c r="F19" t="s">
        <v>264</v>
      </c>
      <c r="G19" s="56"/>
      <c r="H19" t="str">
        <f>+IF(ISBLANK(G19),"",IF(G19&lt;$C$4,"Fail","Pass"))</f>
        <v/>
      </c>
    </row>
    <row r="20" spans="2:8">
      <c r="B20" t="s">
        <v>265</v>
      </c>
      <c r="C20" s="56"/>
      <c r="D20" t="str">
        <f t="shared" si="2"/>
        <v/>
      </c>
      <c r="E20" s="2"/>
      <c r="F20" t="s">
        <v>266</v>
      </c>
      <c r="G20" s="56"/>
      <c r="H20" t="str">
        <f>+IF(ISBLANK(G20),"",IF(G20&lt;$C$4,"Fail","Pass"))</f>
        <v/>
      </c>
    </row>
    <row r="21" spans="2:8">
      <c r="C21" s="2"/>
      <c r="D21" s="2"/>
      <c r="E21" s="2"/>
      <c r="F21" s="2"/>
      <c r="G21" s="2"/>
    </row>
    <row r="22" spans="2:8" ht="23.25">
      <c r="B22" s="85" t="s">
        <v>267</v>
      </c>
      <c r="C22" s="1" t="s">
        <v>242</v>
      </c>
      <c r="E22" s="2"/>
      <c r="F22" s="85" t="s">
        <v>268</v>
      </c>
      <c r="G22" s="1" t="s">
        <v>242</v>
      </c>
    </row>
    <row r="23" spans="2:8">
      <c r="B23" t="s">
        <v>244</v>
      </c>
      <c r="C23" s="56"/>
      <c r="D23" t="str">
        <f t="shared" ref="D23:D25" si="3">+IF(ISBLANK(C23),"",IF(C23&lt;$C$4,"Fail","Pass"))</f>
        <v/>
      </c>
      <c r="E23" s="2"/>
      <c r="F23" t="s">
        <v>372</v>
      </c>
      <c r="G23" s="56"/>
      <c r="H23" t="str">
        <f t="shared" ref="H23:H25" si="4">+IF(ISBLANK(G23),"",IF(G23&lt;$C$4,"Fail","Pass"))</f>
        <v/>
      </c>
    </row>
    <row r="24" spans="2:8">
      <c r="B24" t="s">
        <v>246</v>
      </c>
      <c r="C24" s="56"/>
      <c r="D24" t="str">
        <f t="shared" si="3"/>
        <v/>
      </c>
      <c r="E24" s="2"/>
      <c r="F24" t="s">
        <v>114</v>
      </c>
      <c r="G24" s="56"/>
      <c r="H24" t="str">
        <f t="shared" si="4"/>
        <v/>
      </c>
    </row>
    <row r="25" spans="2:8">
      <c r="B25" t="s">
        <v>248</v>
      </c>
      <c r="C25" s="56"/>
      <c r="D25" t="str">
        <f t="shared" si="3"/>
        <v/>
      </c>
      <c r="E25" s="2"/>
      <c r="F25" t="s">
        <v>114</v>
      </c>
      <c r="G25" s="56"/>
      <c r="H25" t="str">
        <f t="shared" si="4"/>
        <v/>
      </c>
    </row>
    <row r="26" spans="2:8">
      <c r="B26" s="2"/>
      <c r="C26" s="2"/>
      <c r="D26" s="2"/>
      <c r="E26" s="2"/>
      <c r="F26" s="2"/>
      <c r="H26" s="2"/>
    </row>
    <row r="27" spans="2:8" ht="23.25">
      <c r="B27" s="85" t="s">
        <v>270</v>
      </c>
      <c r="C27" s="1" t="s">
        <v>242</v>
      </c>
      <c r="E27" s="2"/>
      <c r="F27" s="85" t="s">
        <v>271</v>
      </c>
      <c r="G27" s="1" t="s">
        <v>242</v>
      </c>
    </row>
    <row r="28" spans="2:8">
      <c r="B28" t="s">
        <v>251</v>
      </c>
      <c r="C28" s="56"/>
      <c r="D28" t="str">
        <f t="shared" ref="D28:D30" si="5">+IF(ISBLANK(C28),"",IF(C28&lt;$C$4,"Fail","Pass"))</f>
        <v/>
      </c>
      <c r="E28" s="2"/>
      <c r="F28" t="s">
        <v>114</v>
      </c>
      <c r="G28" s="56"/>
      <c r="H28" t="str">
        <f t="shared" ref="H28:H30" si="6">+IF(ISBLANK(G28),"",IF(G28&lt;$C$4,"Fail","Pass"))</f>
        <v/>
      </c>
    </row>
    <row r="29" spans="2:8">
      <c r="B29" t="s">
        <v>253</v>
      </c>
      <c r="C29" s="56"/>
      <c r="D29" t="str">
        <f t="shared" si="5"/>
        <v/>
      </c>
      <c r="E29" s="2"/>
      <c r="F29" t="s">
        <v>114</v>
      </c>
      <c r="G29" s="56"/>
      <c r="H29" t="str">
        <f t="shared" si="6"/>
        <v/>
      </c>
    </row>
    <row r="30" spans="2:8">
      <c r="B30" t="s">
        <v>255</v>
      </c>
      <c r="C30" s="56"/>
      <c r="D30" t="str">
        <f t="shared" si="5"/>
        <v/>
      </c>
      <c r="E30" s="2"/>
      <c r="F30" t="s">
        <v>114</v>
      </c>
      <c r="G30" s="56"/>
      <c r="H30" t="str">
        <f t="shared" si="6"/>
        <v/>
      </c>
    </row>
    <row r="31" spans="2:8">
      <c r="B31" s="2"/>
      <c r="C31" s="2"/>
      <c r="D31" s="2"/>
      <c r="E31" s="2"/>
      <c r="F31" s="2"/>
      <c r="H31" s="2"/>
    </row>
    <row r="32" spans="2:8">
      <c r="B32" s="40" t="s">
        <v>632</v>
      </c>
      <c r="C32" s="41"/>
      <c r="D32" s="41"/>
      <c r="E32" s="42"/>
      <c r="H32" s="2"/>
    </row>
    <row r="33" spans="2:8">
      <c r="B33" s="43"/>
      <c r="E33" s="44"/>
      <c r="H33" s="2"/>
    </row>
    <row r="34" spans="2:8">
      <c r="B34" s="5" t="s">
        <v>164</v>
      </c>
      <c r="C34" s="5" t="s">
        <v>165</v>
      </c>
      <c r="D34" s="5" t="s">
        <v>272</v>
      </c>
      <c r="E34" s="5" t="s">
        <v>166</v>
      </c>
      <c r="H34" s="2"/>
    </row>
    <row r="35" spans="2:8">
      <c r="B35" s="46"/>
      <c r="C35" s="46"/>
      <c r="D35" s="47" t="str">
        <f>+IF(AND(B35="",C35="",E35=""),IF('Specification machine'!$C$191,"","X"),"")</f>
        <v/>
      </c>
      <c r="E35" s="46"/>
      <c r="H35" s="2"/>
    </row>
    <row r="36" spans="2:8">
      <c r="H36" s="2"/>
    </row>
    <row r="37" spans="2:8">
      <c r="H37" s="2"/>
    </row>
    <row r="38" spans="2:8">
      <c r="H38" s="2"/>
    </row>
    <row r="39" spans="2:8">
      <c r="H39" s="2"/>
    </row>
    <row r="40" spans="2:8">
      <c r="H40" s="2"/>
    </row>
    <row r="41" spans="2:8">
      <c r="H41" s="2"/>
    </row>
    <row r="42" spans="2:8">
      <c r="H42" s="2"/>
    </row>
    <row r="43" spans="2:8">
      <c r="H43" s="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ACF9-8E3A-4795-AC91-1450B2879491}">
  <dimension ref="B1:K43"/>
  <sheetViews>
    <sheetView showGridLines="0" view="pageLayout" zoomScaleNormal="100" workbookViewId="0">
      <selection activeCell="E38" sqref="E38"/>
    </sheetView>
  </sheetViews>
  <sheetFormatPr defaultRowHeight="11.25"/>
  <cols>
    <col min="1" max="1" width="2.25" customWidth="1"/>
    <col min="2" max="2" width="22.875" customWidth="1"/>
    <col min="3" max="3" width="20" customWidth="1"/>
    <col min="4" max="4" width="3.75" customWidth="1"/>
    <col min="5" max="5" width="14.75" customWidth="1"/>
    <col min="6" max="6" width="12.125" customWidth="1"/>
    <col min="7" max="7" width="18.125" customWidth="1"/>
    <col min="8" max="8" width="7" customWidth="1"/>
    <col min="9" max="9" width="7.125" customWidth="1"/>
    <col min="10" max="10" width="6.75" customWidth="1"/>
    <col min="11" max="11" width="8.375" customWidth="1"/>
  </cols>
  <sheetData>
    <row r="1" spans="2:11" ht="12" thickBot="1"/>
    <row r="2" spans="2:11" ht="13.5" thickBot="1">
      <c r="B2" t="s">
        <v>291</v>
      </c>
      <c r="C2" s="295"/>
      <c r="D2" t="s">
        <v>292</v>
      </c>
      <c r="F2" s="293">
        <f>+IF(C2&lt;0,C5*(1+C6*C2+C7*C2*C2+C8*(C2-100)*C2*C2*C2),C5*(1+C6*C2+C7*C2*C2))</f>
        <v>100</v>
      </c>
      <c r="G2" s="297" t="s">
        <v>293</v>
      </c>
    </row>
    <row r="3" spans="2:11" ht="12.75" thickBot="1">
      <c r="B3" t="s">
        <v>294</v>
      </c>
      <c r="C3" s="294" t="s">
        <v>295</v>
      </c>
      <c r="D3" t="s">
        <v>114</v>
      </c>
      <c r="F3" s="303"/>
      <c r="G3" s="297"/>
    </row>
    <row r="4" spans="2:11" ht="15.75" thickBot="1">
      <c r="F4" s="380" t="s">
        <v>296</v>
      </c>
    </row>
    <row r="5" spans="2:11" ht="12.75" thickBot="1">
      <c r="B5" t="s">
        <v>297</v>
      </c>
      <c r="C5" s="298">
        <v>100</v>
      </c>
      <c r="D5" s="301" t="s">
        <v>293</v>
      </c>
      <c r="E5" t="s">
        <v>294</v>
      </c>
      <c r="F5" s="304">
        <f>+VLOOKUP(C3,E6:G9,2,TRUE)</f>
        <v>0.1</v>
      </c>
      <c r="G5" s="304">
        <f>+VLOOKUP(C3,E6:G9,3,TRUE)</f>
        <v>1.6999999999999999E-3</v>
      </c>
      <c r="K5" s="2"/>
    </row>
    <row r="6" spans="2:11" ht="12" thickBot="1">
      <c r="B6" t="s">
        <v>173</v>
      </c>
      <c r="C6" s="299">
        <v>3.9083E-3</v>
      </c>
      <c r="D6" t="s">
        <v>114</v>
      </c>
      <c r="E6" t="s">
        <v>295</v>
      </c>
      <c r="F6" s="300">
        <v>0.1</v>
      </c>
      <c r="G6" s="302">
        <v>1.6999999999999999E-3</v>
      </c>
      <c r="H6" t="s">
        <v>298</v>
      </c>
      <c r="K6" s="2"/>
    </row>
    <row r="7" spans="2:11" ht="12" thickBot="1">
      <c r="B7" t="s">
        <v>299</v>
      </c>
      <c r="C7" s="299">
        <v>-5.7749999999999998E-7</v>
      </c>
      <c r="D7" t="s">
        <v>114</v>
      </c>
      <c r="E7" t="s">
        <v>300</v>
      </c>
      <c r="F7" s="300">
        <v>0.15</v>
      </c>
      <c r="G7" s="302">
        <v>2E-3</v>
      </c>
      <c r="H7" t="s">
        <v>301</v>
      </c>
      <c r="K7" s="2"/>
    </row>
    <row r="8" spans="2:11" ht="13.5" thickBot="1">
      <c r="B8" t="s">
        <v>302</v>
      </c>
      <c r="C8" s="299">
        <v>-4.1830000000000003E-12</v>
      </c>
      <c r="D8" t="s">
        <v>114</v>
      </c>
      <c r="E8" t="s">
        <v>303</v>
      </c>
      <c r="F8" s="300">
        <v>0.3</v>
      </c>
      <c r="G8" s="302">
        <v>5.0000000000000001E-3</v>
      </c>
      <c r="H8" t="s">
        <v>304</v>
      </c>
      <c r="K8" s="2"/>
    </row>
    <row r="9" spans="2:11" ht="13.5" thickBot="1">
      <c r="B9" t="s">
        <v>305</v>
      </c>
      <c r="C9" s="298">
        <v>0</v>
      </c>
      <c r="D9" t="s">
        <v>114</v>
      </c>
      <c r="E9" t="s">
        <v>306</v>
      </c>
      <c r="F9" s="300">
        <v>0.6</v>
      </c>
      <c r="G9" s="302">
        <v>0.01</v>
      </c>
      <c r="H9" t="s">
        <v>307</v>
      </c>
      <c r="K9" s="2"/>
    </row>
    <row r="10" spans="2:11" ht="12" thickBot="1">
      <c r="K10" s="2"/>
    </row>
    <row r="11" spans="2:11" ht="11.25" customHeight="1">
      <c r="B11" s="289" t="s">
        <v>308</v>
      </c>
      <c r="C11" s="289" t="s">
        <v>309</v>
      </c>
      <c r="D11" s="189"/>
      <c r="E11" s="456" t="s">
        <v>310</v>
      </c>
      <c r="F11" s="458" t="s">
        <v>311</v>
      </c>
      <c r="G11" s="458" t="s">
        <v>311</v>
      </c>
      <c r="H11" s="460" t="s">
        <v>312</v>
      </c>
      <c r="I11" s="461"/>
      <c r="J11" s="461"/>
      <c r="K11" s="462"/>
    </row>
    <row r="12" spans="2:11" ht="12">
      <c r="B12" s="305" t="s">
        <v>313</v>
      </c>
      <c r="C12" s="306" t="s">
        <v>314</v>
      </c>
      <c r="D12" s="307"/>
      <c r="E12" s="457"/>
      <c r="F12" s="459"/>
      <c r="G12" s="459"/>
      <c r="H12" s="463"/>
      <c r="I12" s="464"/>
      <c r="J12" s="464"/>
      <c r="K12" s="465"/>
    </row>
    <row r="13" spans="2:11" ht="12" thickBot="1">
      <c r="B13" s="308"/>
      <c r="C13" s="20"/>
      <c r="D13" s="22"/>
      <c r="E13" s="457"/>
      <c r="F13" s="459"/>
      <c r="G13" s="459"/>
      <c r="H13" s="309" t="s">
        <v>164</v>
      </c>
      <c r="I13" s="267" t="s">
        <v>165</v>
      </c>
      <c r="J13" s="267" t="s">
        <v>272</v>
      </c>
      <c r="K13" s="310" t="s">
        <v>166</v>
      </c>
    </row>
    <row r="14" spans="2:11" ht="14.25">
      <c r="B14" s="311" t="s">
        <v>315</v>
      </c>
      <c r="C14" s="340"/>
      <c r="D14" s="343"/>
      <c r="E14" s="312">
        <f>+(-1*$C$5*$C$6+SQRT(($C$5^2*$C$6^2)-4*$C$5*$C$7*($C$5-C14)))/(2*$C$5*$C$7)</f>
        <v>-246.86102376509319</v>
      </c>
      <c r="F14" s="320">
        <f>+$F$5+$G$5*C14</f>
        <v>0.1</v>
      </c>
      <c r="G14" s="313" t="str">
        <f>+ROUND((E14-F14),2)&amp;"/"&amp;ROUND((E14+F14),2)</f>
        <v>-246,96/-246,76</v>
      </c>
      <c r="H14" s="346"/>
      <c r="I14" s="346"/>
      <c r="J14" s="290"/>
      <c r="K14" s="349"/>
    </row>
    <row r="15" spans="2:11" ht="14.25">
      <c r="B15" s="314" t="s">
        <v>316</v>
      </c>
      <c r="C15" s="341"/>
      <c r="D15" s="344"/>
      <c r="E15" s="315">
        <f t="shared" ref="E15:E23" si="0">+(-1*$C$5*$C$6+SQRT(($C$5^2*$C$6^2)-4*$C$5*$C$7*($C$5-C15)))/(2*$C$5*$C$7)</f>
        <v>-246.86102376509319</v>
      </c>
      <c r="F15" s="321">
        <f t="shared" ref="F15:F23" si="1">+$F$5+$G$5*C15</f>
        <v>0.1</v>
      </c>
      <c r="G15" s="316" t="str">
        <f t="shared" ref="G15:G23" si="2">+ROUND((E15-F15),2)&amp;"/"&amp;ROUND((E15+F15),2)</f>
        <v>-246,96/-246,76</v>
      </c>
      <c r="H15" s="347"/>
      <c r="I15" s="347"/>
      <c r="J15" s="291"/>
      <c r="K15" s="350"/>
    </row>
    <row r="16" spans="2:11" ht="14.25">
      <c r="B16" s="314" t="s">
        <v>317</v>
      </c>
      <c r="C16" s="341"/>
      <c r="D16" s="344"/>
      <c r="E16" s="315">
        <f t="shared" si="0"/>
        <v>-246.86102376509319</v>
      </c>
      <c r="F16" s="321">
        <f t="shared" si="1"/>
        <v>0.1</v>
      </c>
      <c r="G16" s="316" t="str">
        <f t="shared" si="2"/>
        <v>-246,96/-246,76</v>
      </c>
      <c r="H16" s="347"/>
      <c r="I16" s="347"/>
      <c r="J16" s="291"/>
      <c r="K16" s="350"/>
    </row>
    <row r="17" spans="2:11" ht="14.25">
      <c r="B17" s="314" t="s">
        <v>318</v>
      </c>
      <c r="C17" s="341"/>
      <c r="D17" s="344"/>
      <c r="E17" s="315">
        <f t="shared" si="0"/>
        <v>-246.86102376509319</v>
      </c>
      <c r="F17" s="321">
        <f t="shared" si="1"/>
        <v>0.1</v>
      </c>
      <c r="G17" s="316" t="str">
        <f t="shared" si="2"/>
        <v>-246,96/-246,76</v>
      </c>
      <c r="H17" s="347"/>
      <c r="I17" s="347"/>
      <c r="J17" s="291"/>
      <c r="K17" s="350"/>
    </row>
    <row r="18" spans="2:11" ht="14.25">
      <c r="B18" s="314" t="s">
        <v>319</v>
      </c>
      <c r="C18" s="341"/>
      <c r="D18" s="344"/>
      <c r="E18" s="315">
        <f t="shared" si="0"/>
        <v>-246.86102376509319</v>
      </c>
      <c r="F18" s="321">
        <f t="shared" si="1"/>
        <v>0.1</v>
      </c>
      <c r="G18" s="316" t="str">
        <f t="shared" si="2"/>
        <v>-246,96/-246,76</v>
      </c>
      <c r="H18" s="347"/>
      <c r="I18" s="347"/>
      <c r="J18" s="291"/>
      <c r="K18" s="350"/>
    </row>
    <row r="19" spans="2:11" ht="14.25">
      <c r="B19" s="314" t="s">
        <v>320</v>
      </c>
      <c r="C19" s="341"/>
      <c r="D19" s="344"/>
      <c r="E19" s="315">
        <f t="shared" si="0"/>
        <v>-246.86102376509319</v>
      </c>
      <c r="F19" s="321">
        <f t="shared" si="1"/>
        <v>0.1</v>
      </c>
      <c r="G19" s="316" t="str">
        <f t="shared" si="2"/>
        <v>-246,96/-246,76</v>
      </c>
      <c r="H19" s="347"/>
      <c r="I19" s="347"/>
      <c r="J19" s="291"/>
      <c r="K19" s="350"/>
    </row>
    <row r="20" spans="2:11" ht="14.25">
      <c r="B20" s="314" t="s">
        <v>321</v>
      </c>
      <c r="C20" s="341"/>
      <c r="D20" s="344"/>
      <c r="E20" s="315">
        <f t="shared" si="0"/>
        <v>-246.86102376509319</v>
      </c>
      <c r="F20" s="321">
        <f t="shared" si="1"/>
        <v>0.1</v>
      </c>
      <c r="G20" s="316" t="str">
        <f t="shared" si="2"/>
        <v>-246,96/-246,76</v>
      </c>
      <c r="H20" s="347"/>
      <c r="I20" s="347"/>
      <c r="J20" s="291"/>
      <c r="K20" s="350"/>
    </row>
    <row r="21" spans="2:11" ht="14.25">
      <c r="B21" s="314" t="s">
        <v>322</v>
      </c>
      <c r="C21" s="341"/>
      <c r="D21" s="344"/>
      <c r="E21" s="315">
        <f t="shared" si="0"/>
        <v>-246.86102376509319</v>
      </c>
      <c r="F21" s="321">
        <f t="shared" si="1"/>
        <v>0.1</v>
      </c>
      <c r="G21" s="316" t="str">
        <f t="shared" si="2"/>
        <v>-246,96/-246,76</v>
      </c>
      <c r="H21" s="347"/>
      <c r="I21" s="347"/>
      <c r="J21" s="291"/>
      <c r="K21" s="350"/>
    </row>
    <row r="22" spans="2:11" ht="14.25">
      <c r="B22" s="314" t="s">
        <v>323</v>
      </c>
      <c r="C22" s="341"/>
      <c r="D22" s="344"/>
      <c r="E22" s="315">
        <f t="shared" si="0"/>
        <v>-246.86102376509319</v>
      </c>
      <c r="F22" s="321">
        <f t="shared" si="1"/>
        <v>0.1</v>
      </c>
      <c r="G22" s="316" t="str">
        <f t="shared" si="2"/>
        <v>-246,96/-246,76</v>
      </c>
      <c r="H22" s="347"/>
      <c r="I22" s="347"/>
      <c r="J22" s="291"/>
      <c r="K22" s="350"/>
    </row>
    <row r="23" spans="2:11" ht="15" thickBot="1">
      <c r="B23" s="317" t="s">
        <v>324</v>
      </c>
      <c r="C23" s="342"/>
      <c r="D23" s="345"/>
      <c r="E23" s="318">
        <f t="shared" si="0"/>
        <v>-246.86102376509319</v>
      </c>
      <c r="F23" s="322">
        <f t="shared" si="1"/>
        <v>0.1</v>
      </c>
      <c r="G23" s="319" t="str">
        <f t="shared" si="2"/>
        <v>-246,96/-246,76</v>
      </c>
      <c r="H23" s="348"/>
      <c r="I23" s="348"/>
      <c r="J23" s="292"/>
      <c r="K23" s="351"/>
    </row>
    <row r="24" spans="2:11">
      <c r="B24" s="187"/>
    </row>
    <row r="25" spans="2:11" ht="22.5" customHeight="1"/>
    <row r="26" spans="2:11" ht="15">
      <c r="B26" s="296" t="s">
        <v>325</v>
      </c>
    </row>
    <row r="43" spans="2:2">
      <c r="B43" s="187"/>
    </row>
  </sheetData>
  <sheetProtection sheet="1" objects="1" scenarios="1"/>
  <mergeCells count="4">
    <mergeCell ref="E11:E13"/>
    <mergeCell ref="F11:F13"/>
    <mergeCell ref="G11:G13"/>
    <mergeCell ref="H11:K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BCA3B-DD59-44B0-9C0F-DD0D217DF0B2}">
  <dimension ref="B4:H38"/>
  <sheetViews>
    <sheetView showGridLines="0" view="pageLayout" zoomScale="115" zoomScaleNormal="100" zoomScalePageLayoutView="115" workbookViewId="0">
      <selection activeCell="G23" sqref="G23"/>
    </sheetView>
  </sheetViews>
  <sheetFormatPr defaultRowHeight="11.25"/>
  <cols>
    <col min="1" max="1" width="2.25" customWidth="1"/>
    <col min="2" max="2" width="29.375" customWidth="1"/>
    <col min="3" max="3" width="32.5" customWidth="1"/>
    <col min="4" max="4" width="11.875" customWidth="1"/>
    <col min="5" max="5" width="28" customWidth="1"/>
    <col min="6" max="6" width="10.75" customWidth="1"/>
    <col min="7" max="7" width="12.5" customWidth="1"/>
    <col min="8" max="8" width="14.375" customWidth="1"/>
  </cols>
  <sheetData>
    <row r="4" spans="2:8">
      <c r="H4" s="2"/>
    </row>
    <row r="5" spans="2:8">
      <c r="B5" s="98" t="str">
        <f>'Specification machine'!B3</f>
        <v>Machine type</v>
      </c>
      <c r="E5" s="1" t="str">
        <f>'Specification machine'!B31</f>
        <v xml:space="preserve">Electrical machine data </v>
      </c>
      <c r="H5" s="2"/>
    </row>
    <row r="6" spans="2:8">
      <c r="B6" s="39" t="str">
        <f>'Specification machine'!B4</f>
        <v>Manufacture</v>
      </c>
      <c r="C6" s="99" t="str">
        <f>'Specification machine'!C4</f>
        <v xml:space="preserve"> </v>
      </c>
      <c r="E6" s="39" t="str">
        <f>'Specification machine'!B32</f>
        <v>Rated power</v>
      </c>
      <c r="F6" s="39" t="str">
        <f>'Specification machine'!C32</f>
        <v xml:space="preserve"> </v>
      </c>
      <c r="G6" t="str">
        <f>'Specification machine'!D32</f>
        <v>kW</v>
      </c>
      <c r="H6" s="2"/>
    </row>
    <row r="7" spans="2:8">
      <c r="B7" s="39" t="str">
        <f>'Specification machine'!B6</f>
        <v>Machine Type</v>
      </c>
      <c r="C7" s="99" t="str">
        <f>'Specification machine'!C6</f>
        <v xml:space="preserve"> </v>
      </c>
      <c r="E7" s="39" t="str">
        <f>'Specification machine'!B33</f>
        <v>Rated voltage</v>
      </c>
      <c r="F7" s="39">
        <f>'Specification machine'!C33</f>
        <v>500</v>
      </c>
      <c r="G7" t="str">
        <f>'Specification machine'!D33</f>
        <v>V</v>
      </c>
      <c r="H7" s="2"/>
    </row>
    <row r="8" spans="2:8">
      <c r="B8" s="39" t="str">
        <f>'Specification machine'!B7</f>
        <v>International Standard</v>
      </c>
      <c r="C8" s="99" t="str">
        <f>'Specification machine'!C7</f>
        <v>NEN-EN-IEC 60034-1</v>
      </c>
      <c r="E8" s="39" t="str">
        <f>'Specification machine'!B34</f>
        <v>Rated frequency</v>
      </c>
      <c r="F8" s="39">
        <f>'Specification machine'!C34</f>
        <v>0</v>
      </c>
      <c r="G8" t="str">
        <f>'Specification machine'!D34</f>
        <v>Hz</v>
      </c>
      <c r="H8" s="2"/>
    </row>
    <row r="9" spans="2:8">
      <c r="B9" s="39" t="str">
        <f>'Specification machine'!B8</f>
        <v>AC or DC machine</v>
      </c>
      <c r="C9" s="99" t="str">
        <f>'Specification machine'!C8</f>
        <v>AC</v>
      </c>
      <c r="E9" s="39" t="str">
        <f>'Specification machine'!B35</f>
        <v>Pole pairs</v>
      </c>
      <c r="F9" s="39" t="str">
        <f>'Specification machine'!C35</f>
        <v/>
      </c>
      <c r="G9" t="str">
        <f>'Specification machine'!D35</f>
        <v>pp.</v>
      </c>
      <c r="H9" s="2"/>
    </row>
    <row r="10" spans="2:8">
      <c r="B10" s="39" t="str">
        <f>'Specification machine'!B9</f>
        <v>Number of phases</v>
      </c>
      <c r="C10" s="99">
        <f>'Specification machine'!C9</f>
        <v>3</v>
      </c>
      <c r="E10" s="39" t="str">
        <f>'Specification machine'!B36</f>
        <v>Angular velocity</v>
      </c>
      <c r="F10" s="53">
        <f>'Specification machine'!$G$71</f>
        <v>8.2728606544531225</v>
      </c>
      <c r="G10" t="str">
        <f>'Specification machine'!D36</f>
        <v>rad/s</v>
      </c>
      <c r="H10" s="2"/>
    </row>
    <row r="11" spans="2:8">
      <c r="B11" s="39" t="str">
        <f>'Specification machine'!B10</f>
        <v>Speed rotor</v>
      </c>
      <c r="C11" s="99" t="str">
        <f>'Specification machine'!C10</f>
        <v>Synchronous / Asynchronous</v>
      </c>
      <c r="E11" s="39" t="str">
        <f>'Specification machine'!B37</f>
        <v>Rated stator current</v>
      </c>
      <c r="F11" s="39">
        <f>'Specification machine'!C37</f>
        <v>0</v>
      </c>
      <c r="G11" t="str">
        <f>'Specification machine'!D37</f>
        <v>A</v>
      </c>
    </row>
    <row r="12" spans="2:8">
      <c r="B12" s="39" t="str">
        <f>'Specification machine'!B11</f>
        <v>Type of Motor</v>
      </c>
      <c r="C12" s="99" t="str">
        <f>'Specification machine'!C11</f>
        <v xml:space="preserve"> </v>
      </c>
      <c r="E12" s="39" t="str">
        <f>'Specification machine'!B38</f>
        <v>Starting current</v>
      </c>
      <c r="F12" s="39">
        <f>'Specification machine'!C38</f>
        <v>0</v>
      </c>
      <c r="G12" t="str">
        <f>'Specification machine'!D38</f>
        <v>%</v>
      </c>
    </row>
    <row r="13" spans="2:8">
      <c r="E13" s="39" t="str">
        <f>'Specification machine'!B39</f>
        <v>BEMF (cold)</v>
      </c>
      <c r="F13" s="39">
        <f>'Specification machine'!C39</f>
        <v>0</v>
      </c>
      <c r="G13" t="str">
        <f>'Specification machine'!D39&amp;"@"&amp;'Specification machine'!F39&amp;"rpm"</f>
        <v>V@1000rpm</v>
      </c>
    </row>
    <row r="14" spans="2:8">
      <c r="B14" s="1" t="str">
        <f>'Specification machine'!B14</f>
        <v>Location</v>
      </c>
      <c r="E14" s="39" t="str">
        <f>'Specification machine'!B40</f>
        <v>BEMF (cold)</v>
      </c>
      <c r="F14" s="39">
        <f>'Specification machine'!C40</f>
        <v>0</v>
      </c>
      <c r="G14" t="str">
        <f>'Specification machine'!D40&amp;"@"&amp;'Specification machine'!F40&amp;"rpm"</f>
        <v>V@79rpm</v>
      </c>
    </row>
    <row r="15" spans="2:8">
      <c r="B15" s="39" t="str">
        <f>'Specification machine'!B15</f>
        <v>Installation machine</v>
      </c>
      <c r="C15" s="121" t="str">
        <f>'Specification machine'!C15</f>
        <v>indoor</v>
      </c>
      <c r="E15" s="39" t="str">
        <f>'Specification machine'!B42</f>
        <v>BEMF (hot)</v>
      </c>
      <c r="F15" s="54">
        <f>'Specification machine'!C42</f>
        <v>0</v>
      </c>
      <c r="G15" t="str">
        <f>'Specification machine'!D42&amp;"@"&amp;'Specification machine'!F42&amp;"rpm"</f>
        <v>V@1000rpm</v>
      </c>
    </row>
    <row r="16" spans="2:8">
      <c r="B16" s="39" t="str">
        <f>'Specification machine'!B16</f>
        <v>Min. ambient temperature</v>
      </c>
      <c r="C16" s="121">
        <f>'Specification machine'!C16</f>
        <v>-20</v>
      </c>
      <c r="D16" t="str">
        <f>'Specification machine'!D16</f>
        <v>0C</v>
      </c>
      <c r="E16" s="39" t="str">
        <f>'Specification machine'!B43</f>
        <v>BEMF (hot)</v>
      </c>
      <c r="F16" s="54">
        <f>'Specification machine'!C43</f>
        <v>0</v>
      </c>
      <c r="G16" t="str">
        <f>'Specification machine'!D43&amp;"@"&amp;'Specification machine'!F43&amp;"rpm"</f>
        <v>V@79rpm</v>
      </c>
    </row>
    <row r="17" spans="2:7">
      <c r="B17" s="39" t="str">
        <f>'Specification machine'!B17</f>
        <v>Max. ambient temperature</v>
      </c>
      <c r="C17" s="121">
        <f>'Specification machine'!C17</f>
        <v>40</v>
      </c>
      <c r="D17" t="str">
        <f>'Specification machine'!D17</f>
        <v>0C</v>
      </c>
      <c r="E17" s="39" t="str">
        <f>'Specification machine'!B41</f>
        <v>Number of poles</v>
      </c>
      <c r="F17" s="39">
        <f>'Specification machine'!C41</f>
        <v>0</v>
      </c>
      <c r="G17" t="str">
        <f>'Specification machine'!D41</f>
        <v>poles</v>
      </c>
    </row>
    <row r="18" spans="2:7" ht="12">
      <c r="B18" s="39" t="str">
        <f>'Specification machine'!B18</f>
        <v>Max. attitude above sealevel</v>
      </c>
      <c r="C18" s="121">
        <f>'Specification machine'!C18</f>
        <v>1000</v>
      </c>
      <c r="D18" t="str">
        <f>'Specification machine'!D18</f>
        <v>m</v>
      </c>
      <c r="E18" s="39" t="str">
        <f>'Specification machine'!B44</f>
        <v>Rs, cold</v>
      </c>
      <c r="F18" s="60">
        <f>'Specification machine'!C44</f>
        <v>0</v>
      </c>
      <c r="G18" t="s">
        <v>633</v>
      </c>
    </row>
    <row r="19" spans="2:7">
      <c r="B19" s="39" t="str">
        <f>'Specification machine'!B19</f>
        <v>Humidity</v>
      </c>
      <c r="C19" s="121" t="str">
        <f>'Specification machine'!C19</f>
        <v>&lt; 95</v>
      </c>
      <c r="D19" t="str">
        <f>'Specification machine'!D19</f>
        <v>%</v>
      </c>
      <c r="E19" s="39" t="str">
        <f>'Specification machine'!B45</f>
        <v>Ld, cold</v>
      </c>
      <c r="F19" s="60">
        <f>'Specification machine'!C45</f>
        <v>0</v>
      </c>
      <c r="G19" t="str">
        <f>'Specification machine'!D45</f>
        <v>mH (phase)</v>
      </c>
    </row>
    <row r="20" spans="2:7">
      <c r="E20" s="39" t="str">
        <f>'Specification machine'!B46</f>
        <v>Lq, cold</v>
      </c>
      <c r="F20" s="60">
        <f>'Specification machine'!C46</f>
        <v>0</v>
      </c>
      <c r="G20" t="str">
        <f>'Specification machine'!D46</f>
        <v>mH (phase)</v>
      </c>
    </row>
    <row r="21" spans="2:7" ht="12">
      <c r="B21" s="1" t="str">
        <f>'Specification machine'!B69</f>
        <v>Mechanical machine data</v>
      </c>
      <c r="E21" s="53" t="str">
        <f>'Specification machine'!E44</f>
        <v>Rs,hot</v>
      </c>
      <c r="F21" s="60">
        <f>'Specification machine'!F44</f>
        <v>0</v>
      </c>
      <c r="G21" t="s">
        <v>633</v>
      </c>
    </row>
    <row r="22" spans="2:7">
      <c r="B22" s="39" t="str">
        <f>'Specification machine'!B70</f>
        <v>Rated speed</v>
      </c>
      <c r="C22" s="39">
        <f>'Specification machine'!C70</f>
        <v>79</v>
      </c>
      <c r="D22" t="str">
        <f>'Specification machine'!D70</f>
        <v>rpm</v>
      </c>
      <c r="E22" s="53" t="str">
        <f>'Specification machine'!E45</f>
        <v>Ld, hot</v>
      </c>
      <c r="F22" s="60">
        <f>'Specification machine'!F45</f>
        <v>0</v>
      </c>
      <c r="G22" t="str">
        <f>'Specification machine'!G45</f>
        <v>mH (phase)</v>
      </c>
    </row>
    <row r="23" spans="2:7">
      <c r="B23" s="39" t="str">
        <f>'Specification machine'!B71</f>
        <v>Rated torque (full load)</v>
      </c>
      <c r="C23" s="405">
        <f>'Specification machine'!C71</f>
        <v>68500</v>
      </c>
      <c r="D23" t="str">
        <f>'Specification machine'!D71</f>
        <v>Nm</v>
      </c>
      <c r="E23" s="53" t="str">
        <f>'Specification machine'!E46</f>
        <v>Lq, hot</v>
      </c>
      <c r="F23" s="60">
        <f>'Specification machine'!F46</f>
        <v>0</v>
      </c>
      <c r="G23" t="str">
        <f>'Specification machine'!G46</f>
        <v>mH (phase)</v>
      </c>
    </row>
    <row r="24" spans="2:7">
      <c r="B24" s="39" t="str">
        <f>'Specification machine'!B72</f>
        <v>Starting torque</v>
      </c>
      <c r="C24" s="39">
        <f>'Specification machine'!C72</f>
        <v>110</v>
      </c>
      <c r="D24" t="str">
        <f>'Specification machine'!D72</f>
        <v>%</v>
      </c>
      <c r="E24" s="39" t="str">
        <f>'Specification machine'!B48</f>
        <v>Stator connection</v>
      </c>
      <c r="F24" s="121" t="str">
        <f>'Specification machine'!C48</f>
        <v>Y</v>
      </c>
      <c r="G24" t="str">
        <f>'Specification machine'!D48</f>
        <v>-</v>
      </c>
    </row>
    <row r="25" spans="2:7">
      <c r="B25" s="39" t="str">
        <f>'Specification machine'!B73</f>
        <v>Break-down torque</v>
      </c>
      <c r="C25" s="39">
        <f>'Specification machine'!C73</f>
        <v>130</v>
      </c>
      <c r="D25" t="str">
        <f>'Specification machine'!D73</f>
        <v>%</v>
      </c>
      <c r="E25" s="39" t="str">
        <f>'Specification machine'!B49</f>
        <v>Stator winding material (Cu or Al)</v>
      </c>
      <c r="F25" s="121" t="str">
        <f>'Specification machine'!C49</f>
        <v>Cu</v>
      </c>
      <c r="G25" t="str">
        <f>'Specification machine'!D49</f>
        <v>-</v>
      </c>
    </row>
    <row r="26" spans="2:7">
      <c r="B26" s="39" t="str">
        <f>'Specification machine'!B74</f>
        <v>Direction of rotation</v>
      </c>
      <c r="C26" s="121" t="str">
        <f>'Specification machine'!C74</f>
        <v xml:space="preserve">both ways </v>
      </c>
      <c r="D26" t="str">
        <f>'Specification machine'!D74</f>
        <v>-</v>
      </c>
      <c r="E26" s="39" t="str">
        <f>'Specification machine'!B50</f>
        <v>Insulation system</v>
      </c>
      <c r="F26" s="121" t="str">
        <f>'Specification machine'!C50</f>
        <v xml:space="preserve"> VPI system</v>
      </c>
      <c r="G26" t="str">
        <f>'Specification machine'!D50</f>
        <v>-</v>
      </c>
    </row>
    <row r="27" spans="2:7">
      <c r="B27" s="39" t="str">
        <f>'Specification machine'!B75</f>
        <v>Moment of inertia</v>
      </c>
      <c r="C27" s="39" t="str">
        <f>'Specification machine'!C75</f>
        <v xml:space="preserve"> </v>
      </c>
      <c r="D27" t="str">
        <f>'Specification machine'!D75</f>
        <v>Kgm^2</v>
      </c>
      <c r="E27" s="39" t="str">
        <f>'Specification machine'!B52</f>
        <v>Line voltage</v>
      </c>
      <c r="F27" s="54">
        <f>'Specification machine'!C52</f>
        <v>500</v>
      </c>
      <c r="G27" t="str">
        <f>'Specification machine'!D52</f>
        <v>V</v>
      </c>
    </row>
    <row r="28" spans="2:7">
      <c r="B28" s="39" t="str">
        <f>'Specification machine'!B77</f>
        <v>Weight rotor (approx.)</v>
      </c>
      <c r="C28" s="39" t="str">
        <f>'Specification machine'!C77</f>
        <v xml:space="preserve"> </v>
      </c>
      <c r="D28" t="str">
        <f>'Specification machine'!D77</f>
        <v>Kg</v>
      </c>
      <c r="E28" s="39" t="str">
        <f>'Specification machine'!B53</f>
        <v>Line frequency</v>
      </c>
      <c r="F28" s="54">
        <f>'Specification machine'!C53</f>
        <v>50</v>
      </c>
      <c r="G28" t="str">
        <f>'Specification machine'!D53</f>
        <v>Hz</v>
      </c>
    </row>
    <row r="29" spans="2:7">
      <c r="E29" s="1" t="s">
        <v>308</v>
      </c>
    </row>
    <row r="30" spans="2:7" ht="12.75">
      <c r="B30" s="1" t="str">
        <f>'Specification machine'!B169</f>
        <v>ATEX</v>
      </c>
      <c r="E30" s="39" t="str">
        <f>'Specification machine'!B56</f>
        <v>Insulation class</v>
      </c>
      <c r="F30" s="373" t="str">
        <f>'Specification machine'!C56&amp;" =&gt; "&amp;'Specification machine'!F56</f>
        <v>H =&gt; 180</v>
      </c>
      <c r="G30" t="s">
        <v>292</v>
      </c>
    </row>
    <row r="31" spans="2:7" ht="12.75">
      <c r="B31" s="99" t="str">
        <f>'Specification machine'!B170</f>
        <v>ATEX class</v>
      </c>
      <c r="C31" s="121" t="str">
        <f>'Specification machine'!C170</f>
        <v>No</v>
      </c>
      <c r="E31" s="39" t="str">
        <f>'Specification machine'!B57</f>
        <v>Temperature rise class</v>
      </c>
      <c r="F31" s="373" t="str">
        <f>'Specification machine'!C57&amp;" =&gt; "&amp;'Specification machine'!F57</f>
        <v>B =&gt; 130</v>
      </c>
      <c r="G31" t="s">
        <v>292</v>
      </c>
    </row>
    <row r="32" spans="2:7">
      <c r="E32" s="91"/>
    </row>
    <row r="33" spans="2:7">
      <c r="B33" s="1" t="str">
        <f>'Specification machine'!B62</f>
        <v>Efficiency machine</v>
      </c>
      <c r="C33" s="2"/>
      <c r="E33" s="1" t="str">
        <f>'Specification machine'!E62</f>
        <v>Powerfactor (PF)</v>
      </c>
    </row>
    <row r="34" spans="2:7">
      <c r="B34" t="str">
        <f>'Specification machine'!B63</f>
        <v>Efficiency, 100% load</v>
      </c>
      <c r="C34" s="101">
        <f>'Specification machine'!C63</f>
        <v>94</v>
      </c>
      <c r="D34" t="str">
        <f>'Specification machine'!D63</f>
        <v>%</v>
      </c>
      <c r="E34" t="str">
        <f>'Specification machine'!E63</f>
        <v xml:space="preserve">PF, 100% load </v>
      </c>
      <c r="F34" s="101">
        <f>'Specification machine'!F63</f>
        <v>0.95</v>
      </c>
      <c r="G34" t="str">
        <f>'Specification machine'!G63</f>
        <v>-</v>
      </c>
    </row>
    <row r="35" spans="2:7">
      <c r="B35" t="str">
        <f>'Specification machine'!B64</f>
        <v>Efficiency, 75% load</v>
      </c>
      <c r="C35" s="101">
        <f>'Specification machine'!C64</f>
        <v>93</v>
      </c>
      <c r="D35" t="str">
        <f>'Specification machine'!D64</f>
        <v>%</v>
      </c>
      <c r="E35" t="str">
        <f>'Specification machine'!E64</f>
        <v>PF, 75% load</v>
      </c>
      <c r="F35" s="101">
        <f>'Specification machine'!F64</f>
        <v>0.85</v>
      </c>
      <c r="G35" t="str">
        <f>'Specification machine'!G64</f>
        <v>-</v>
      </c>
    </row>
    <row r="36" spans="2:7">
      <c r="B36" t="str">
        <f>'Specification machine'!B65</f>
        <v>Efficiency, 50% load</v>
      </c>
      <c r="C36" s="101">
        <f>'Specification machine'!C65</f>
        <v>92</v>
      </c>
      <c r="D36" t="str">
        <f>'Specification machine'!D65</f>
        <v>%</v>
      </c>
      <c r="E36" t="str">
        <f>'Specification machine'!E65</f>
        <v>PF, 50% load</v>
      </c>
      <c r="F36" s="101">
        <f>'Specification machine'!F65</f>
        <v>0.72</v>
      </c>
      <c r="G36" t="str">
        <f>'Specification machine'!G65</f>
        <v>-</v>
      </c>
    </row>
    <row r="37" spans="2:7">
      <c r="B37" t="str">
        <f>'Specification machine'!B66</f>
        <v>Efficiency, 25% load</v>
      </c>
      <c r="C37" s="101">
        <f>'Specification machine'!C66</f>
        <v>91</v>
      </c>
      <c r="D37" t="str">
        <f>'Specification machine'!D66</f>
        <v>%</v>
      </c>
      <c r="E37" t="str">
        <f>'Specification machine'!E66</f>
        <v>PF, 25% load</v>
      </c>
      <c r="F37" s="101">
        <f>'Specification machine'!F66</f>
        <v>0.6</v>
      </c>
      <c r="G37" t="str">
        <f>'Specification machine'!G66</f>
        <v>-</v>
      </c>
    </row>
    <row r="38" spans="2:7">
      <c r="B38" t="str">
        <f>'Specification machine'!B67</f>
        <v>Efficiency Class</v>
      </c>
      <c r="C38" s="124" t="str">
        <f>'Specification machine'!C67</f>
        <v>n.a.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83D9-77C7-450B-8DA9-B8303910ABAD}">
  <dimension ref="B5:D36"/>
  <sheetViews>
    <sheetView showGridLines="0" view="pageLayout" zoomScaleNormal="100" workbookViewId="0">
      <selection activeCell="B38" sqref="B38"/>
    </sheetView>
  </sheetViews>
  <sheetFormatPr defaultRowHeight="11.25"/>
  <cols>
    <col min="1" max="1" width="2.25" customWidth="1"/>
    <col min="2" max="2" width="50.125" customWidth="1"/>
    <col min="3" max="3" width="32.5" customWidth="1"/>
    <col min="4" max="4" width="11.875" customWidth="1"/>
  </cols>
  <sheetData>
    <row r="5" spans="2:4">
      <c r="B5" s="1" t="str">
        <f>'Specification machine'!B79</f>
        <v>Frame</v>
      </c>
      <c r="C5" s="2"/>
    </row>
    <row r="6" spans="2:4">
      <c r="B6" s="39" t="str">
        <f>'Specification machine'!B80</f>
        <v>Frame material</v>
      </c>
      <c r="C6" s="125" t="str">
        <f>'Specification machine'!C80</f>
        <v xml:space="preserve"> </v>
      </c>
    </row>
    <row r="7" spans="2:4">
      <c r="B7" s="39" t="str">
        <f>'Specification machine'!B81</f>
        <v>Frame size H</v>
      </c>
      <c r="C7" s="125" t="str">
        <f>'Specification machine'!C81</f>
        <v xml:space="preserve"> </v>
      </c>
      <c r="D7" s="383" t="str">
        <f>'Specification machine'!D81</f>
        <v>mm</v>
      </c>
    </row>
    <row r="8" spans="2:4">
      <c r="B8" s="39" t="str">
        <f>'Specification machine'!B82</f>
        <v>Flange size</v>
      </c>
      <c r="C8" s="125" t="str">
        <f>'Specification machine'!C82</f>
        <v xml:space="preserve"> </v>
      </c>
    </row>
    <row r="9" spans="2:4">
      <c r="B9" s="39" t="str">
        <f>'Specification machine'!B83</f>
        <v>Foot size</v>
      </c>
      <c r="C9" s="125" t="str">
        <f>'Specification machine'!C83</f>
        <v>n.a.</v>
      </c>
    </row>
    <row r="10" spans="2:4">
      <c r="B10" s="39" t="str">
        <f>'Specification machine'!B84</f>
        <v>Mouting arrangement (new)</v>
      </c>
      <c r="C10" s="125" t="str">
        <f>'Specification machine'!C84</f>
        <v>IM-3011</v>
      </c>
    </row>
    <row r="11" spans="2:4">
      <c r="B11" s="39" t="str">
        <f>'Specification machine'!B85</f>
        <v>Mouting arrangement (old)</v>
      </c>
      <c r="C11" s="125" t="str">
        <f>'Specification machine'!C85</f>
        <v>IM-V1</v>
      </c>
    </row>
    <row r="12" spans="2:4">
      <c r="B12" s="39" t="str">
        <f>'Specification machine'!B86</f>
        <v>Motor protection</v>
      </c>
      <c r="C12" s="125" t="str">
        <f>'Specification machine'!C86</f>
        <v>&gt;=IP-23</v>
      </c>
    </row>
    <row r="13" spans="2:4">
      <c r="B13" s="39" t="str">
        <f>'Specification machine'!B87</f>
        <v>Terminal box protection</v>
      </c>
      <c r="C13" s="125" t="str">
        <f>'Specification machine'!C87</f>
        <v>&gt;=IP-55</v>
      </c>
    </row>
    <row r="14" spans="2:4">
      <c r="C14" s="2"/>
    </row>
    <row r="15" spans="2:4">
      <c r="B15" s="1" t="str">
        <f>'Specification machine'!B89</f>
        <v>Cable Glands</v>
      </c>
      <c r="C15" s="2"/>
    </row>
    <row r="16" spans="2:4">
      <c r="B16" s="39" t="str">
        <f>'Specification machine'!B90</f>
        <v>Main power cable glands</v>
      </c>
      <c r="C16" s="125" t="str">
        <f>'Specification machine'!C90</f>
        <v>drawing….</v>
      </c>
    </row>
    <row r="17" spans="2:4">
      <c r="B17" s="39" t="str">
        <f>'Specification machine'!B91</f>
        <v>Auxiliary cable glands</v>
      </c>
      <c r="C17" s="125" t="str">
        <f>'Specification machine'!C91</f>
        <v>drawing….</v>
      </c>
    </row>
    <row r="18" spans="2:4">
      <c r="C18" s="2"/>
    </row>
    <row r="19" spans="2:4">
      <c r="B19" s="1" t="str">
        <f>'Specification machine'!B94</f>
        <v>Bearing data</v>
      </c>
      <c r="C19" s="2"/>
    </row>
    <row r="20" spans="2:4">
      <c r="B20" s="39" t="str">
        <f>'Specification machine'!B95</f>
        <v>Bearing manufacturer</v>
      </c>
      <c r="C20" s="51" t="str">
        <f>'Specification machine'!C95</f>
        <v xml:space="preserve"> </v>
      </c>
    </row>
    <row r="21" spans="2:4">
      <c r="B21" s="39" t="str">
        <f>'Specification machine'!B96</f>
        <v>Bearing type Drive End</v>
      </c>
      <c r="C21" s="51" t="str">
        <f>'Specification machine'!C96</f>
        <v xml:space="preserve"> </v>
      </c>
    </row>
    <row r="22" spans="2:4">
      <c r="B22" s="39" t="str">
        <f>'Specification machine'!B97</f>
        <v>Bearing code Drive End</v>
      </c>
      <c r="C22" s="51" t="str">
        <f>'Specification machine'!C97</f>
        <v xml:space="preserve"> </v>
      </c>
    </row>
    <row r="23" spans="2:4">
      <c r="B23" s="39" t="str">
        <f>'Specification machine'!B98</f>
        <v>Lubrication bearings (amount of grease/operating hours)</v>
      </c>
      <c r="C23" s="45" t="str">
        <f>'Specification machine'!C98</f>
        <v xml:space="preserve"> </v>
      </c>
    </row>
    <row r="24" spans="2:4">
      <c r="B24" s="39" t="str">
        <f>'Specification machine'!B99</f>
        <v>Bearing type Non Drive End</v>
      </c>
      <c r="C24" s="101" t="str">
        <f>'Specification machine'!C99</f>
        <v xml:space="preserve"> </v>
      </c>
    </row>
    <row r="25" spans="2:4">
      <c r="B25" s="39" t="str">
        <f>'Specification machine'!B100</f>
        <v>Bearing code Non Drive End</v>
      </c>
      <c r="C25" s="101" t="str">
        <f>'Specification machine'!C100</f>
        <v xml:space="preserve"> </v>
      </c>
    </row>
    <row r="26" spans="2:4">
      <c r="B26" s="39" t="str">
        <f>'Specification machine'!B101</f>
        <v>Lubrication bearings (amount of grease/operating hours)</v>
      </c>
      <c r="C26" s="45" t="str">
        <f>'Specification machine'!C101</f>
        <v xml:space="preserve"> </v>
      </c>
    </row>
    <row r="27" spans="2:4">
      <c r="B27" s="39" t="str">
        <f>'Specification machine'!B102</f>
        <v>Bearing NDE insulated</v>
      </c>
      <c r="C27" s="51" t="str">
        <f>'Specification machine'!C102</f>
        <v xml:space="preserve"> </v>
      </c>
    </row>
    <row r="28" spans="2:4">
      <c r="B28" s="39" t="str">
        <f>'Specification machine'!B103</f>
        <v>Bearing lubrication</v>
      </c>
      <c r="C28" s="51" t="str">
        <f>'Specification machine'!C103</f>
        <v xml:space="preserve"> </v>
      </c>
    </row>
    <row r="29" spans="2:4">
      <c r="B29" s="39" t="str">
        <f>'Specification machine'!B104</f>
        <v>Axial load on Drive End</v>
      </c>
      <c r="C29" s="51" t="str">
        <f>'Specification machine'!C104</f>
        <v xml:space="preserve"> </v>
      </c>
      <c r="D29" t="str">
        <f>'Specification machine'!D104</f>
        <v>kN</v>
      </c>
    </row>
    <row r="30" spans="2:4">
      <c r="B30" s="39" t="str">
        <f>'Specification machine'!B105</f>
        <v>Radial load on Drive End</v>
      </c>
      <c r="C30" s="101" t="str">
        <f>'Specification machine'!C105</f>
        <v xml:space="preserve"> </v>
      </c>
      <c r="D30" t="str">
        <f>'Specification machine'!D105</f>
        <v>kN</v>
      </c>
    </row>
    <row r="31" spans="2:4">
      <c r="B31" s="39" t="str">
        <f>'Specification machine'!B106</f>
        <v>Shaft grounding ring</v>
      </c>
      <c r="C31" s="101" t="str">
        <f>'Specification machine'!C106</f>
        <v xml:space="preserve"> </v>
      </c>
    </row>
    <row r="33" spans="2:4">
      <c r="B33" s="1" t="str">
        <f>'Specification machine'!B108</f>
        <v>Vibration &amp; noise</v>
      </c>
      <c r="C33" s="2"/>
    </row>
    <row r="34" spans="2:4">
      <c r="B34" s="39" t="str">
        <f>'Specification machine'!B109</f>
        <v>Vibration severity</v>
      </c>
      <c r="C34" s="101">
        <f>'Specification machine'!C109</f>
        <v>1.5</v>
      </c>
      <c r="D34" s="376" t="str">
        <f>'Specification machine'!D109</f>
        <v>V rms (mm/s)</v>
      </c>
    </row>
    <row r="35" spans="2:4">
      <c r="B35" s="39" t="str">
        <f>'Specification machine'!B110</f>
        <v>Vibration class</v>
      </c>
      <c r="C35" s="124" t="str">
        <f>'Specification machine'!C110</f>
        <v>B</v>
      </c>
    </row>
    <row r="36" spans="2:4">
      <c r="B36" s="39" t="str">
        <f>'Specification machine'!B111</f>
        <v>Noise Level LpA at 1 m on VFD &lt;</v>
      </c>
      <c r="C36" s="124">
        <f>'Specification machine'!C111</f>
        <v>78</v>
      </c>
      <c r="D36" s="376" t="str">
        <f>'Specification machine'!D111</f>
        <v>dB(A)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DCF6-1214-46F4-9D98-173F236815E6}">
  <dimension ref="B3:H39"/>
  <sheetViews>
    <sheetView showGridLines="0" view="pageLayout" zoomScaleNormal="100" workbookViewId="0">
      <selection activeCell="B38" sqref="B38"/>
    </sheetView>
  </sheetViews>
  <sheetFormatPr defaultRowHeight="11.25"/>
  <cols>
    <col min="1" max="1" width="2.25" customWidth="1"/>
    <col min="2" max="2" width="37" customWidth="1"/>
    <col min="3" max="3" width="27.375" customWidth="1"/>
    <col min="4" max="4" width="6.75" customWidth="1"/>
    <col min="5" max="5" width="29.875" customWidth="1"/>
    <col min="6" max="6" width="17.5" customWidth="1"/>
    <col min="7" max="7" width="6.25" customWidth="1"/>
    <col min="8" max="8" width="14.375" customWidth="1"/>
  </cols>
  <sheetData>
    <row r="3" spans="2:8">
      <c r="C3" s="126"/>
    </row>
    <row r="4" spans="2:8">
      <c r="C4" s="126"/>
      <c r="H4" s="2"/>
    </row>
    <row r="5" spans="2:8">
      <c r="B5" s="1" t="str">
        <f>'Specification machine'!B21</f>
        <v>Machine Load data</v>
      </c>
      <c r="C5" s="123"/>
      <c r="E5" s="1" t="str">
        <f>'Specification machine'!B172</f>
        <v>Painting</v>
      </c>
      <c r="H5" s="2"/>
    </row>
    <row r="6" spans="2:8">
      <c r="B6" s="39" t="str">
        <f>'Specification machine'!B22</f>
        <v>Application machine</v>
      </c>
      <c r="C6" s="124" t="str">
        <f>'Specification machine'!C22</f>
        <v>centrifugal pump</v>
      </c>
      <c r="E6" s="99" t="str">
        <f>'Specification machine'!B173</f>
        <v>Painting system</v>
      </c>
      <c r="F6" s="121" t="str">
        <f>'Specification machine'!C173</f>
        <v>Corrosivity cat. C3</v>
      </c>
      <c r="H6" s="2"/>
    </row>
    <row r="7" spans="2:8">
      <c r="B7" s="39" t="str">
        <f>'Specification machine'!B23</f>
        <v>Connection with application</v>
      </c>
      <c r="C7" s="124" t="str">
        <f>'Specification machine'!C23</f>
        <v>rigid / flexible coupling</v>
      </c>
      <c r="E7" s="99" t="str">
        <f>'Specification machine'!B174</f>
        <v>Painting RAL-color</v>
      </c>
      <c r="F7" s="121" t="str">
        <f>'Specification machine'!C174</f>
        <v>RAL-1005</v>
      </c>
      <c r="H7" s="2"/>
    </row>
    <row r="8" spans="2:8">
      <c r="B8" s="39" t="str">
        <f>'Specification machine'!B24</f>
        <v>Torque characterisitic</v>
      </c>
      <c r="C8" s="124" t="str">
        <f>'Specification machine'!C24</f>
        <v>quadratic</v>
      </c>
      <c r="E8" s="99" t="str">
        <f>'Specification machine'!B175</f>
        <v>Painting color</v>
      </c>
      <c r="F8" s="121" t="str">
        <f>'Specification machine'!C175</f>
        <v>Honey Yellow</v>
      </c>
      <c r="H8" s="2"/>
    </row>
    <row r="9" spans="2:8">
      <c r="B9" s="39" t="str">
        <f>'Specification machine'!B25</f>
        <v>Starting methode</v>
      </c>
      <c r="C9" s="127" t="str">
        <f>'Specification machine'!C25</f>
        <v>Variable Frequncy Drive (VFD)</v>
      </c>
      <c r="H9" s="2"/>
    </row>
    <row r="10" spans="2:8">
      <c r="B10" s="39" t="str">
        <f>'Specification machine'!B26</f>
        <v>Operation methode</v>
      </c>
      <c r="C10" s="127" t="str">
        <f>'Specification machine'!C26</f>
        <v>Variable Frequency Drive (VFD)</v>
      </c>
      <c r="E10" s="1" t="str">
        <f>'Specification machine'!B117</f>
        <v>Variabel Speed Drive (VSD)</v>
      </c>
      <c r="H10" s="2"/>
    </row>
    <row r="11" spans="2:8">
      <c r="B11" s="39" t="str">
        <f>'Specification machine'!B27</f>
        <v>Number of starts (cold)</v>
      </c>
      <c r="C11" s="125">
        <f>'Specification machine'!C27</f>
        <v>15</v>
      </c>
      <c r="D11" t="str">
        <f>'Specification machine'!D27</f>
        <v>x/h</v>
      </c>
      <c r="E11" s="39" t="str">
        <f>'Specification machine'!B118</f>
        <v>Prefered control mode sensorless</v>
      </c>
      <c r="F11" s="121" t="str">
        <f>'Specification machine'!C118</f>
        <v>vector or scalar</v>
      </c>
    </row>
    <row r="12" spans="2:8">
      <c r="B12" s="39" t="str">
        <f>'Specification machine'!B28</f>
        <v>Number of starts (hot)</v>
      </c>
      <c r="C12" s="125">
        <f>'Specification machine'!C28</f>
        <v>15</v>
      </c>
      <c r="D12" t="str">
        <f>'Specification machine'!D28</f>
        <v>x/h</v>
      </c>
      <c r="E12" s="39" t="str">
        <f>'Specification machine'!B119</f>
        <v>Min. switching frequency</v>
      </c>
      <c r="F12" s="39">
        <f>'Specification machine'!C119</f>
        <v>3.6</v>
      </c>
      <c r="G12" t="str">
        <f>'Specification machine'!D119</f>
        <v>kHz</v>
      </c>
    </row>
    <row r="13" spans="2:8">
      <c r="B13" s="39" t="str">
        <f>'Specification machine'!B29</f>
        <v>Load class</v>
      </c>
      <c r="C13" s="124" t="str">
        <f>'Specification machine'!C29</f>
        <v>S1</v>
      </c>
      <c r="E13" s="39" t="str">
        <f>'Specification machine'!B120</f>
        <v>Max. switching frequency</v>
      </c>
      <c r="F13" s="39">
        <f>'Specification machine'!C120</f>
        <v>6</v>
      </c>
      <c r="G13" t="str">
        <f>'Specification machine'!D120</f>
        <v>kHz</v>
      </c>
    </row>
    <row r="14" spans="2:8">
      <c r="B14" s="1"/>
      <c r="C14" s="126"/>
    </row>
    <row r="15" spans="2:8">
      <c r="B15" s="1" t="s">
        <v>271</v>
      </c>
      <c r="C15" s="123"/>
    </row>
    <row r="16" spans="2:8">
      <c r="C16" s="123"/>
    </row>
    <row r="17" spans="2:7">
      <c r="B17" s="1" t="str">
        <f>'Specification machine'!B124</f>
        <v>Fan</v>
      </c>
      <c r="C17" s="123"/>
      <c r="E17" s="1" t="str">
        <f>'Specification machine'!B162</f>
        <v>Temperature measurement bearings</v>
      </c>
    </row>
    <row r="18" spans="2:7">
      <c r="B18" s="39" t="str">
        <f>'Specification machine'!B125</f>
        <v>Coolant medium</v>
      </c>
      <c r="C18" s="124" t="str">
        <f>'Specification machine'!C125</f>
        <v>air</v>
      </c>
      <c r="E18" s="39" t="str">
        <f>'Specification machine'!B163</f>
        <v>ND Bearing PT100</v>
      </c>
      <c r="F18" s="121" t="str">
        <f>'Specification machine'!C163</f>
        <v>PT100</v>
      </c>
    </row>
    <row r="19" spans="2:7">
      <c r="B19" s="39" t="str">
        <f>'Specification machine'!B126</f>
        <v>Cooling type</v>
      </c>
      <c r="C19" s="124" t="str">
        <f>'Specification machine'!C126</f>
        <v xml:space="preserve"> </v>
      </c>
      <c r="E19" s="39" t="str">
        <f>'Specification machine'!B164</f>
        <v>ND Bearing PT100 (spare)</v>
      </c>
      <c r="F19" s="121" t="str">
        <f>'Specification machine'!C164</f>
        <v>PT100</v>
      </c>
    </row>
    <row r="20" spans="2:7">
      <c r="B20" s="39" t="str">
        <f>'Specification machine'!B127</f>
        <v>Cooling type desciption</v>
      </c>
      <c r="C20" s="374" t="str">
        <f>'Specification machine'!C127</f>
        <v xml:space="preserve"> </v>
      </c>
      <c r="E20" s="39" t="str">
        <f>'Specification machine'!B165</f>
        <v>NDE Bearing PT100</v>
      </c>
      <c r="F20" s="121" t="str">
        <f>'Specification machine'!C165</f>
        <v>PT100</v>
      </c>
    </row>
    <row r="21" spans="2:7">
      <c r="B21" s="39" t="str">
        <f>'Specification machine'!B128</f>
        <v>Voltage Fan</v>
      </c>
      <c r="C21" s="51">
        <f>'Specification machine'!C128</f>
        <v>500</v>
      </c>
      <c r="D21" t="str">
        <f>'Specification machine'!D128</f>
        <v>V</v>
      </c>
      <c r="E21" s="39" t="str">
        <f>'Specification machine'!B166</f>
        <v>NDE Bearing PT100 (spare)</v>
      </c>
      <c r="F21" s="121" t="str">
        <f>'Specification machine'!C166</f>
        <v>PT100</v>
      </c>
    </row>
    <row r="22" spans="2:7">
      <c r="B22" s="39" t="str">
        <f>'Specification machine'!B129</f>
        <v>Current Fan</v>
      </c>
      <c r="C22" s="101" t="str">
        <f>'Specification machine'!C129</f>
        <v xml:space="preserve"> </v>
      </c>
      <c r="D22" t="str">
        <f>'Specification machine'!D129</f>
        <v>A</v>
      </c>
    </row>
    <row r="23" spans="2:7">
      <c r="B23" s="39" t="str">
        <f>'Specification machine'!B130</f>
        <v>Power Fan</v>
      </c>
      <c r="C23" s="51" t="str">
        <f>'Specification machine'!C130</f>
        <v xml:space="preserve"> </v>
      </c>
      <c r="D23" t="str">
        <f>'Specification machine'!D130</f>
        <v>W</v>
      </c>
    </row>
    <row r="24" spans="2:7">
      <c r="C24" s="123"/>
    </row>
    <row r="25" spans="2:7">
      <c r="B25" s="1" t="str">
        <f>'Specification machine'!B132</f>
        <v>Heating</v>
      </c>
      <c r="C25" s="123"/>
      <c r="E25" s="1" t="str">
        <f>'Specification machine'!B113</f>
        <v>Vibration monitoring</v>
      </c>
    </row>
    <row r="26" spans="2:7">
      <c r="B26" s="39" t="str">
        <f>'Specification machine'!B133</f>
        <v>Anti-condensation heater</v>
      </c>
      <c r="C26" s="124" t="str">
        <f>'Specification machine'!C133</f>
        <v xml:space="preserve"> </v>
      </c>
      <c r="E26" s="100" t="str">
        <f>'Specification machine'!B114</f>
        <v>ND, axes: Hor., Vert. , Axiaal</v>
      </c>
      <c r="F26" s="121" t="str">
        <f>'Specification machine'!C114</f>
        <v>No</v>
      </c>
    </row>
    <row r="27" spans="2:7">
      <c r="B27" s="39" t="str">
        <f>'Specification machine'!B134</f>
        <v>Voltage heater</v>
      </c>
      <c r="C27" s="51" t="str">
        <f>'Specification machine'!C134</f>
        <v xml:space="preserve"> </v>
      </c>
      <c r="D27" t="str">
        <f>'Specification machine'!D134</f>
        <v>V</v>
      </c>
      <c r="E27" s="100" t="str">
        <f>'Specification machine'!B115</f>
        <v>NDE, axes: Hor., Vert. , Axiaal</v>
      </c>
      <c r="F27" s="121" t="str">
        <f>'Specification machine'!C115</f>
        <v>No</v>
      </c>
    </row>
    <row r="28" spans="2:7">
      <c r="B28" s="39" t="str">
        <f>'Specification machine'!B135</f>
        <v>Power heater</v>
      </c>
      <c r="C28" s="51" t="str">
        <f>'Specification machine'!C135</f>
        <v xml:space="preserve"> </v>
      </c>
      <c r="D28" t="str">
        <f>'Specification machine'!D135</f>
        <v>W</v>
      </c>
    </row>
    <row r="29" spans="2:7">
      <c r="B29" s="1"/>
      <c r="C29" s="123"/>
      <c r="E29" s="1" t="s">
        <v>634</v>
      </c>
      <c r="F29" s="122"/>
    </row>
    <row r="30" spans="2:7">
      <c r="B30" s="1" t="s">
        <v>635</v>
      </c>
      <c r="C30" s="128"/>
      <c r="E30" s="39" t="str">
        <f>'Specification machine'!B179</f>
        <v>nr. slots</v>
      </c>
      <c r="F30" s="288" t="str">
        <f>'Specification machine'!C179</f>
        <v xml:space="preserve"> </v>
      </c>
      <c r="G30" t="str">
        <f>'Specification machine'!D179</f>
        <v>-</v>
      </c>
    </row>
    <row r="31" spans="2:7" ht="12.75">
      <c r="B31" s="39" t="str">
        <f>'Specification machine'!B138</f>
        <v>Stator winding  U, V, W, STOP</v>
      </c>
      <c r="C31" s="124" t="str">
        <f>'Specification machine'!C138&amp;" T= "&amp;'Specification machine'!C142</f>
        <v>PTC (2x 3x in series) T= 145</v>
      </c>
      <c r="D31" t="s">
        <v>292</v>
      </c>
      <c r="E31" s="39" t="str">
        <f>'Specification machine'!B180</f>
        <v>nr. rotor bars</v>
      </c>
      <c r="F31" s="288" t="str">
        <f>'Specification machine'!C180</f>
        <v xml:space="preserve"> </v>
      </c>
      <c r="G31" t="str">
        <f>'Specification machine'!D180</f>
        <v>-</v>
      </c>
    </row>
    <row r="32" spans="2:7" ht="12.75">
      <c r="B32" s="39" t="str">
        <f>'Specification machine'!B139</f>
        <v>Stator winding  U, V, W, Warning</v>
      </c>
      <c r="C32" s="124" t="str">
        <f>'Specification machine'!C139&amp;" T= "&amp;'Specification machine'!C145</f>
        <v>PTC (2x 3x in series) T= 130</v>
      </c>
      <c r="D32" t="s">
        <v>292</v>
      </c>
      <c r="E32" s="39" t="str">
        <f>'Specification machine'!B181</f>
        <v>nr. permanent magnets</v>
      </c>
      <c r="F32" s="288" t="str">
        <f>'Specification machine'!C181</f>
        <v xml:space="preserve"> </v>
      </c>
      <c r="G32" t="str">
        <f>'Specification machine'!D181</f>
        <v>-</v>
      </c>
    </row>
    <row r="33" spans="2:7">
      <c r="C33" s="126"/>
      <c r="E33" s="39" t="str">
        <f>'Specification machine'!B182</f>
        <v>nr. rows of PM magnets</v>
      </c>
      <c r="F33" s="288" t="str">
        <f>'Specification machine'!C182</f>
        <v xml:space="preserve"> </v>
      </c>
      <c r="G33" t="str">
        <f>'Specification machine'!D182</f>
        <v>-</v>
      </c>
    </row>
    <row r="34" spans="2:7">
      <c r="B34" s="1" t="str">
        <f>'Specification machine'!B158</f>
        <v xml:space="preserve">Statorwinding Temperature Measurement </v>
      </c>
      <c r="E34" s="39" t="str">
        <f>'Specification machine'!B183</f>
        <v>type permanent magnets (PM)</v>
      </c>
      <c r="F34" s="288" t="str">
        <f>'Specification machine'!C183</f>
        <v xml:space="preserve"> </v>
      </c>
      <c r="G34" t="str">
        <f>'Specification machine'!D183</f>
        <v>-</v>
      </c>
    </row>
    <row r="35" spans="2:7" ht="12.75">
      <c r="B35" s="39" t="str">
        <f>'Specification machine'!B159</f>
        <v>U, V, W, (hotspot, main, winding end), main</v>
      </c>
      <c r="C35" s="121" t="str">
        <f>'Specification machine'!C159</f>
        <v>PT100 (set 1x each phase)</v>
      </c>
      <c r="E35" s="39" t="str">
        <f>'Specification machine'!B184</f>
        <v>PM maximum temperature</v>
      </c>
      <c r="F35" s="124" t="str">
        <f>'Specification machine'!C184</f>
        <v xml:space="preserve"> </v>
      </c>
      <c r="G35" t="s">
        <v>292</v>
      </c>
    </row>
    <row r="36" spans="2:7" ht="12.75">
      <c r="B36" s="39" t="str">
        <f>'Specification machine'!B160</f>
        <v>U, V, W, (hotspot, main, winding end), spare</v>
      </c>
      <c r="C36" s="121" t="str">
        <f>'Specification machine'!C160</f>
        <v>PT100 (set 1x each phase)</v>
      </c>
      <c r="E36" s="39" t="str">
        <f>'Specification machine'!B185</f>
        <v>PM Currie temperature</v>
      </c>
      <c r="F36" s="124" t="str">
        <f>'Specification machine'!C185</f>
        <v xml:space="preserve"> </v>
      </c>
      <c r="G36" t="s">
        <v>292</v>
      </c>
    </row>
    <row r="37" spans="2:7">
      <c r="C37" s="123"/>
      <c r="E37" s="39" t="str">
        <f>'Specification machine'!B186</f>
        <v>PM mounting intern / surface</v>
      </c>
      <c r="F37" s="124" t="str">
        <f>'Specification machine'!C186</f>
        <v xml:space="preserve"> </v>
      </c>
      <c r="G37" t="str">
        <f>'Specification machine'!D186</f>
        <v>-</v>
      </c>
    </row>
    <row r="38" spans="2:7">
      <c r="C38" s="123"/>
      <c r="E38" s="39" t="str">
        <f>'Specification machine'!B187</f>
        <v>PM mounting line / skewed</v>
      </c>
      <c r="F38" s="124" t="str">
        <f>'Specification machine'!C187</f>
        <v xml:space="preserve"> </v>
      </c>
      <c r="G38" t="str">
        <f>'Specification machine'!D187</f>
        <v>-</v>
      </c>
    </row>
    <row r="39" spans="2:7">
      <c r="C39" s="123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2333-94C9-4BAA-9241-F71A2EFB60FC}">
  <dimension ref="A2:J39"/>
  <sheetViews>
    <sheetView showGridLines="0" view="pageLayout" topLeftCell="A3" zoomScaleNormal="100" workbookViewId="0">
      <selection activeCell="H10" sqref="H10"/>
    </sheetView>
  </sheetViews>
  <sheetFormatPr defaultColWidth="9" defaultRowHeight="11.25"/>
  <cols>
    <col min="1" max="1" width="2.25" customWidth="1"/>
    <col min="2" max="2" width="9.75" customWidth="1"/>
    <col min="3" max="3" width="14.75" customWidth="1"/>
    <col min="4" max="4" width="16.25" customWidth="1"/>
    <col min="5" max="5" width="15.875" customWidth="1"/>
    <col min="6" max="6" width="12.5" customWidth="1"/>
    <col min="7" max="7" width="13.5" customWidth="1"/>
    <col min="8" max="8" width="9.625" customWidth="1"/>
    <col min="9" max="9" width="19.5" customWidth="1"/>
    <col min="10" max="10" width="14.125" customWidth="1"/>
    <col min="11" max="13" width="9.75" customWidth="1"/>
  </cols>
  <sheetData>
    <row r="2" spans="1:10" ht="18">
      <c r="A2" s="216" t="s">
        <v>636</v>
      </c>
      <c r="B2" s="102"/>
      <c r="H2" s="2"/>
    </row>
    <row r="3" spans="1:10" ht="18">
      <c r="A3" s="216"/>
      <c r="B3" s="102"/>
      <c r="H3" s="2"/>
    </row>
    <row r="4" spans="1:10" ht="18">
      <c r="A4" s="216"/>
      <c r="B4" s="102"/>
      <c r="H4" s="2"/>
    </row>
    <row r="5" spans="1:10" ht="12" thickBot="1">
      <c r="H5" s="2"/>
    </row>
    <row r="6" spans="1:10" ht="37.5" customHeight="1">
      <c r="B6" s="480" t="s">
        <v>637</v>
      </c>
      <c r="C6" s="480" t="s">
        <v>638</v>
      </c>
      <c r="D6" s="480" t="s">
        <v>639</v>
      </c>
      <c r="E6" s="480" t="s">
        <v>640</v>
      </c>
      <c r="F6" s="480" t="s">
        <v>169</v>
      </c>
      <c r="G6" s="231" t="s">
        <v>641</v>
      </c>
      <c r="H6" s="480" t="s">
        <v>642</v>
      </c>
      <c r="I6" s="217" t="s">
        <v>411</v>
      </c>
      <c r="J6" s="217" t="s">
        <v>163</v>
      </c>
    </row>
    <row r="7" spans="1:10" ht="23.25" thickBot="1">
      <c r="B7" s="481"/>
      <c r="C7" s="481"/>
      <c r="D7" s="481"/>
      <c r="E7" s="481"/>
      <c r="F7" s="481"/>
      <c r="G7" s="232" t="s">
        <v>643</v>
      </c>
      <c r="H7" s="481"/>
      <c r="I7" s="230"/>
      <c r="J7" s="230"/>
    </row>
    <row r="8" spans="1:10">
      <c r="B8" s="220"/>
      <c r="C8" s="221"/>
      <c r="D8" s="222" t="s">
        <v>644</v>
      </c>
      <c r="E8" s="221"/>
      <c r="F8" s="221"/>
      <c r="G8" s="221"/>
      <c r="H8" s="223"/>
      <c r="I8" s="221"/>
      <c r="J8" s="224"/>
    </row>
    <row r="9" spans="1:10">
      <c r="B9" s="225"/>
      <c r="C9" s="99"/>
      <c r="D9" s="219" t="s">
        <v>645</v>
      </c>
      <c r="E9" s="99"/>
      <c r="F9" s="99"/>
      <c r="G9" s="99"/>
      <c r="H9" s="218"/>
      <c r="I9" s="99"/>
      <c r="J9" s="226"/>
    </row>
    <row r="10" spans="1:10">
      <c r="B10" s="225"/>
      <c r="C10" s="99"/>
      <c r="D10" s="219" t="s">
        <v>646</v>
      </c>
      <c r="E10" s="99"/>
      <c r="F10" s="99"/>
      <c r="G10" s="99"/>
      <c r="H10" s="218"/>
      <c r="I10" s="99"/>
      <c r="J10" s="226"/>
    </row>
    <row r="11" spans="1:10">
      <c r="B11" s="225"/>
      <c r="C11" s="99"/>
      <c r="D11" s="219" t="s">
        <v>647</v>
      </c>
      <c r="E11" s="99"/>
      <c r="F11" s="99"/>
      <c r="G11" s="99"/>
      <c r="H11" s="99"/>
      <c r="I11" s="99"/>
      <c r="J11" s="226"/>
    </row>
    <row r="12" spans="1:10">
      <c r="B12" s="225"/>
      <c r="C12" s="99"/>
      <c r="D12" s="219" t="s">
        <v>648</v>
      </c>
      <c r="E12" s="99"/>
      <c r="F12" s="99"/>
      <c r="G12" s="99"/>
      <c r="H12" s="99"/>
      <c r="I12" s="99"/>
      <c r="J12" s="226"/>
    </row>
    <row r="13" spans="1:10">
      <c r="B13" s="225"/>
      <c r="C13" s="99"/>
      <c r="D13" s="219" t="s">
        <v>649</v>
      </c>
      <c r="E13" s="99"/>
      <c r="F13" s="99"/>
      <c r="G13" s="99"/>
      <c r="H13" s="99"/>
      <c r="I13" s="99"/>
      <c r="J13" s="226"/>
    </row>
    <row r="14" spans="1:10">
      <c r="B14" s="225"/>
      <c r="C14" s="99"/>
      <c r="D14" s="219" t="s">
        <v>650</v>
      </c>
      <c r="E14" s="99"/>
      <c r="F14" s="99"/>
      <c r="G14" s="99"/>
      <c r="H14" s="99"/>
      <c r="I14" s="99"/>
      <c r="J14" s="226"/>
    </row>
    <row r="15" spans="1:10">
      <c r="B15" s="225"/>
      <c r="C15" s="99"/>
      <c r="D15" s="219" t="s">
        <v>645</v>
      </c>
      <c r="E15" s="99"/>
      <c r="F15" s="99"/>
      <c r="G15" s="99"/>
      <c r="H15" s="99"/>
      <c r="I15" s="99"/>
      <c r="J15" s="226"/>
    </row>
    <row r="16" spans="1:10">
      <c r="B16" s="225"/>
      <c r="C16" s="99"/>
      <c r="D16" s="219" t="s">
        <v>651</v>
      </c>
      <c r="E16" s="99"/>
      <c r="F16" s="99"/>
      <c r="G16" s="99"/>
      <c r="H16" s="99"/>
      <c r="I16" s="99"/>
      <c r="J16" s="226"/>
    </row>
    <row r="17" spans="2:10">
      <c r="B17" s="225"/>
      <c r="C17" s="99"/>
      <c r="D17" s="219" t="s">
        <v>652</v>
      </c>
      <c r="E17" s="99"/>
      <c r="F17" s="99"/>
      <c r="G17" s="99"/>
      <c r="H17" s="99"/>
      <c r="I17" s="99"/>
      <c r="J17" s="226"/>
    </row>
    <row r="18" spans="2:10">
      <c r="B18" s="225"/>
      <c r="C18" s="99"/>
      <c r="D18" s="219" t="s">
        <v>653</v>
      </c>
      <c r="E18" s="99"/>
      <c r="F18" s="99"/>
      <c r="G18" s="99"/>
      <c r="H18" s="99"/>
      <c r="I18" s="99"/>
      <c r="J18" s="226"/>
    </row>
    <row r="19" spans="2:10">
      <c r="B19" s="225"/>
      <c r="C19" s="99"/>
      <c r="D19" s="219" t="s">
        <v>654</v>
      </c>
      <c r="E19" s="99"/>
      <c r="F19" s="99"/>
      <c r="G19" s="99"/>
      <c r="H19" s="99"/>
      <c r="I19" s="99"/>
      <c r="J19" s="226"/>
    </row>
    <row r="20" spans="2:10">
      <c r="B20" s="225"/>
      <c r="C20" s="99"/>
      <c r="D20" s="219" t="s">
        <v>650</v>
      </c>
      <c r="E20" s="99"/>
      <c r="F20" s="99"/>
      <c r="G20" s="99"/>
      <c r="H20" s="99"/>
      <c r="I20" s="99"/>
      <c r="J20" s="226"/>
    </row>
    <row r="21" spans="2:10">
      <c r="B21" s="225"/>
      <c r="C21" s="99"/>
      <c r="D21" s="219" t="s">
        <v>645</v>
      </c>
      <c r="E21" s="99"/>
      <c r="F21" s="99"/>
      <c r="G21" s="99"/>
      <c r="H21" s="99"/>
      <c r="I21" s="99"/>
      <c r="J21" s="226"/>
    </row>
    <row r="22" spans="2:10">
      <c r="B22" s="225"/>
      <c r="C22" s="99"/>
      <c r="D22" s="219" t="s">
        <v>651</v>
      </c>
      <c r="E22" s="99"/>
      <c r="F22" s="99"/>
      <c r="G22" s="99"/>
      <c r="H22" s="99"/>
      <c r="I22" s="99"/>
      <c r="J22" s="226"/>
    </row>
    <row r="23" spans="2:10">
      <c r="B23" s="225"/>
      <c r="C23" s="99"/>
      <c r="D23" s="219" t="s">
        <v>652</v>
      </c>
      <c r="E23" s="99"/>
      <c r="F23" s="99"/>
      <c r="G23" s="99"/>
      <c r="H23" s="99"/>
      <c r="I23" s="99"/>
      <c r="J23" s="226"/>
    </row>
    <row r="24" spans="2:10">
      <c r="B24" s="225"/>
      <c r="C24" s="99"/>
      <c r="D24" s="219" t="s">
        <v>653</v>
      </c>
      <c r="E24" s="99"/>
      <c r="F24" s="99"/>
      <c r="G24" s="99"/>
      <c r="H24" s="99"/>
      <c r="I24" s="99"/>
      <c r="J24" s="226"/>
    </row>
    <row r="25" spans="2:10" ht="22.5">
      <c r="B25" s="225"/>
      <c r="C25" s="99"/>
      <c r="D25" s="219" t="s">
        <v>655</v>
      </c>
      <c r="E25" s="99"/>
      <c r="F25" s="99"/>
      <c r="G25" s="99"/>
      <c r="H25" s="99"/>
      <c r="I25" s="99"/>
      <c r="J25" s="226"/>
    </row>
    <row r="26" spans="2:10">
      <c r="B26" s="225"/>
      <c r="C26" s="99"/>
      <c r="D26" s="219" t="s">
        <v>656</v>
      </c>
      <c r="E26" s="99"/>
      <c r="F26" s="99"/>
      <c r="G26" s="99"/>
      <c r="H26" s="99"/>
      <c r="I26" s="99"/>
      <c r="J26" s="226"/>
    </row>
    <row r="27" spans="2:10">
      <c r="B27" s="225"/>
      <c r="C27" s="99"/>
      <c r="D27" s="219" t="s">
        <v>657</v>
      </c>
      <c r="E27" s="99"/>
      <c r="F27" s="99"/>
      <c r="G27" s="99"/>
      <c r="H27" s="99"/>
      <c r="I27" s="99"/>
      <c r="J27" s="226"/>
    </row>
    <row r="28" spans="2:10">
      <c r="B28" s="225"/>
      <c r="C28" s="99"/>
      <c r="D28" s="219" t="s">
        <v>658</v>
      </c>
      <c r="E28" s="99"/>
      <c r="F28" s="99"/>
      <c r="G28" s="99"/>
      <c r="H28" s="99"/>
      <c r="I28" s="99"/>
      <c r="J28" s="226"/>
    </row>
    <row r="29" spans="2:10">
      <c r="B29" s="225"/>
      <c r="C29" s="99"/>
      <c r="D29" s="219" t="s">
        <v>659</v>
      </c>
      <c r="E29" s="99"/>
      <c r="F29" s="99"/>
      <c r="G29" s="99"/>
      <c r="H29" s="99"/>
      <c r="I29" s="99"/>
      <c r="J29" s="226"/>
    </row>
    <row r="30" spans="2:10">
      <c r="B30" s="225"/>
      <c r="C30" s="99"/>
      <c r="D30" s="219" t="s">
        <v>660</v>
      </c>
      <c r="E30" s="99"/>
      <c r="F30" s="99"/>
      <c r="G30" s="99"/>
      <c r="H30" s="99"/>
      <c r="I30" s="99"/>
      <c r="J30" s="226"/>
    </row>
    <row r="31" spans="2:10">
      <c r="B31" s="225"/>
      <c r="C31" s="99"/>
      <c r="D31" s="219" t="s">
        <v>661</v>
      </c>
      <c r="E31" s="99"/>
      <c r="F31" s="99"/>
      <c r="G31" s="99"/>
      <c r="H31" s="99"/>
      <c r="I31" s="99"/>
      <c r="J31" s="226"/>
    </row>
    <row r="32" spans="2:10">
      <c r="B32" s="225"/>
      <c r="C32" s="99"/>
      <c r="D32" s="219" t="s">
        <v>662</v>
      </c>
      <c r="E32" s="99"/>
      <c r="F32" s="99"/>
      <c r="G32" s="99"/>
      <c r="H32" s="99"/>
      <c r="I32" s="99"/>
      <c r="J32" s="226"/>
    </row>
    <row r="33" spans="2:10">
      <c r="B33" s="225"/>
      <c r="C33" s="99"/>
      <c r="D33" s="219" t="s">
        <v>663</v>
      </c>
      <c r="E33" s="99"/>
      <c r="F33" s="99"/>
      <c r="G33" s="99"/>
      <c r="H33" s="99"/>
      <c r="I33" s="99"/>
      <c r="J33" s="226"/>
    </row>
    <row r="34" spans="2:10">
      <c r="B34" s="225"/>
      <c r="C34" s="99"/>
      <c r="D34" s="219" t="s">
        <v>664</v>
      </c>
      <c r="E34" s="99"/>
      <c r="F34" s="99"/>
      <c r="G34" s="99"/>
      <c r="H34" s="99"/>
      <c r="I34" s="99"/>
      <c r="J34" s="226"/>
    </row>
    <row r="35" spans="2:10">
      <c r="B35" s="225"/>
      <c r="C35" s="99"/>
      <c r="D35" s="219" t="s">
        <v>665</v>
      </c>
      <c r="E35" s="99"/>
      <c r="F35" s="99"/>
      <c r="G35" s="99"/>
      <c r="H35" s="99"/>
      <c r="I35" s="99"/>
      <c r="J35" s="226"/>
    </row>
    <row r="36" spans="2:10">
      <c r="B36" s="225"/>
      <c r="C36" s="99"/>
      <c r="D36" s="219" t="s">
        <v>666</v>
      </c>
      <c r="E36" s="99"/>
      <c r="F36" s="99"/>
      <c r="G36" s="99"/>
      <c r="H36" s="99"/>
      <c r="I36" s="99"/>
      <c r="J36" s="226"/>
    </row>
    <row r="37" spans="2:10">
      <c r="B37" s="227"/>
      <c r="C37" s="39"/>
      <c r="D37" s="219" t="s">
        <v>308</v>
      </c>
      <c r="E37" s="39"/>
      <c r="F37" s="39"/>
      <c r="G37" s="39"/>
      <c r="H37" s="39"/>
      <c r="I37" s="39"/>
      <c r="J37" s="164"/>
    </row>
    <row r="38" spans="2:10">
      <c r="B38" s="227"/>
      <c r="C38" s="39"/>
      <c r="D38" s="219" t="s">
        <v>667</v>
      </c>
      <c r="E38" s="39"/>
      <c r="F38" s="39"/>
      <c r="G38" s="39"/>
      <c r="H38" s="39"/>
      <c r="I38" s="39"/>
      <c r="J38" s="164"/>
    </row>
    <row r="39" spans="2:10" ht="12" thickBot="1">
      <c r="B39" s="228"/>
      <c r="C39" s="165"/>
      <c r="D39" s="229" t="s">
        <v>668</v>
      </c>
      <c r="E39" s="165"/>
      <c r="F39" s="165"/>
      <c r="G39" s="165"/>
      <c r="H39" s="165"/>
      <c r="I39" s="165"/>
      <c r="J39" s="166"/>
    </row>
  </sheetData>
  <sheetProtection sheet="1" objects="1" scenarios="1"/>
  <mergeCells count="6">
    <mergeCell ref="H6:H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AB09-B36B-4DB8-8EC6-59948AF2A7CF}">
  <dimension ref="B6:H29"/>
  <sheetViews>
    <sheetView showGridLines="0" view="pageLayout" zoomScaleNormal="100" workbookViewId="0">
      <selection activeCell="C30" sqref="C30"/>
    </sheetView>
  </sheetViews>
  <sheetFormatPr defaultRowHeight="11.25"/>
  <cols>
    <col min="1" max="1" width="2.25" customWidth="1"/>
    <col min="2" max="2" width="42.25" customWidth="1"/>
    <col min="3" max="3" width="24.25" customWidth="1"/>
    <col min="4" max="5" width="22" customWidth="1"/>
    <col min="6" max="6" width="36.5" customWidth="1"/>
    <col min="8" max="8" width="14.375" customWidth="1"/>
  </cols>
  <sheetData>
    <row r="6" spans="2:8">
      <c r="H6" s="2"/>
    </row>
    <row r="7" spans="2:8" ht="14.25">
      <c r="B7" s="104" t="s">
        <v>364</v>
      </c>
      <c r="C7" s="104" t="s">
        <v>561</v>
      </c>
      <c r="D7" s="104" t="s">
        <v>562</v>
      </c>
      <c r="E7" s="104" t="s">
        <v>163</v>
      </c>
      <c r="H7" s="2"/>
    </row>
    <row r="8" spans="2:8" ht="14.25">
      <c r="B8" s="106" t="s">
        <v>669</v>
      </c>
      <c r="C8" s="106" t="s">
        <v>670</v>
      </c>
      <c r="D8" s="106"/>
      <c r="E8" s="103" t="s">
        <v>671</v>
      </c>
      <c r="G8" s="2"/>
    </row>
    <row r="9" spans="2:8" ht="14.25">
      <c r="B9" s="103" t="s">
        <v>672</v>
      </c>
      <c r="C9" s="103" t="s">
        <v>673</v>
      </c>
      <c r="D9" s="103" t="s">
        <v>114</v>
      </c>
      <c r="E9" s="103" t="s">
        <v>674</v>
      </c>
      <c r="H9" s="2"/>
    </row>
    <row r="10" spans="2:8" ht="25.5">
      <c r="B10" s="103" t="s">
        <v>675</v>
      </c>
      <c r="C10" s="385" t="s">
        <v>676</v>
      </c>
      <c r="D10" s="103" t="s">
        <v>114</v>
      </c>
      <c r="E10" s="384" t="s">
        <v>677</v>
      </c>
      <c r="H10" s="2"/>
    </row>
    <row r="11" spans="2:8" ht="14.25">
      <c r="B11" s="103" t="s">
        <v>678</v>
      </c>
      <c r="C11" s="103"/>
      <c r="D11" s="103" t="s">
        <v>114</v>
      </c>
      <c r="E11" s="39"/>
      <c r="H11" s="2"/>
    </row>
    <row r="12" spans="2:8" ht="14.25">
      <c r="B12" s="103" t="s">
        <v>679</v>
      </c>
      <c r="C12" s="103">
        <v>500</v>
      </c>
      <c r="D12" s="103" t="s">
        <v>171</v>
      </c>
      <c r="E12" s="103" t="s">
        <v>680</v>
      </c>
      <c r="H12" s="2"/>
    </row>
    <row r="13" spans="2:8" ht="14.25">
      <c r="B13" s="103" t="s">
        <v>681</v>
      </c>
      <c r="C13" s="103" t="s">
        <v>682</v>
      </c>
      <c r="D13" s="103" t="s">
        <v>173</v>
      </c>
      <c r="E13" s="103" t="s">
        <v>683</v>
      </c>
      <c r="H13" s="2"/>
    </row>
    <row r="14" spans="2:8" ht="14.25">
      <c r="B14" s="103" t="s">
        <v>684</v>
      </c>
      <c r="C14" s="103" t="s">
        <v>682</v>
      </c>
      <c r="D14" s="103" t="s">
        <v>173</v>
      </c>
      <c r="E14" s="103"/>
      <c r="H14" s="2"/>
    </row>
    <row r="15" spans="2:8" ht="14.25">
      <c r="B15" s="103" t="s">
        <v>685</v>
      </c>
      <c r="C15" s="103">
        <v>909</v>
      </c>
      <c r="D15" s="103" t="s">
        <v>173</v>
      </c>
      <c r="E15" s="103" t="s">
        <v>686</v>
      </c>
    </row>
    <row r="16" spans="2:8" ht="14.25">
      <c r="B16" s="103" t="s">
        <v>687</v>
      </c>
      <c r="C16" s="103">
        <v>630</v>
      </c>
      <c r="D16" s="103" t="s">
        <v>50</v>
      </c>
      <c r="E16" s="103"/>
    </row>
    <row r="17" spans="2:5" ht="14.25">
      <c r="B17" s="103" t="s">
        <v>688</v>
      </c>
      <c r="C17" s="103">
        <v>110</v>
      </c>
      <c r="D17" s="103" t="s">
        <v>177</v>
      </c>
      <c r="E17" s="103" t="s">
        <v>689</v>
      </c>
    </row>
    <row r="18" spans="2:5" ht="14.25">
      <c r="B18" s="103" t="s">
        <v>690</v>
      </c>
      <c r="C18" s="103"/>
      <c r="D18" s="103" t="s">
        <v>173</v>
      </c>
      <c r="E18" s="103"/>
    </row>
    <row r="19" spans="2:5" ht="14.25">
      <c r="B19" s="103" t="s">
        <v>691</v>
      </c>
      <c r="C19" s="103">
        <v>630</v>
      </c>
      <c r="D19" s="103" t="s">
        <v>50</v>
      </c>
      <c r="E19" s="103"/>
    </row>
    <row r="20" spans="2:5" ht="14.25">
      <c r="B20" s="103" t="s">
        <v>692</v>
      </c>
      <c r="C20" s="103">
        <v>110</v>
      </c>
      <c r="D20" s="103" t="s">
        <v>177</v>
      </c>
      <c r="E20" s="103" t="s">
        <v>689</v>
      </c>
    </row>
    <row r="21" spans="2:5" ht="15.75">
      <c r="B21" s="103" t="s">
        <v>693</v>
      </c>
      <c r="C21" s="103">
        <v>1150</v>
      </c>
      <c r="D21" s="103" t="s">
        <v>173</v>
      </c>
      <c r="E21" s="103" t="s">
        <v>694</v>
      </c>
    </row>
    <row r="22" spans="2:5" ht="14.25">
      <c r="B22" s="103" t="s">
        <v>695</v>
      </c>
      <c r="C22" s="103">
        <v>50</v>
      </c>
      <c r="D22" s="103" t="s">
        <v>179</v>
      </c>
      <c r="E22" s="103"/>
    </row>
    <row r="23" spans="2:5" ht="14.25">
      <c r="B23" s="103" t="s">
        <v>696</v>
      </c>
      <c r="C23" s="103">
        <v>3.6</v>
      </c>
      <c r="D23" s="103" t="s">
        <v>697</v>
      </c>
      <c r="E23" s="103" t="s">
        <v>698</v>
      </c>
    </row>
    <row r="24" spans="2:5" ht="42.75">
      <c r="B24" s="103" t="s">
        <v>699</v>
      </c>
      <c r="C24" s="107" t="s">
        <v>700</v>
      </c>
      <c r="D24" s="103" t="s">
        <v>114</v>
      </c>
      <c r="E24" s="103" t="s">
        <v>701</v>
      </c>
    </row>
    <row r="25" spans="2:5" ht="14.25">
      <c r="B25" s="103" t="s">
        <v>702</v>
      </c>
      <c r="C25" s="107" t="s">
        <v>703</v>
      </c>
      <c r="D25" s="103" t="s">
        <v>114</v>
      </c>
      <c r="E25" s="103"/>
    </row>
    <row r="26" spans="2:5" ht="14.25">
      <c r="B26" s="103" t="s">
        <v>704</v>
      </c>
      <c r="C26" s="103" t="s">
        <v>703</v>
      </c>
      <c r="D26" s="103" t="s">
        <v>114</v>
      </c>
      <c r="E26" s="103"/>
    </row>
    <row r="27" spans="2:5" ht="14.25">
      <c r="B27" s="103" t="s">
        <v>705</v>
      </c>
      <c r="C27" s="103" t="s">
        <v>703</v>
      </c>
      <c r="D27" s="103" t="s">
        <v>114</v>
      </c>
      <c r="E27" s="103"/>
    </row>
    <row r="28" spans="2:5" ht="14.25">
      <c r="B28" s="103" t="s">
        <v>706</v>
      </c>
      <c r="C28" s="103" t="s">
        <v>703</v>
      </c>
      <c r="D28" s="103" t="s">
        <v>114</v>
      </c>
      <c r="E28" s="103" t="s">
        <v>707</v>
      </c>
    </row>
    <row r="29" spans="2:5" ht="14.25">
      <c r="B29" s="105"/>
      <c r="C29" s="105"/>
      <c r="D29" s="105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68A7-6C93-4BC3-A3F8-BE951B3BE45A}">
  <dimension ref="B2:H32"/>
  <sheetViews>
    <sheetView showGridLines="0" view="pageLayout" zoomScale="105" zoomScaleNormal="100" zoomScalePageLayoutView="105" workbookViewId="0">
      <selection activeCell="D1" sqref="D1"/>
    </sheetView>
  </sheetViews>
  <sheetFormatPr defaultRowHeight="11.25"/>
  <cols>
    <col min="1" max="1" width="2.25" customWidth="1"/>
    <col min="2" max="2" width="29.375" customWidth="1"/>
    <col min="3" max="3" width="14.5" customWidth="1"/>
    <col min="4" max="4" width="30.5" customWidth="1"/>
    <col min="5" max="5" width="10.625" customWidth="1"/>
    <col min="6" max="6" width="22.75" customWidth="1"/>
    <col min="8" max="8" width="14.375" customWidth="1"/>
  </cols>
  <sheetData>
    <row r="2" spans="2:8">
      <c r="H2" s="2"/>
    </row>
    <row r="5" spans="2:8" ht="14.25">
      <c r="B5" s="102" t="s">
        <v>708</v>
      </c>
    </row>
    <row r="6" spans="2:8" ht="14.25">
      <c r="B6" s="104" t="s">
        <v>364</v>
      </c>
      <c r="C6" s="104" t="s">
        <v>709</v>
      </c>
      <c r="D6" s="104" t="s">
        <v>561</v>
      </c>
      <c r="E6" s="104" t="s">
        <v>562</v>
      </c>
      <c r="F6" s="104" t="s">
        <v>163</v>
      </c>
    </row>
    <row r="7" spans="2:8" ht="14.25">
      <c r="B7" s="103" t="s">
        <v>710</v>
      </c>
      <c r="C7" s="103"/>
      <c r="D7" s="103"/>
      <c r="E7" s="104"/>
      <c r="F7" s="103" t="s">
        <v>711</v>
      </c>
    </row>
    <row r="8" spans="2:8" ht="14.25">
      <c r="B8" s="103" t="s">
        <v>712</v>
      </c>
      <c r="C8" s="103"/>
      <c r="D8" s="103"/>
      <c r="E8" s="103"/>
      <c r="F8" s="103"/>
    </row>
    <row r="9" spans="2:8" ht="14.25">
      <c r="B9" s="103" t="s">
        <v>713</v>
      </c>
      <c r="C9" s="103"/>
      <c r="D9" s="103"/>
      <c r="E9" s="103"/>
      <c r="F9" s="103" t="s">
        <v>714</v>
      </c>
    </row>
    <row r="10" spans="2:8" ht="14.25">
      <c r="B10" s="103" t="s">
        <v>715</v>
      </c>
      <c r="C10" s="103"/>
      <c r="D10" s="103" t="s">
        <v>716</v>
      </c>
      <c r="E10" s="103"/>
      <c r="F10" s="103" t="s">
        <v>717</v>
      </c>
    </row>
    <row r="11" spans="2:8" ht="14.25">
      <c r="B11" s="103" t="s">
        <v>718</v>
      </c>
      <c r="C11" s="103"/>
      <c r="D11" s="103">
        <v>500</v>
      </c>
      <c r="E11" s="103" t="s">
        <v>171</v>
      </c>
      <c r="F11" s="39"/>
    </row>
    <row r="12" spans="2:8" ht="14.25">
      <c r="B12" s="103" t="s">
        <v>719</v>
      </c>
      <c r="C12" s="103"/>
      <c r="D12" s="103">
        <v>500</v>
      </c>
      <c r="E12" s="103" t="s">
        <v>171</v>
      </c>
      <c r="F12" s="103"/>
    </row>
    <row r="13" spans="2:8" ht="14.25">
      <c r="B13" s="103" t="s">
        <v>720</v>
      </c>
      <c r="C13" s="103"/>
      <c r="D13" s="103"/>
      <c r="E13" s="103" t="s">
        <v>179</v>
      </c>
      <c r="F13" s="103"/>
    </row>
    <row r="14" spans="2:8" ht="14.25">
      <c r="B14" s="482" t="s">
        <v>721</v>
      </c>
      <c r="C14" s="482"/>
      <c r="D14" s="482">
        <v>630</v>
      </c>
      <c r="E14" s="482" t="s">
        <v>50</v>
      </c>
      <c r="F14" s="103" t="s">
        <v>722</v>
      </c>
    </row>
    <row r="15" spans="2:8" ht="14.25">
      <c r="B15" s="482"/>
      <c r="C15" s="482"/>
      <c r="D15" s="482"/>
      <c r="E15" s="482"/>
      <c r="F15" s="103" t="s">
        <v>723</v>
      </c>
    </row>
    <row r="16" spans="2:8" ht="14.25">
      <c r="B16" s="482" t="s">
        <v>724</v>
      </c>
      <c r="C16" s="482"/>
      <c r="D16" s="482"/>
      <c r="E16" s="482" t="s">
        <v>173</v>
      </c>
      <c r="F16" s="103" t="s">
        <v>725</v>
      </c>
    </row>
    <row r="17" spans="2:6" ht="14.25">
      <c r="B17" s="482"/>
      <c r="C17" s="482"/>
      <c r="D17" s="482"/>
      <c r="E17" s="482"/>
      <c r="F17" s="103" t="s">
        <v>726</v>
      </c>
    </row>
    <row r="18" spans="2:6" ht="14.25">
      <c r="B18" s="103" t="s">
        <v>727</v>
      </c>
      <c r="C18" s="103"/>
      <c r="D18" s="103"/>
      <c r="E18" s="103" t="s">
        <v>53</v>
      </c>
      <c r="F18" s="103" t="s">
        <v>728</v>
      </c>
    </row>
    <row r="19" spans="2:6" ht="14.25">
      <c r="B19" s="103" t="s">
        <v>729</v>
      </c>
      <c r="C19" s="103"/>
      <c r="D19" s="103"/>
      <c r="E19" s="103" t="s">
        <v>730</v>
      </c>
      <c r="F19" s="103"/>
    </row>
    <row r="20" spans="2:6" ht="14.25">
      <c r="B20" s="130" t="s">
        <v>731</v>
      </c>
      <c r="C20" s="162"/>
      <c r="D20" s="162"/>
      <c r="E20" s="130" t="s">
        <v>697</v>
      </c>
      <c r="F20" s="130"/>
    </row>
    <row r="21" spans="2:6" ht="14.25">
      <c r="B21" s="103" t="s">
        <v>732</v>
      </c>
      <c r="C21" s="131"/>
      <c r="D21" s="103">
        <v>3.6</v>
      </c>
      <c r="E21" s="103" t="s">
        <v>697</v>
      </c>
      <c r="F21" s="103" t="s">
        <v>698</v>
      </c>
    </row>
    <row r="22" spans="2:6" ht="14.25">
      <c r="B22" s="103" t="s">
        <v>733</v>
      </c>
      <c r="C22" s="103"/>
      <c r="D22" s="103"/>
      <c r="E22" s="103" t="s">
        <v>114</v>
      </c>
      <c r="F22" s="103" t="s">
        <v>734</v>
      </c>
    </row>
    <row r="25" spans="2:6" ht="14.25">
      <c r="B25" s="102" t="s">
        <v>735</v>
      </c>
    </row>
    <row r="26" spans="2:6" ht="14.25">
      <c r="B26" s="104" t="s">
        <v>364</v>
      </c>
      <c r="C26" s="104" t="s">
        <v>709</v>
      </c>
      <c r="D26" s="104" t="s">
        <v>561</v>
      </c>
      <c r="E26" s="104" t="s">
        <v>562</v>
      </c>
      <c r="F26" s="104" t="s">
        <v>163</v>
      </c>
    </row>
    <row r="27" spans="2:6" ht="14.25">
      <c r="B27" s="103" t="s">
        <v>736</v>
      </c>
      <c r="C27" s="103"/>
      <c r="D27" s="103" t="s">
        <v>737</v>
      </c>
      <c r="E27" s="103" t="s">
        <v>114</v>
      </c>
      <c r="F27" s="103" t="s">
        <v>738</v>
      </c>
    </row>
    <row r="28" spans="2:6" ht="14.25">
      <c r="B28" s="103" t="s">
        <v>739</v>
      </c>
      <c r="C28" s="103"/>
      <c r="D28" s="103"/>
      <c r="E28" s="103" t="s">
        <v>114</v>
      </c>
      <c r="F28" s="103"/>
    </row>
    <row r="29" spans="2:6" ht="14.25">
      <c r="B29" s="103" t="s">
        <v>740</v>
      </c>
      <c r="C29" s="103"/>
      <c r="D29" s="103"/>
      <c r="E29" s="103" t="s">
        <v>171</v>
      </c>
      <c r="F29" s="103" t="str">
        <f>" @.... rpm"</f>
        <v xml:space="preserve"> @.... rpm</v>
      </c>
    </row>
    <row r="30" spans="2:6" ht="15.75" customHeight="1">
      <c r="B30" s="103" t="s">
        <v>741</v>
      </c>
      <c r="C30" s="103"/>
      <c r="D30" s="103"/>
      <c r="E30" s="103" t="s">
        <v>742</v>
      </c>
      <c r="F30" s="103"/>
    </row>
    <row r="31" spans="2:6" ht="14.25">
      <c r="B31" s="103" t="s">
        <v>743</v>
      </c>
      <c r="C31" s="103"/>
      <c r="D31" s="103"/>
      <c r="E31" s="103" t="s">
        <v>744</v>
      </c>
      <c r="F31" s="103"/>
    </row>
    <row r="32" spans="2:6" ht="14.25">
      <c r="B32" s="103" t="s">
        <v>745</v>
      </c>
      <c r="C32" s="103"/>
      <c r="D32" s="103"/>
      <c r="E32" s="103" t="s">
        <v>744</v>
      </c>
      <c r="F32" s="103"/>
    </row>
  </sheetData>
  <sheetProtection sheet="1" objects="1" scenarios="1"/>
  <mergeCells count="8">
    <mergeCell ref="E14:E15"/>
    <mergeCell ref="B16:B17"/>
    <mergeCell ref="C16:C17"/>
    <mergeCell ref="D16:D17"/>
    <mergeCell ref="E16:E17"/>
    <mergeCell ref="B14:B15"/>
    <mergeCell ref="C14:C15"/>
    <mergeCell ref="D14:D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66F2-E827-4D59-8773-26C8AB02039F}">
  <dimension ref="B2:L39"/>
  <sheetViews>
    <sheetView showGridLines="0" view="pageLayout" zoomScale="160" zoomScaleNormal="100" zoomScalePageLayoutView="160" workbookViewId="0">
      <selection activeCell="B27" sqref="B27"/>
    </sheetView>
  </sheetViews>
  <sheetFormatPr defaultColWidth="9" defaultRowHeight="11.25"/>
  <cols>
    <col min="1" max="1" width="9.75" customWidth="1"/>
    <col min="2" max="2" width="13.125" customWidth="1"/>
    <col min="3" max="14" width="9.75" customWidth="1"/>
  </cols>
  <sheetData>
    <row r="2" spans="2:12">
      <c r="H2" s="2"/>
    </row>
    <row r="4" spans="2:12" ht="14.25">
      <c r="B4" s="102"/>
    </row>
    <row r="5" spans="2:12" ht="14.25">
      <c r="B5" s="102"/>
    </row>
    <row r="6" spans="2:12" ht="22.5">
      <c r="B6" s="110" t="s">
        <v>746</v>
      </c>
      <c r="C6" s="109" t="s">
        <v>747</v>
      </c>
      <c r="D6" s="109" t="s">
        <v>748</v>
      </c>
      <c r="E6" s="109" t="s">
        <v>749</v>
      </c>
      <c r="F6" s="109" t="s">
        <v>750</v>
      </c>
      <c r="G6" s="109" t="s">
        <v>751</v>
      </c>
      <c r="H6" s="109" t="s">
        <v>752</v>
      </c>
      <c r="I6" s="109" t="s">
        <v>753</v>
      </c>
      <c r="J6" s="109" t="s">
        <v>754</v>
      </c>
      <c r="K6" s="109" t="s">
        <v>755</v>
      </c>
      <c r="L6" s="109" t="s">
        <v>756</v>
      </c>
    </row>
    <row r="7" spans="2:12">
      <c r="B7" s="111" t="s">
        <v>757</v>
      </c>
      <c r="C7" s="31">
        <v>84.271000000000001</v>
      </c>
      <c r="D7" s="31">
        <v>84.667000000000002</v>
      </c>
      <c r="E7" s="31">
        <v>85.063000000000002</v>
      </c>
      <c r="F7" s="31">
        <v>85.457999999999998</v>
      </c>
      <c r="G7" s="31">
        <v>85.852999999999994</v>
      </c>
      <c r="H7" s="31">
        <v>86.248000000000005</v>
      </c>
      <c r="I7" s="31">
        <v>86.643000000000001</v>
      </c>
      <c r="J7" s="31">
        <v>87.037999999999997</v>
      </c>
      <c r="K7" s="31">
        <v>87.433000000000007</v>
      </c>
      <c r="L7" s="31">
        <v>87.828000000000003</v>
      </c>
    </row>
    <row r="8" spans="2:12">
      <c r="B8" s="111" t="s">
        <v>758</v>
      </c>
      <c r="C8" s="31">
        <v>88.221999999999994</v>
      </c>
      <c r="D8" s="31">
        <v>88.617000000000004</v>
      </c>
      <c r="E8" s="31">
        <v>89.010999999999996</v>
      </c>
      <c r="F8" s="31">
        <v>89.405000000000001</v>
      </c>
      <c r="G8" s="31">
        <v>89.799000000000007</v>
      </c>
      <c r="H8" s="31">
        <v>90.192999999999998</v>
      </c>
      <c r="I8" s="31">
        <v>90.587000000000003</v>
      </c>
      <c r="J8" s="31">
        <v>90.98</v>
      </c>
      <c r="K8" s="31">
        <v>91.373999999999995</v>
      </c>
      <c r="L8" s="31">
        <v>91.766999999999996</v>
      </c>
    </row>
    <row r="9" spans="2:12">
      <c r="B9" s="111" t="s">
        <v>759</v>
      </c>
      <c r="C9" s="31">
        <v>92.16</v>
      </c>
      <c r="D9" s="31">
        <v>92.552999999999997</v>
      </c>
      <c r="E9" s="31">
        <v>92.945999999999998</v>
      </c>
      <c r="F9" s="31">
        <v>93.338999999999999</v>
      </c>
      <c r="G9" s="31">
        <v>93.731999999999999</v>
      </c>
      <c r="H9" s="31">
        <v>94.125</v>
      </c>
      <c r="I9" s="31">
        <v>94.516999999999996</v>
      </c>
      <c r="J9" s="31">
        <v>94.91</v>
      </c>
      <c r="K9" s="31">
        <v>95.302000000000007</v>
      </c>
      <c r="L9" s="31">
        <v>95.694000000000003</v>
      </c>
    </row>
    <row r="10" spans="2:12">
      <c r="B10" s="111" t="s">
        <v>760</v>
      </c>
      <c r="C10" s="31">
        <v>96.085999999999999</v>
      </c>
      <c r="D10" s="31">
        <v>96.477999999999994</v>
      </c>
      <c r="E10" s="31">
        <v>96.87</v>
      </c>
      <c r="F10" s="31">
        <v>97.262</v>
      </c>
      <c r="G10" s="31">
        <v>97.653000000000006</v>
      </c>
      <c r="H10" s="31">
        <v>98.045000000000002</v>
      </c>
      <c r="I10" s="31">
        <v>98.436000000000007</v>
      </c>
      <c r="J10" s="31">
        <v>98.826999999999998</v>
      </c>
      <c r="K10" s="31">
        <v>99.218000000000004</v>
      </c>
      <c r="L10" s="31">
        <v>99.608999999999995</v>
      </c>
    </row>
    <row r="11" spans="2:12">
      <c r="B11" s="31">
        <v>0</v>
      </c>
      <c r="C11" s="108">
        <v>100</v>
      </c>
      <c r="D11" s="31">
        <v>100.39100000000001</v>
      </c>
      <c r="E11" s="31">
        <v>100.78100000000001</v>
      </c>
      <c r="F11" s="31">
        <v>101.172</v>
      </c>
      <c r="G11" s="31">
        <v>101.562</v>
      </c>
      <c r="H11" s="31">
        <v>101.953</v>
      </c>
      <c r="I11" s="31">
        <v>102.343</v>
      </c>
      <c r="J11" s="31">
        <v>102.733</v>
      </c>
      <c r="K11" s="31">
        <v>103.123</v>
      </c>
      <c r="L11" s="31">
        <v>103.51300000000001</v>
      </c>
    </row>
    <row r="12" spans="2:12">
      <c r="B12" s="31">
        <v>10</v>
      </c>
      <c r="C12" s="31">
        <v>103.902</v>
      </c>
      <c r="D12" s="31">
        <v>104.292</v>
      </c>
      <c r="E12" s="31">
        <v>104.681</v>
      </c>
      <c r="F12" s="31">
        <v>105.071</v>
      </c>
      <c r="G12" s="31">
        <v>105.46</v>
      </c>
      <c r="H12" s="31">
        <v>105.849</v>
      </c>
      <c r="I12" s="31">
        <v>106.238</v>
      </c>
      <c r="J12" s="31">
        <v>106.627</v>
      </c>
      <c r="K12" s="31">
        <v>107.01600000000001</v>
      </c>
      <c r="L12" s="31">
        <v>107.404</v>
      </c>
    </row>
    <row r="13" spans="2:12">
      <c r="B13" s="31">
        <v>20</v>
      </c>
      <c r="C13" s="31">
        <v>107.79300000000001</v>
      </c>
      <c r="D13" s="31">
        <v>108.181</v>
      </c>
      <c r="E13" s="31">
        <v>108.57</v>
      </c>
      <c r="F13" s="31">
        <v>108.958</v>
      </c>
      <c r="G13" s="31">
        <v>109.346</v>
      </c>
      <c r="H13" s="31">
        <v>109.73399999999999</v>
      </c>
      <c r="I13" s="31">
        <v>110.122</v>
      </c>
      <c r="J13" s="31">
        <v>110.509</v>
      </c>
      <c r="K13" s="31">
        <v>110.89700000000001</v>
      </c>
      <c r="L13" s="31">
        <v>111.28400000000001</v>
      </c>
    </row>
    <row r="14" spans="2:12">
      <c r="B14" s="31">
        <v>30</v>
      </c>
      <c r="C14" s="31">
        <v>111.672</v>
      </c>
      <c r="D14" s="31">
        <v>112.059</v>
      </c>
      <c r="E14" s="31">
        <v>112.446</v>
      </c>
      <c r="F14" s="31">
        <v>112.833</v>
      </c>
      <c r="G14" s="31">
        <v>113.22</v>
      </c>
      <c r="H14" s="31">
        <v>113.607</v>
      </c>
      <c r="I14" s="31">
        <v>113.994</v>
      </c>
      <c r="J14" s="31">
        <v>114.38</v>
      </c>
      <c r="K14" s="31">
        <v>114.767</v>
      </c>
      <c r="L14" s="31">
        <v>115.15300000000001</v>
      </c>
    </row>
    <row r="15" spans="2:12">
      <c r="B15" s="31">
        <v>40</v>
      </c>
      <c r="C15" s="31">
        <v>115.539</v>
      </c>
      <c r="D15" s="31">
        <v>115.925</v>
      </c>
      <c r="E15" s="31">
        <v>116.31100000000001</v>
      </c>
      <c r="F15" s="31">
        <v>116.697</v>
      </c>
      <c r="G15" s="31">
        <v>117.083</v>
      </c>
      <c r="H15" s="31">
        <v>117.46899999999999</v>
      </c>
      <c r="I15" s="31">
        <v>117.854</v>
      </c>
      <c r="J15" s="31">
        <v>118.24</v>
      </c>
      <c r="K15" s="31">
        <v>118.625</v>
      </c>
      <c r="L15" s="31">
        <v>119.01</v>
      </c>
    </row>
    <row r="16" spans="2:12">
      <c r="B16" s="31">
        <v>50</v>
      </c>
      <c r="C16" s="31">
        <v>119.395</v>
      </c>
      <c r="D16" s="31">
        <v>119.78</v>
      </c>
      <c r="E16" s="31">
        <v>120.16500000000001</v>
      </c>
      <c r="F16" s="31">
        <v>120.55</v>
      </c>
      <c r="G16" s="31">
        <v>120.934</v>
      </c>
      <c r="H16" s="31">
        <v>121.319</v>
      </c>
      <c r="I16" s="31">
        <v>121.703</v>
      </c>
      <c r="J16" s="31">
        <v>122.087</v>
      </c>
      <c r="K16" s="31">
        <v>122.471</v>
      </c>
      <c r="L16" s="31">
        <v>122.855</v>
      </c>
    </row>
    <row r="17" spans="2:12">
      <c r="B17" s="31">
        <v>60</v>
      </c>
      <c r="C17" s="31">
        <v>123.239</v>
      </c>
      <c r="D17" s="31">
        <v>123.623</v>
      </c>
      <c r="E17" s="31">
        <v>124.00700000000001</v>
      </c>
      <c r="F17" s="31">
        <v>124.39</v>
      </c>
      <c r="G17" s="31">
        <v>124.774</v>
      </c>
      <c r="H17" s="31">
        <v>125.157</v>
      </c>
      <c r="I17" s="31">
        <v>125.54</v>
      </c>
      <c r="J17" s="31">
        <v>125.923</v>
      </c>
      <c r="K17" s="31">
        <v>126.306</v>
      </c>
      <c r="L17" s="31">
        <v>126.68899999999999</v>
      </c>
    </row>
    <row r="18" spans="2:12">
      <c r="B18" s="31">
        <v>70</v>
      </c>
      <c r="C18" s="31">
        <v>127.072</v>
      </c>
      <c r="D18" s="31">
        <v>127.45399999999999</v>
      </c>
      <c r="E18" s="31">
        <v>127.837</v>
      </c>
      <c r="F18" s="31">
        <v>128.21899999999999</v>
      </c>
      <c r="G18" s="31">
        <v>128.602</v>
      </c>
      <c r="H18" s="31">
        <v>128.98400000000001</v>
      </c>
      <c r="I18" s="31">
        <v>129.36600000000001</v>
      </c>
      <c r="J18" s="31">
        <v>129.74799999999999</v>
      </c>
      <c r="K18" s="31">
        <v>130.13</v>
      </c>
      <c r="L18" s="31">
        <v>130.511</v>
      </c>
    </row>
    <row r="19" spans="2:12">
      <c r="B19" s="31">
        <v>80</v>
      </c>
      <c r="C19" s="31">
        <v>130.893</v>
      </c>
      <c r="D19" s="31">
        <v>131.274</v>
      </c>
      <c r="E19" s="31">
        <v>131.65600000000001</v>
      </c>
      <c r="F19" s="31">
        <v>132.03700000000001</v>
      </c>
      <c r="G19" s="31">
        <v>132.41800000000001</v>
      </c>
      <c r="H19" s="31">
        <v>132.79900000000001</v>
      </c>
      <c r="I19" s="31">
        <v>133.18</v>
      </c>
      <c r="J19" s="31">
        <v>133.56100000000001</v>
      </c>
      <c r="K19" s="31">
        <v>133.941</v>
      </c>
      <c r="L19" s="31">
        <v>134.322</v>
      </c>
    </row>
    <row r="20" spans="2:12">
      <c r="B20" s="31">
        <v>90</v>
      </c>
      <c r="C20" s="31">
        <v>134.702</v>
      </c>
      <c r="D20" s="31">
        <v>135.083</v>
      </c>
      <c r="E20" s="31">
        <v>135.46299999999999</v>
      </c>
      <c r="F20" s="31">
        <v>135.84299999999999</v>
      </c>
      <c r="G20" s="31">
        <v>136.22300000000001</v>
      </c>
      <c r="H20" s="31">
        <v>136.60300000000001</v>
      </c>
      <c r="I20" s="31">
        <v>136.982</v>
      </c>
      <c r="J20" s="31">
        <v>137.36199999999999</v>
      </c>
      <c r="K20" s="31">
        <v>137.74100000000001</v>
      </c>
      <c r="L20" s="31">
        <v>138.12100000000001</v>
      </c>
    </row>
    <row r="21" spans="2:12">
      <c r="B21" s="31">
        <v>100</v>
      </c>
      <c r="C21" s="31">
        <v>138.5</v>
      </c>
      <c r="D21" s="31">
        <v>138.87899999999999</v>
      </c>
      <c r="E21" s="31">
        <v>139.25800000000001</v>
      </c>
      <c r="F21" s="31">
        <v>139.637</v>
      </c>
      <c r="G21" s="31">
        <v>140.01599999999999</v>
      </c>
      <c r="H21" s="31">
        <v>140.39500000000001</v>
      </c>
      <c r="I21" s="31">
        <v>140.773</v>
      </c>
      <c r="J21" s="31">
        <v>141.15199999999999</v>
      </c>
      <c r="K21" s="31">
        <v>141.53</v>
      </c>
      <c r="L21" s="31">
        <v>141.90799999999999</v>
      </c>
    </row>
    <row r="22" spans="2:12">
      <c r="B22" s="31">
        <v>110</v>
      </c>
      <c r="C22" s="31">
        <v>142.286</v>
      </c>
      <c r="D22" s="31">
        <v>142.66399999999999</v>
      </c>
      <c r="E22" s="31">
        <v>143.042</v>
      </c>
      <c r="F22" s="31">
        <v>143.41999999999999</v>
      </c>
      <c r="G22" s="31">
        <v>143.797</v>
      </c>
      <c r="H22" s="31">
        <v>144.17500000000001</v>
      </c>
      <c r="I22" s="31">
        <v>144.55199999999999</v>
      </c>
      <c r="J22" s="31">
        <v>144.93</v>
      </c>
      <c r="K22" s="31">
        <v>145.30699999999999</v>
      </c>
      <c r="L22" s="31">
        <v>145.684</v>
      </c>
    </row>
    <row r="23" spans="2:12">
      <c r="B23" s="31">
        <v>120</v>
      </c>
      <c r="C23" s="31">
        <v>146.06100000000001</v>
      </c>
      <c r="D23" s="31">
        <v>146.43799999999999</v>
      </c>
      <c r="E23" s="31">
        <v>146.81399999999999</v>
      </c>
      <c r="F23" s="31">
        <v>147.191</v>
      </c>
      <c r="G23" s="31">
        <v>147.56700000000001</v>
      </c>
      <c r="H23" s="31">
        <v>147.94399999999999</v>
      </c>
      <c r="I23" s="31">
        <v>148.32</v>
      </c>
      <c r="J23" s="31">
        <v>148.696</v>
      </c>
      <c r="K23" s="31">
        <v>149.072</v>
      </c>
      <c r="L23" s="31">
        <v>149.44800000000001</v>
      </c>
    </row>
    <row r="24" spans="2:12">
      <c r="B24" s="31">
        <v>130</v>
      </c>
      <c r="C24" s="31">
        <v>149.82400000000001</v>
      </c>
      <c r="D24" s="31">
        <v>150.19900000000001</v>
      </c>
      <c r="E24" s="31">
        <v>150.57499999999999</v>
      </c>
      <c r="F24" s="31">
        <v>150.94999999999999</v>
      </c>
      <c r="G24" s="31">
        <v>151.32599999999999</v>
      </c>
      <c r="H24" s="31">
        <v>151.70099999999999</v>
      </c>
      <c r="I24" s="31">
        <v>152.07599999999999</v>
      </c>
      <c r="J24" s="31">
        <v>152.45099999999999</v>
      </c>
      <c r="K24" s="31">
        <v>152.82599999999999</v>
      </c>
      <c r="L24" s="31">
        <v>153.19999999999999</v>
      </c>
    </row>
    <row r="25" spans="2:12">
      <c r="B25" s="31">
        <v>140</v>
      </c>
      <c r="C25" s="31">
        <v>153.57499999999999</v>
      </c>
      <c r="D25" s="31">
        <v>153.94999999999999</v>
      </c>
      <c r="E25" s="31">
        <v>154.32400000000001</v>
      </c>
      <c r="F25" s="31">
        <v>154.69800000000001</v>
      </c>
      <c r="G25" s="31">
        <v>155.072</v>
      </c>
      <c r="H25" s="31">
        <v>155.446</v>
      </c>
      <c r="I25" s="31">
        <v>155.82</v>
      </c>
      <c r="J25" s="31">
        <v>156.19399999999999</v>
      </c>
      <c r="K25" s="31">
        <v>156.56800000000001</v>
      </c>
      <c r="L25" s="31">
        <v>156.941</v>
      </c>
    </row>
    <row r="26" spans="2:12">
      <c r="B26" s="31">
        <v>150</v>
      </c>
      <c r="C26" s="31">
        <v>157.315</v>
      </c>
      <c r="D26" s="31">
        <v>157.68799999999999</v>
      </c>
      <c r="E26" s="31">
        <v>158.06100000000001</v>
      </c>
      <c r="F26" s="31">
        <v>158.435</v>
      </c>
      <c r="G26" s="31">
        <v>158.80799999999999</v>
      </c>
      <c r="H26" s="31">
        <v>159.18</v>
      </c>
      <c r="I26" s="31">
        <v>159.553</v>
      </c>
      <c r="J26" s="31">
        <v>159.92599999999999</v>
      </c>
      <c r="K26" s="31">
        <v>160.298</v>
      </c>
      <c r="L26" s="31">
        <v>160.67099999999999</v>
      </c>
    </row>
    <row r="27" spans="2:12">
      <c r="B27" s="31">
        <v>160</v>
      </c>
      <c r="C27" s="31">
        <v>161.04300000000001</v>
      </c>
      <c r="D27" s="31">
        <v>161.41499999999999</v>
      </c>
      <c r="E27" s="31">
        <v>161.78700000000001</v>
      </c>
      <c r="F27" s="31">
        <v>162.15899999999999</v>
      </c>
      <c r="G27" s="31">
        <v>162.53100000000001</v>
      </c>
      <c r="H27" s="31">
        <v>162.90299999999999</v>
      </c>
      <c r="I27" s="31">
        <v>163.274</v>
      </c>
      <c r="J27" s="31">
        <v>163.64599999999999</v>
      </c>
      <c r="K27" s="31">
        <v>164.017</v>
      </c>
      <c r="L27" s="31">
        <v>164.38800000000001</v>
      </c>
    </row>
    <row r="28" spans="2:12">
      <c r="B28" s="31">
        <v>170</v>
      </c>
      <c r="C28" s="31">
        <v>164.76</v>
      </c>
      <c r="D28" s="31">
        <v>165.131</v>
      </c>
      <c r="E28" s="31">
        <v>165.501</v>
      </c>
      <c r="F28" s="31">
        <v>165.87200000000001</v>
      </c>
      <c r="G28" s="31">
        <v>166.24299999999999</v>
      </c>
      <c r="H28" s="31">
        <v>166.614</v>
      </c>
      <c r="I28" s="31">
        <v>166.98400000000001</v>
      </c>
      <c r="J28" s="31">
        <v>167.35400000000001</v>
      </c>
      <c r="K28" s="31">
        <v>167.72399999999999</v>
      </c>
      <c r="L28" s="31">
        <v>168.095</v>
      </c>
    </row>
    <row r="29" spans="2:12">
      <c r="B29" s="31">
        <v>180</v>
      </c>
      <c r="C29" s="31">
        <v>168.465</v>
      </c>
      <c r="D29" s="31">
        <v>168.834</v>
      </c>
      <c r="E29" s="31">
        <v>169.20400000000001</v>
      </c>
      <c r="F29" s="31">
        <v>169.57400000000001</v>
      </c>
      <c r="G29" s="31">
        <v>169.94300000000001</v>
      </c>
      <c r="H29" s="31">
        <v>170.31299999999999</v>
      </c>
      <c r="I29" s="31">
        <v>170.68199999999999</v>
      </c>
      <c r="J29" s="31">
        <v>171.05099999999999</v>
      </c>
      <c r="K29" s="31">
        <v>171.42</v>
      </c>
      <c r="L29" s="31">
        <v>171.78899999999999</v>
      </c>
    </row>
    <row r="30" spans="2:12">
      <c r="B30" s="31">
        <v>190</v>
      </c>
      <c r="C30" s="31">
        <v>172.15799999999999</v>
      </c>
      <c r="D30" s="31">
        <v>172.52699999999999</v>
      </c>
      <c r="E30" s="31">
        <v>172.89500000000001</v>
      </c>
      <c r="F30" s="31">
        <v>173.26400000000001</v>
      </c>
      <c r="G30" s="31">
        <v>173.63200000000001</v>
      </c>
      <c r="H30" s="31">
        <v>174</v>
      </c>
      <c r="I30" s="31">
        <v>174.36799999999999</v>
      </c>
      <c r="J30" s="31">
        <v>174.73599999999999</v>
      </c>
      <c r="K30" s="31">
        <v>175.10400000000001</v>
      </c>
      <c r="L30" s="31">
        <v>175.47200000000001</v>
      </c>
    </row>
    <row r="31" spans="2:12">
      <c r="B31" s="31">
        <v>200</v>
      </c>
      <c r="C31" s="31">
        <v>175.84</v>
      </c>
      <c r="D31" s="31">
        <v>176.20699999999999</v>
      </c>
      <c r="E31" s="31">
        <v>176.57499999999999</v>
      </c>
      <c r="F31" s="31">
        <v>176.94200000000001</v>
      </c>
      <c r="G31" s="31">
        <v>177.309</v>
      </c>
      <c r="H31" s="31">
        <v>177.67599999999999</v>
      </c>
      <c r="I31" s="31">
        <v>178.04300000000001</v>
      </c>
      <c r="J31" s="31">
        <v>178.41</v>
      </c>
      <c r="K31" s="31">
        <v>178.77699999999999</v>
      </c>
      <c r="L31" s="31">
        <v>179.143</v>
      </c>
    </row>
    <row r="32" spans="2:12">
      <c r="B32" s="31">
        <v>210</v>
      </c>
      <c r="C32" s="31">
        <v>179.51</v>
      </c>
      <c r="D32" s="31">
        <v>179.876</v>
      </c>
      <c r="E32" s="31">
        <v>180.24199999999999</v>
      </c>
      <c r="F32" s="31">
        <v>180.60900000000001</v>
      </c>
      <c r="G32" s="31">
        <v>180.97499999999999</v>
      </c>
      <c r="H32" s="31">
        <v>181.34</v>
      </c>
      <c r="I32" s="31">
        <v>181.70599999999999</v>
      </c>
      <c r="J32" s="31">
        <v>182.072</v>
      </c>
      <c r="K32" s="31">
        <v>182.43799999999999</v>
      </c>
      <c r="L32" s="31">
        <v>182.803</v>
      </c>
    </row>
    <row r="33" spans="2:12">
      <c r="B33" s="31">
        <v>220</v>
      </c>
      <c r="C33" s="31">
        <v>183.16800000000001</v>
      </c>
      <c r="D33" s="31">
        <v>183.53399999999999</v>
      </c>
      <c r="E33" s="31">
        <v>183.899</v>
      </c>
      <c r="F33" s="31">
        <v>184.26400000000001</v>
      </c>
      <c r="G33" s="31">
        <v>184.62799999999999</v>
      </c>
      <c r="H33" s="31">
        <v>184.99299999999999</v>
      </c>
      <c r="I33" s="31">
        <v>185.358</v>
      </c>
      <c r="J33" s="31">
        <v>185.72200000000001</v>
      </c>
      <c r="K33" s="31">
        <v>186.08699999999999</v>
      </c>
      <c r="L33" s="31">
        <v>186.45099999999999</v>
      </c>
    </row>
    <row r="34" spans="2:12">
      <c r="B34" s="31">
        <v>230</v>
      </c>
      <c r="C34" s="31">
        <v>186.815</v>
      </c>
      <c r="D34" s="31">
        <v>187.179</v>
      </c>
      <c r="E34" s="31">
        <v>187.54300000000001</v>
      </c>
      <c r="F34" s="31">
        <v>187.90700000000001</v>
      </c>
      <c r="G34" s="31">
        <v>188.27099999999999</v>
      </c>
      <c r="H34" s="31">
        <v>188.63399999999999</v>
      </c>
      <c r="I34" s="31">
        <v>188.99799999999999</v>
      </c>
      <c r="J34" s="31">
        <v>189.36099999999999</v>
      </c>
      <c r="K34" s="31">
        <v>189.72399999999999</v>
      </c>
      <c r="L34" s="31">
        <v>190.08799999999999</v>
      </c>
    </row>
    <row r="35" spans="2:12">
      <c r="B35" s="31">
        <v>240</v>
      </c>
      <c r="C35" s="31">
        <v>190.45099999999999</v>
      </c>
      <c r="D35" s="31">
        <v>190.81299999999999</v>
      </c>
      <c r="E35" s="31">
        <v>191.17599999999999</v>
      </c>
      <c r="F35" s="31">
        <v>191.53899999999999</v>
      </c>
      <c r="G35" s="31">
        <v>191.90100000000001</v>
      </c>
      <c r="H35" s="31">
        <v>192.26400000000001</v>
      </c>
      <c r="I35" s="31">
        <v>192.626</v>
      </c>
      <c r="J35" s="31">
        <v>192.988</v>
      </c>
      <c r="K35" s="31">
        <v>193.35</v>
      </c>
      <c r="L35" s="31">
        <v>193.71199999999999</v>
      </c>
    </row>
    <row r="36" spans="2:12">
      <c r="B36" s="31">
        <v>250</v>
      </c>
      <c r="C36" s="31">
        <v>194.07400000000001</v>
      </c>
      <c r="D36" s="31">
        <v>194.43600000000001</v>
      </c>
      <c r="E36" s="31">
        <v>194.798</v>
      </c>
      <c r="F36" s="31">
        <v>195.15899999999999</v>
      </c>
      <c r="G36" s="31">
        <v>195.52099999999999</v>
      </c>
      <c r="H36" s="31">
        <v>195.88200000000001</v>
      </c>
      <c r="I36" s="31">
        <v>196.24299999999999</v>
      </c>
      <c r="J36" s="31">
        <v>196.60400000000001</v>
      </c>
      <c r="K36" s="31">
        <v>196.965</v>
      </c>
      <c r="L36" s="31">
        <v>197.32599999999999</v>
      </c>
    </row>
    <row r="37" spans="2:12">
      <c r="B37" s="31">
        <v>260</v>
      </c>
      <c r="C37" s="31">
        <v>197.68600000000001</v>
      </c>
      <c r="D37" s="31">
        <v>198.047</v>
      </c>
      <c r="E37" s="31">
        <v>198.40700000000001</v>
      </c>
      <c r="F37" s="31">
        <v>198.768</v>
      </c>
      <c r="G37" s="31">
        <v>199.12799999999999</v>
      </c>
      <c r="H37" s="31">
        <v>199.488</v>
      </c>
      <c r="I37" s="31">
        <v>199.84800000000001</v>
      </c>
      <c r="J37" s="31">
        <v>200.208</v>
      </c>
      <c r="K37" s="31">
        <v>200.56800000000001</v>
      </c>
      <c r="L37" s="31">
        <v>200.92699999999999</v>
      </c>
    </row>
    <row r="38" spans="2:12">
      <c r="B38" s="31">
        <v>270</v>
      </c>
      <c r="C38" s="31">
        <v>201.28700000000001</v>
      </c>
      <c r="D38" s="31">
        <v>201.64599999999999</v>
      </c>
      <c r="E38" s="31">
        <v>202.006</v>
      </c>
      <c r="F38" s="31">
        <v>202.36500000000001</v>
      </c>
      <c r="G38" s="31">
        <v>202.72399999999999</v>
      </c>
      <c r="H38" s="31">
        <v>203.083</v>
      </c>
      <c r="I38" s="31">
        <v>203.44200000000001</v>
      </c>
      <c r="J38" s="31">
        <v>203.8</v>
      </c>
      <c r="K38" s="31">
        <v>204.15899999999999</v>
      </c>
      <c r="L38" s="31">
        <v>204.517</v>
      </c>
    </row>
    <row r="39" spans="2:12">
      <c r="B39" s="31">
        <v>280</v>
      </c>
      <c r="C39" s="31">
        <v>204.876</v>
      </c>
      <c r="D39" s="31">
        <v>205.23400000000001</v>
      </c>
      <c r="E39" s="31">
        <v>205.59200000000001</v>
      </c>
      <c r="F39" s="31">
        <v>205.95</v>
      </c>
      <c r="G39" s="31">
        <v>206.30799999999999</v>
      </c>
      <c r="H39" s="31">
        <v>206.666</v>
      </c>
      <c r="I39" s="31">
        <v>207.024</v>
      </c>
      <c r="J39" s="31">
        <v>207.381</v>
      </c>
      <c r="K39" s="31">
        <v>207.739</v>
      </c>
      <c r="L39" s="31">
        <v>208.096</v>
      </c>
    </row>
  </sheetData>
  <sheetProtection sheet="1" objects="1" scenarios="1"/>
  <hyperlinks>
    <hyperlink ref="B6" r:id="rId1" tooltip="Celsius" display="https://nl.wikipedia.org/wiki/Celsius" xr:uid="{4CED19DE-0AAD-442E-95CC-CE15B4AF898E}"/>
  </hyperlinks>
  <pageMargins left="0.70866141732283472" right="0.70866141732283472" top="0.74803149606299213" bottom="0.74803149606299213" header="0.31496062992125984" footer="0.31496062992125984"/>
  <pageSetup paperSize="9" orientation="landscape" r:id="rId2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9B24-E5B6-42FD-A777-96A869F4CD5D}">
  <sheetPr>
    <pageSetUpPr fitToPage="1"/>
  </sheetPr>
  <dimension ref="B6:F21"/>
  <sheetViews>
    <sheetView showGridLines="0" view="pageLayout" zoomScaleNormal="100" workbookViewId="0">
      <selection activeCell="F8" sqref="F8"/>
    </sheetView>
  </sheetViews>
  <sheetFormatPr defaultColWidth="9" defaultRowHeight="11.25"/>
  <cols>
    <col min="1" max="1" width="2.25" customWidth="1"/>
    <col min="2" max="2" width="41.75" customWidth="1"/>
    <col min="3" max="3" width="35.375" customWidth="1"/>
    <col min="4" max="4" width="36.5" hidden="1" customWidth="1"/>
    <col min="5" max="5" width="9" hidden="1" customWidth="1"/>
    <col min="6" max="6" width="32.5" customWidth="1"/>
    <col min="7" max="7" width="29.375" customWidth="1"/>
  </cols>
  <sheetData>
    <row r="6" spans="2:6" ht="15" thickBot="1">
      <c r="B6" s="237"/>
    </row>
    <row r="7" spans="2:6">
      <c r="B7" s="247" t="s">
        <v>66</v>
      </c>
      <c r="C7" s="248" t="s">
        <v>67</v>
      </c>
      <c r="D7" s="248" t="s">
        <v>68</v>
      </c>
      <c r="E7" s="248" t="s">
        <v>69</v>
      </c>
      <c r="F7" s="249" t="s">
        <v>70</v>
      </c>
    </row>
    <row r="8" spans="2:6" ht="42.6" customHeight="1">
      <c r="B8" s="250" t="s">
        <v>71</v>
      </c>
      <c r="C8" s="251"/>
      <c r="D8" s="251"/>
      <c r="E8" s="251" t="s">
        <v>72</v>
      </c>
      <c r="F8" s="252"/>
    </row>
    <row r="9" spans="2:6" ht="42.6" customHeight="1">
      <c r="B9" s="253" t="s">
        <v>73</v>
      </c>
      <c r="C9" s="251"/>
      <c r="D9" s="251"/>
      <c r="E9" s="251" t="s">
        <v>72</v>
      </c>
      <c r="F9" s="252"/>
    </row>
    <row r="10" spans="2:6" ht="42.6" customHeight="1">
      <c r="B10" s="250" t="s">
        <v>74</v>
      </c>
      <c r="C10" s="251"/>
      <c r="D10" s="251"/>
      <c r="E10" s="251" t="s">
        <v>75</v>
      </c>
      <c r="F10" s="252"/>
    </row>
    <row r="11" spans="2:6" ht="42.6" customHeight="1">
      <c r="B11" s="250" t="s">
        <v>76</v>
      </c>
      <c r="C11" s="251"/>
      <c r="D11" s="251"/>
      <c r="E11" s="251" t="s">
        <v>77</v>
      </c>
      <c r="F11" s="252"/>
    </row>
    <row r="12" spans="2:6" ht="42.6" customHeight="1" thickBot="1">
      <c r="B12" s="254" t="s">
        <v>78</v>
      </c>
      <c r="C12" s="255"/>
      <c r="D12" s="255"/>
      <c r="E12" s="255" t="s">
        <v>79</v>
      </c>
      <c r="F12" s="256"/>
    </row>
    <row r="13" spans="2:6" ht="12" thickBot="1">
      <c r="B13" s="187"/>
    </row>
    <row r="14" spans="2:6" ht="12" thickBot="1">
      <c r="B14" s="245" t="s">
        <v>80</v>
      </c>
      <c r="C14" s="188" t="s">
        <v>81</v>
      </c>
    </row>
    <row r="15" spans="2:6">
      <c r="B15" s="449"/>
      <c r="C15" s="452" t="s">
        <v>82</v>
      </c>
    </row>
    <row r="16" spans="2:6">
      <c r="B16" s="450"/>
      <c r="C16" s="453"/>
    </row>
    <row r="17" spans="2:3">
      <c r="B17" s="450"/>
      <c r="C17" s="453"/>
    </row>
    <row r="18" spans="2:3">
      <c r="B18" s="450"/>
      <c r="C18" s="453"/>
    </row>
    <row r="19" spans="2:3">
      <c r="B19" s="450"/>
      <c r="C19" s="453"/>
    </row>
    <row r="20" spans="2:3">
      <c r="B20" s="450"/>
      <c r="C20" s="453"/>
    </row>
    <row r="21" spans="2:3" ht="12" thickBot="1">
      <c r="B21" s="451"/>
      <c r="C21" s="454"/>
    </row>
  </sheetData>
  <sheetProtection sheet="1" objects="1" scenarios="1"/>
  <mergeCells count="2">
    <mergeCell ref="B15:B21"/>
    <mergeCell ref="C15:C21"/>
  </mergeCells>
  <pageMargins left="0.51181102362204722" right="0.51181102362204722" top="1.1417322834645669" bottom="0.74803149606299213" header="0.70866141732283472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3D86-DE04-4A0A-91F7-DB9DD57F3FB7}">
  <sheetPr codeName="Blad6"/>
  <dimension ref="A1:BD207"/>
  <sheetViews>
    <sheetView topLeftCell="A31" zoomScaleNormal="100" workbookViewId="0">
      <selection activeCell="C42" sqref="C42"/>
    </sheetView>
  </sheetViews>
  <sheetFormatPr defaultRowHeight="11.25"/>
  <cols>
    <col min="1" max="1" width="11.375" customWidth="1"/>
    <col min="2" max="2" width="46.75" customWidth="1"/>
    <col min="3" max="3" width="33.125" style="2" customWidth="1"/>
    <col min="4" max="4" width="12.125" customWidth="1"/>
    <col min="5" max="5" width="23.625" customWidth="1"/>
    <col min="6" max="6" width="18.25" customWidth="1"/>
    <col min="7" max="7" width="17.875" customWidth="1"/>
    <col min="8" max="8" width="10" customWidth="1"/>
    <col min="9" max="9" width="12.5" customWidth="1"/>
    <col min="10" max="10" width="21.625" customWidth="1"/>
    <col min="11" max="11" width="11.125" customWidth="1"/>
    <col min="12" max="12" width="31.125" customWidth="1"/>
    <col min="13" max="13" width="34.75" customWidth="1"/>
    <col min="14" max="14" width="23.625" customWidth="1"/>
    <col min="15" max="15" width="17.75" customWidth="1"/>
    <col min="21" max="21" width="36.375" customWidth="1"/>
  </cols>
  <sheetData>
    <row r="1" spans="2:13">
      <c r="B1" s="1" t="s">
        <v>761</v>
      </c>
    </row>
    <row r="2" spans="2:13">
      <c r="B2" s="1"/>
    </row>
    <row r="3" spans="2:13">
      <c r="B3" s="1" t="s">
        <v>762</v>
      </c>
    </row>
    <row r="4" spans="2:13">
      <c r="B4" t="s">
        <v>763</v>
      </c>
      <c r="C4" s="116" t="s">
        <v>0</v>
      </c>
    </row>
    <row r="5" spans="2:13">
      <c r="B5" s="1" t="s">
        <v>45</v>
      </c>
      <c r="C5" s="260" t="s">
        <v>0</v>
      </c>
    </row>
    <row r="6" spans="2:13">
      <c r="B6" t="s">
        <v>764</v>
      </c>
      <c r="C6" s="116" t="s">
        <v>0</v>
      </c>
    </row>
    <row r="7" spans="2:13">
      <c r="B7" t="s">
        <v>765</v>
      </c>
      <c r="C7" s="435" t="s">
        <v>766</v>
      </c>
      <c r="M7" s="2"/>
    </row>
    <row r="8" spans="2:13">
      <c r="B8" t="s">
        <v>767</v>
      </c>
      <c r="C8" s="116" t="s">
        <v>768</v>
      </c>
      <c r="M8" s="3"/>
    </row>
    <row r="9" spans="2:13">
      <c r="B9" t="s">
        <v>769</v>
      </c>
      <c r="C9" s="117">
        <v>3</v>
      </c>
      <c r="M9" s="3"/>
    </row>
    <row r="10" spans="2:13">
      <c r="B10" t="s">
        <v>770</v>
      </c>
      <c r="C10" s="117" t="s">
        <v>771</v>
      </c>
      <c r="E10" s="1"/>
    </row>
    <row r="11" spans="2:13">
      <c r="B11" s="416" t="s">
        <v>772</v>
      </c>
      <c r="C11" s="115" t="s">
        <v>0</v>
      </c>
    </row>
    <row r="12" spans="2:13">
      <c r="C12" s="115" t="s">
        <v>0</v>
      </c>
      <c r="K12" s="1"/>
      <c r="M12" s="1"/>
    </row>
    <row r="13" spans="2:13">
      <c r="C13"/>
      <c r="K13" s="1"/>
      <c r="M13" s="1"/>
    </row>
    <row r="14" spans="2:13">
      <c r="B14" s="1" t="s">
        <v>773</v>
      </c>
      <c r="C14"/>
      <c r="K14" s="1"/>
      <c r="M14" s="1"/>
    </row>
    <row r="15" spans="2:13">
      <c r="B15" t="s">
        <v>774</v>
      </c>
      <c r="C15" s="436" t="s">
        <v>775</v>
      </c>
      <c r="K15" s="1"/>
      <c r="M15" s="1"/>
    </row>
    <row r="16" spans="2:13" ht="12.75">
      <c r="B16" t="s">
        <v>776</v>
      </c>
      <c r="C16" s="437">
        <v>-20</v>
      </c>
      <c r="D16" t="s">
        <v>292</v>
      </c>
      <c r="K16" s="1"/>
      <c r="M16" s="1"/>
    </row>
    <row r="17" spans="1:15" ht="12.75">
      <c r="B17" t="s">
        <v>777</v>
      </c>
      <c r="C17" s="437">
        <v>40</v>
      </c>
      <c r="D17" t="s">
        <v>292</v>
      </c>
      <c r="K17" s="1"/>
      <c r="M17" s="1"/>
    </row>
    <row r="18" spans="1:15">
      <c r="B18" t="s">
        <v>778</v>
      </c>
      <c r="C18" s="437">
        <v>1000</v>
      </c>
      <c r="D18" t="s">
        <v>779</v>
      </c>
      <c r="K18" s="1"/>
      <c r="M18" s="1"/>
    </row>
    <row r="19" spans="1:15">
      <c r="B19" t="s">
        <v>780</v>
      </c>
      <c r="C19" s="437" t="s">
        <v>781</v>
      </c>
      <c r="D19" t="s">
        <v>177</v>
      </c>
      <c r="K19" s="1"/>
      <c r="M19" s="1"/>
    </row>
    <row r="20" spans="1:15">
      <c r="C20"/>
      <c r="K20" s="1"/>
      <c r="M20" s="1"/>
    </row>
    <row r="21" spans="1:15">
      <c r="B21" s="1" t="s">
        <v>782</v>
      </c>
      <c r="K21" s="1"/>
      <c r="M21" s="1"/>
    </row>
    <row r="22" spans="1:15">
      <c r="B22" t="s">
        <v>783</v>
      </c>
      <c r="C22" s="114" t="s">
        <v>784</v>
      </c>
      <c r="K22" s="1"/>
      <c r="M22" s="1"/>
    </row>
    <row r="23" spans="1:15">
      <c r="B23" t="s">
        <v>785</v>
      </c>
      <c r="C23" s="114" t="s">
        <v>786</v>
      </c>
      <c r="K23" s="1"/>
      <c r="M23" s="1"/>
    </row>
    <row r="24" spans="1:15">
      <c r="B24" t="s">
        <v>787</v>
      </c>
      <c r="C24" s="114" t="s">
        <v>788</v>
      </c>
      <c r="K24" s="1"/>
      <c r="M24" s="1"/>
    </row>
    <row r="25" spans="1:15">
      <c r="B25" t="s">
        <v>789</v>
      </c>
      <c r="C25" s="120" t="s">
        <v>1069</v>
      </c>
      <c r="K25" s="1"/>
      <c r="M25" s="1"/>
    </row>
    <row r="26" spans="1:15">
      <c r="B26" t="s">
        <v>790</v>
      </c>
      <c r="C26" s="120" t="s">
        <v>1070</v>
      </c>
      <c r="K26" s="1"/>
      <c r="M26" s="1"/>
    </row>
    <row r="27" spans="1:15">
      <c r="B27" t="s">
        <v>791</v>
      </c>
      <c r="C27" s="118">
        <v>15</v>
      </c>
      <c r="D27" t="s">
        <v>792</v>
      </c>
      <c r="K27" s="1"/>
      <c r="M27" s="1"/>
    </row>
    <row r="28" spans="1:15">
      <c r="B28" t="s">
        <v>793</v>
      </c>
      <c r="C28" s="118">
        <v>15</v>
      </c>
      <c r="D28" t="s">
        <v>792</v>
      </c>
      <c r="E28" t="s">
        <v>794</v>
      </c>
      <c r="F28" s="417">
        <f>+(C33*C37*F63*SQRT(3))/1000</f>
        <v>0</v>
      </c>
      <c r="G28" t="s">
        <v>50</v>
      </c>
      <c r="I28" t="s">
        <v>795</v>
      </c>
      <c r="J28" s="417">
        <f>+(F28)*(C63/100)</f>
        <v>0</v>
      </c>
      <c r="K28" t="s">
        <v>50</v>
      </c>
      <c r="M28" s="1"/>
    </row>
    <row r="29" spans="1:15">
      <c r="B29" t="s">
        <v>796</v>
      </c>
      <c r="C29" s="114" t="s">
        <v>797</v>
      </c>
      <c r="K29" s="1"/>
      <c r="M29" s="1"/>
    </row>
    <row r="30" spans="1:15">
      <c r="K30" s="1"/>
      <c r="M30" s="1"/>
    </row>
    <row r="31" spans="1:15">
      <c r="B31" s="1" t="s">
        <v>798</v>
      </c>
      <c r="C31" s="2" t="s">
        <v>0</v>
      </c>
      <c r="D31" s="1"/>
    </row>
    <row r="32" spans="1:15">
      <c r="A32" t="s">
        <v>799</v>
      </c>
      <c r="B32" t="s">
        <v>800</v>
      </c>
      <c r="C32" s="56" t="s">
        <v>0</v>
      </c>
      <c r="D32" t="s">
        <v>50</v>
      </c>
      <c r="H32" t="s">
        <v>801</v>
      </c>
      <c r="J32" t="s">
        <v>802</v>
      </c>
      <c r="K32" s="2"/>
      <c r="M32" t="s">
        <v>801</v>
      </c>
      <c r="O32" t="s">
        <v>802</v>
      </c>
    </row>
    <row r="33" spans="1:56">
      <c r="A33" t="s">
        <v>803</v>
      </c>
      <c r="B33" t="s">
        <v>618</v>
      </c>
      <c r="C33" s="56">
        <v>500</v>
      </c>
      <c r="D33" t="s">
        <v>171</v>
      </c>
      <c r="G33" s="1" t="s">
        <v>804</v>
      </c>
      <c r="H33" s="415">
        <v>-5</v>
      </c>
      <c r="I33" t="s">
        <v>177</v>
      </c>
      <c r="J33" s="415">
        <v>5</v>
      </c>
      <c r="K33" t="s">
        <v>177</v>
      </c>
      <c r="L33" s="1" t="s">
        <v>805</v>
      </c>
      <c r="M33" s="415">
        <v>-10</v>
      </c>
      <c r="N33" t="s">
        <v>177</v>
      </c>
      <c r="O33" s="415">
        <v>10</v>
      </c>
      <c r="P33" t="s">
        <v>177</v>
      </c>
    </row>
    <row r="34" spans="1:56">
      <c r="A34" t="s">
        <v>806</v>
      </c>
      <c r="B34" t="s">
        <v>807</v>
      </c>
      <c r="C34" s="55"/>
      <c r="D34" t="s">
        <v>179</v>
      </c>
      <c r="G34" s="1" t="s">
        <v>804</v>
      </c>
      <c r="H34" s="415">
        <v>-2</v>
      </c>
      <c r="I34" t="s">
        <v>177</v>
      </c>
      <c r="J34" s="415">
        <v>2</v>
      </c>
      <c r="K34" t="s">
        <v>177</v>
      </c>
      <c r="L34" s="1" t="s">
        <v>805</v>
      </c>
      <c r="M34" s="415">
        <v>-5</v>
      </c>
      <c r="N34" t="s">
        <v>177</v>
      </c>
      <c r="O34" s="415">
        <v>3</v>
      </c>
      <c r="P34" t="s">
        <v>177</v>
      </c>
    </row>
    <row r="35" spans="1:56" ht="12">
      <c r="B35" t="s">
        <v>808</v>
      </c>
      <c r="C35" s="418" t="str">
        <f>+IF(ISNUMBER((C34*60)/F40),IF((C34*60)/F40 &gt; 0,(C34*60)/F40,""),"")</f>
        <v/>
      </c>
      <c r="D35" t="s">
        <v>395</v>
      </c>
      <c r="E35" s="2"/>
      <c r="G35" s="419"/>
      <c r="H35" s="2"/>
      <c r="K35" s="2"/>
    </row>
    <row r="36" spans="1:56" ht="12">
      <c r="A36" s="419" t="s">
        <v>396</v>
      </c>
      <c r="B36" t="s">
        <v>809</v>
      </c>
      <c r="C36" s="420">
        <f>IF(ISNUMBER(2*PI()*C70/60),2*PI()*C70/60,"")</f>
        <v>8.2728606544531225</v>
      </c>
      <c r="D36" t="s">
        <v>397</v>
      </c>
      <c r="E36" s="2"/>
      <c r="G36" s="419"/>
      <c r="H36" s="2"/>
      <c r="K36" s="2"/>
    </row>
    <row r="37" spans="1:56" ht="14.25">
      <c r="A37" t="s">
        <v>810</v>
      </c>
      <c r="B37" t="s">
        <v>811</v>
      </c>
      <c r="C37" s="56"/>
      <c r="D37" t="s">
        <v>173</v>
      </c>
      <c r="F37" s="418">
        <f>+SUM(C37,F38)</f>
        <v>0</v>
      </c>
      <c r="G37" t="s">
        <v>173</v>
      </c>
      <c r="K37" s="2"/>
      <c r="L37" s="418">
        <f>+C33*C37*F63*SQRT(3)/1000</f>
        <v>0</v>
      </c>
      <c r="M37" t="s">
        <v>50</v>
      </c>
      <c r="Z37" s="73"/>
      <c r="AL37" s="73"/>
    </row>
    <row r="38" spans="1:56" ht="14.25">
      <c r="B38" t="s">
        <v>812</v>
      </c>
      <c r="C38" s="55"/>
      <c r="D38" t="s">
        <v>177</v>
      </c>
      <c r="F38" s="421">
        <f>+C37*(C38/100)</f>
        <v>0</v>
      </c>
      <c r="G38" t="s">
        <v>173</v>
      </c>
      <c r="H38" t="s">
        <v>801</v>
      </c>
      <c r="J38" t="s">
        <v>802</v>
      </c>
      <c r="K38" s="2"/>
      <c r="BD38" s="73"/>
    </row>
    <row r="39" spans="1:56">
      <c r="A39" t="s">
        <v>813</v>
      </c>
      <c r="B39" t="s">
        <v>402</v>
      </c>
      <c r="C39" s="56"/>
      <c r="D39" t="s">
        <v>171</v>
      </c>
      <c r="E39" s="422" t="s">
        <v>377</v>
      </c>
      <c r="F39" s="415">
        <v>1000</v>
      </c>
      <c r="G39" t="s">
        <v>53</v>
      </c>
      <c r="H39" s="415">
        <v>-10</v>
      </c>
      <c r="I39" t="s">
        <v>177</v>
      </c>
      <c r="J39" s="415">
        <v>2</v>
      </c>
      <c r="K39" s="36" t="s">
        <v>177</v>
      </c>
      <c r="L39" t="s">
        <v>814</v>
      </c>
      <c r="M39" s="2"/>
    </row>
    <row r="40" spans="1:56">
      <c r="A40" t="s">
        <v>813</v>
      </c>
      <c r="B40" t="s">
        <v>402</v>
      </c>
      <c r="C40" s="418">
        <f>+IF(ISNUMBER(C39*(C70/F39)),(C39*(C70/F39)),"")</f>
        <v>0</v>
      </c>
      <c r="D40" t="s">
        <v>171</v>
      </c>
      <c r="E40" s="422" t="s">
        <v>377</v>
      </c>
      <c r="F40" s="418">
        <f>+C70</f>
        <v>79</v>
      </c>
      <c r="G40" t="s">
        <v>53</v>
      </c>
      <c r="H40" t="s">
        <v>814</v>
      </c>
      <c r="K40" s="2"/>
    </row>
    <row r="41" spans="1:56">
      <c r="A41" t="s">
        <v>114</v>
      </c>
      <c r="B41" t="s">
        <v>815</v>
      </c>
      <c r="C41" s="56"/>
      <c r="D41" t="s">
        <v>816</v>
      </c>
      <c r="F41" s="424">
        <f>+C41/2</f>
        <v>0</v>
      </c>
      <c r="G41" t="s">
        <v>817</v>
      </c>
      <c r="H41" t="s">
        <v>801</v>
      </c>
      <c r="J41" t="s">
        <v>802</v>
      </c>
      <c r="K41" s="2"/>
    </row>
    <row r="42" spans="1:56">
      <c r="A42" t="s">
        <v>813</v>
      </c>
      <c r="B42" t="s">
        <v>631</v>
      </c>
      <c r="C42" s="56"/>
      <c r="D42" t="s">
        <v>171</v>
      </c>
      <c r="E42" s="422" t="s">
        <v>377</v>
      </c>
      <c r="F42" s="415">
        <v>1000</v>
      </c>
      <c r="G42" t="s">
        <v>53</v>
      </c>
      <c r="H42" s="415">
        <v>-10</v>
      </c>
      <c r="I42" t="s">
        <v>177</v>
      </c>
      <c r="J42" s="415">
        <v>2</v>
      </c>
      <c r="K42" s="36" t="s">
        <v>177</v>
      </c>
      <c r="L42" t="s">
        <v>818</v>
      </c>
      <c r="M42" s="2"/>
    </row>
    <row r="43" spans="1:56">
      <c r="A43" t="s">
        <v>813</v>
      </c>
      <c r="B43" t="s">
        <v>631</v>
      </c>
      <c r="C43" s="418">
        <f>+IF(ISNUMBER(C42*(C70/F42)),(C42*(C70/F42)),"")</f>
        <v>0</v>
      </c>
      <c r="D43" t="s">
        <v>171</v>
      </c>
      <c r="E43" s="422" t="s">
        <v>377</v>
      </c>
      <c r="F43" s="418">
        <f>+C70</f>
        <v>79</v>
      </c>
      <c r="G43" t="s">
        <v>53</v>
      </c>
      <c r="H43" t="s">
        <v>818</v>
      </c>
      <c r="M43" s="2"/>
    </row>
    <row r="44" spans="1:56" ht="12">
      <c r="B44" t="s">
        <v>819</v>
      </c>
      <c r="C44" s="55"/>
      <c r="D44" t="s">
        <v>820</v>
      </c>
      <c r="E44" t="s">
        <v>821</v>
      </c>
      <c r="F44" s="55"/>
      <c r="G44" t="s">
        <v>820</v>
      </c>
      <c r="H44" t="s">
        <v>822</v>
      </c>
      <c r="K44" s="2"/>
    </row>
    <row r="45" spans="1:56">
      <c r="B45" t="s">
        <v>823</v>
      </c>
      <c r="C45" s="55"/>
      <c r="D45" t="s">
        <v>824</v>
      </c>
      <c r="E45" t="s">
        <v>825</v>
      </c>
      <c r="F45" s="55"/>
      <c r="G45" t="s">
        <v>824</v>
      </c>
    </row>
    <row r="46" spans="1:56">
      <c r="B46" t="s">
        <v>826</v>
      </c>
      <c r="C46" s="55"/>
      <c r="D46" t="s">
        <v>824</v>
      </c>
      <c r="E46" t="s">
        <v>827</v>
      </c>
      <c r="F46" s="55"/>
      <c r="G46" t="s">
        <v>824</v>
      </c>
    </row>
    <row r="47" spans="1:56">
      <c r="E47" s="422"/>
    </row>
    <row r="48" spans="1:56">
      <c r="B48" t="s">
        <v>828</v>
      </c>
      <c r="C48" s="436" t="s">
        <v>1073</v>
      </c>
      <c r="D48" t="s">
        <v>114</v>
      </c>
    </row>
    <row r="49" spans="1:14">
      <c r="B49" t="s">
        <v>829</v>
      </c>
      <c r="C49" s="436" t="s">
        <v>830</v>
      </c>
      <c r="D49" t="s">
        <v>114</v>
      </c>
    </row>
    <row r="50" spans="1:14">
      <c r="B50" t="s">
        <v>831</v>
      </c>
      <c r="C50" s="436" t="s">
        <v>832</v>
      </c>
      <c r="D50" t="s">
        <v>114</v>
      </c>
    </row>
    <row r="51" spans="1:14">
      <c r="M51" s="1" t="s">
        <v>833</v>
      </c>
    </row>
    <row r="52" spans="1:14" ht="12.75">
      <c r="A52" t="s">
        <v>834</v>
      </c>
      <c r="B52" t="s">
        <v>835</v>
      </c>
      <c r="C52" s="56">
        <v>500</v>
      </c>
      <c r="D52" t="s">
        <v>171</v>
      </c>
      <c r="M52" s="421">
        <v>10</v>
      </c>
      <c r="N52" s="39" t="s">
        <v>836</v>
      </c>
    </row>
    <row r="53" spans="1:14">
      <c r="A53" t="s">
        <v>837</v>
      </c>
      <c r="B53" t="s">
        <v>838</v>
      </c>
      <c r="C53" s="56">
        <v>50</v>
      </c>
      <c r="D53" t="s">
        <v>179</v>
      </c>
    </row>
    <row r="54" spans="1:14">
      <c r="C54" s="3"/>
      <c r="H54" s="5" t="s">
        <v>839</v>
      </c>
      <c r="I54" s="5" t="s">
        <v>840</v>
      </c>
      <c r="J54" s="5" t="s">
        <v>841</v>
      </c>
      <c r="K54" s="5" t="s">
        <v>842</v>
      </c>
      <c r="L54" s="5" t="s">
        <v>843</v>
      </c>
      <c r="M54" s="5" t="s">
        <v>844</v>
      </c>
      <c r="N54" s="5" t="s">
        <v>845</v>
      </c>
    </row>
    <row r="55" spans="1:14" ht="12.75">
      <c r="B55" s="1" t="s">
        <v>456</v>
      </c>
      <c r="C55" s="3"/>
      <c r="H55" s="39"/>
      <c r="I55" s="39" t="s">
        <v>836</v>
      </c>
      <c r="J55" s="39" t="s">
        <v>836</v>
      </c>
      <c r="K55" s="39" t="s">
        <v>292</v>
      </c>
      <c r="L55" s="39" t="s">
        <v>292</v>
      </c>
      <c r="M55" s="39" t="s">
        <v>836</v>
      </c>
      <c r="N55" s="39" t="s">
        <v>292</v>
      </c>
    </row>
    <row r="56" spans="1:14" ht="12.75">
      <c r="B56" t="s">
        <v>846</v>
      </c>
      <c r="C56" s="438" t="s">
        <v>847</v>
      </c>
      <c r="D56" t="s">
        <v>114</v>
      </c>
      <c r="F56" s="421">
        <f>+VLOOKUP(C56,H56:L58,5)</f>
        <v>180</v>
      </c>
      <c r="G56" t="s">
        <v>292</v>
      </c>
      <c r="H56" s="421" t="s">
        <v>299</v>
      </c>
      <c r="I56" s="421">
        <v>10</v>
      </c>
      <c r="J56" s="421">
        <v>80</v>
      </c>
      <c r="K56" s="421">
        <v>40</v>
      </c>
      <c r="L56" s="421">
        <f>+I56+J56+K56</f>
        <v>130</v>
      </c>
      <c r="M56" s="425">
        <f>+L56-K56-I56+M52</f>
        <v>90</v>
      </c>
      <c r="N56" s="425">
        <f>+I56+M56+K56</f>
        <v>140</v>
      </c>
    </row>
    <row r="57" spans="1:14" ht="12.75">
      <c r="B57" t="s">
        <v>848</v>
      </c>
      <c r="C57" s="438" t="s">
        <v>299</v>
      </c>
      <c r="D57" t="s">
        <v>114</v>
      </c>
      <c r="F57" s="421">
        <f>+VLOOKUP(C57,H56:L58,5)</f>
        <v>130</v>
      </c>
      <c r="G57" t="s">
        <v>292</v>
      </c>
      <c r="H57" s="421" t="s">
        <v>849</v>
      </c>
      <c r="I57" s="421">
        <v>10</v>
      </c>
      <c r="J57" s="421">
        <v>105</v>
      </c>
      <c r="K57" s="421">
        <v>40</v>
      </c>
      <c r="L57" s="421">
        <f>+I57+J57+K57</f>
        <v>155</v>
      </c>
      <c r="M57" s="425">
        <f>+L57-K57-I57+M52</f>
        <v>115</v>
      </c>
      <c r="N57" s="425">
        <f>+I57+M57+K57</f>
        <v>165</v>
      </c>
    </row>
    <row r="58" spans="1:14" ht="12.75">
      <c r="B58" t="s">
        <v>850</v>
      </c>
      <c r="C58" s="418">
        <f>+F56-F57</f>
        <v>50</v>
      </c>
      <c r="D58" t="s">
        <v>292</v>
      </c>
      <c r="H58" s="421" t="s">
        <v>847</v>
      </c>
      <c r="I58" s="421">
        <v>15</v>
      </c>
      <c r="J58" s="421">
        <v>125</v>
      </c>
      <c r="K58" s="421">
        <v>40</v>
      </c>
      <c r="L58" s="421">
        <f>+I58+J58+K58</f>
        <v>180</v>
      </c>
      <c r="M58" s="425">
        <f>+L58-K58-I58+M52</f>
        <v>135</v>
      </c>
      <c r="N58" s="425">
        <f t="shared" ref="N58" si="0">+I58+M58+K58</f>
        <v>190</v>
      </c>
    </row>
    <row r="59" spans="1:14" ht="12.75">
      <c r="B59" t="s">
        <v>851</v>
      </c>
      <c r="C59" s="421">
        <f>+VLOOKUP($C$57,$H$56:$M$58,3)</f>
        <v>80</v>
      </c>
      <c r="D59" t="s">
        <v>292</v>
      </c>
    </row>
    <row r="60" spans="1:14" ht="12.75">
      <c r="B60" t="s">
        <v>852</v>
      </c>
      <c r="C60" s="421">
        <f>+VLOOKUP($C$57,$H$56:$M$58,6)</f>
        <v>90</v>
      </c>
      <c r="D60" t="s">
        <v>292</v>
      </c>
    </row>
    <row r="61" spans="1:14">
      <c r="C61" s="3"/>
    </row>
    <row r="62" spans="1:14">
      <c r="B62" s="1" t="s">
        <v>853</v>
      </c>
      <c r="E62" s="1" t="s">
        <v>854</v>
      </c>
    </row>
    <row r="63" spans="1:14">
      <c r="B63" t="s">
        <v>855</v>
      </c>
      <c r="C63" s="55">
        <v>94</v>
      </c>
      <c r="D63" t="s">
        <v>177</v>
      </c>
      <c r="E63" t="s">
        <v>856</v>
      </c>
      <c r="F63" s="55">
        <v>0.95</v>
      </c>
      <c r="G63" t="s">
        <v>114</v>
      </c>
    </row>
    <row r="64" spans="1:14">
      <c r="B64" t="s">
        <v>857</v>
      </c>
      <c r="C64" s="55">
        <v>93</v>
      </c>
      <c r="D64" t="s">
        <v>177</v>
      </c>
      <c r="E64" t="s">
        <v>858</v>
      </c>
      <c r="F64" s="55">
        <v>0.85</v>
      </c>
      <c r="G64" t="s">
        <v>114</v>
      </c>
    </row>
    <row r="65" spans="1:13">
      <c r="B65" t="s">
        <v>859</v>
      </c>
      <c r="C65" s="55">
        <v>92</v>
      </c>
      <c r="D65" t="s">
        <v>177</v>
      </c>
      <c r="E65" t="s">
        <v>860</v>
      </c>
      <c r="F65" s="55">
        <v>0.72</v>
      </c>
      <c r="G65" t="s">
        <v>114</v>
      </c>
    </row>
    <row r="66" spans="1:13">
      <c r="B66" t="s">
        <v>861</v>
      </c>
      <c r="C66" s="55">
        <v>91</v>
      </c>
      <c r="D66" t="s">
        <v>177</v>
      </c>
      <c r="E66" t="s">
        <v>862</v>
      </c>
      <c r="F66" s="55">
        <v>0.6</v>
      </c>
      <c r="G66" t="s">
        <v>114</v>
      </c>
    </row>
    <row r="67" spans="1:13">
      <c r="B67" t="s">
        <v>863</v>
      </c>
      <c r="C67" s="114" t="s">
        <v>64</v>
      </c>
    </row>
    <row r="69" spans="1:13">
      <c r="B69" s="1" t="s">
        <v>864</v>
      </c>
      <c r="E69" t="s">
        <v>1071</v>
      </c>
      <c r="G69" t="s">
        <v>1072</v>
      </c>
      <c r="I69" t="s">
        <v>865</v>
      </c>
      <c r="J69" s="420" t="e">
        <f>+(J28/F28)*100</f>
        <v>#DIV/0!</v>
      </c>
      <c r="K69" t="s">
        <v>177</v>
      </c>
      <c r="L69" s="55">
        <v>157.5</v>
      </c>
      <c r="M69" t="s">
        <v>50</v>
      </c>
    </row>
    <row r="70" spans="1:13">
      <c r="A70" t="s">
        <v>865</v>
      </c>
      <c r="B70" t="s">
        <v>866</v>
      </c>
      <c r="C70" s="56">
        <v>79</v>
      </c>
      <c r="D70" t="s">
        <v>53</v>
      </c>
      <c r="E70" s="421">
        <f>2*PI()*C34</f>
        <v>0</v>
      </c>
      <c r="F70" t="s">
        <v>867</v>
      </c>
      <c r="G70" s="421" t="e">
        <f>+(1000*C32)/C71</f>
        <v>#VALUE!</v>
      </c>
      <c r="H70" t="s">
        <v>867</v>
      </c>
      <c r="I70" t="s">
        <v>868</v>
      </c>
      <c r="J70" s="426">
        <f>+(1000*J28)/G71</f>
        <v>0</v>
      </c>
      <c r="K70" t="s">
        <v>182</v>
      </c>
      <c r="L70" s="426">
        <f>+(1000*L69)/G71</f>
        <v>19038.154585043176</v>
      </c>
      <c r="M70" t="s">
        <v>182</v>
      </c>
    </row>
    <row r="71" spans="1:13">
      <c r="A71" t="s">
        <v>869</v>
      </c>
      <c r="B71" t="s">
        <v>181</v>
      </c>
      <c r="C71" s="112">
        <v>68500</v>
      </c>
      <c r="D71" t="s">
        <v>182</v>
      </c>
      <c r="G71" s="421">
        <f>+IF(ISNUMBER((C70*2*PI()/60)),(C70*2*PI()/60),"")</f>
        <v>8.2728606544531225</v>
      </c>
      <c r="H71" t="s">
        <v>867</v>
      </c>
    </row>
    <row r="72" spans="1:13">
      <c r="A72" t="s">
        <v>870</v>
      </c>
      <c r="B72" t="s">
        <v>871</v>
      </c>
      <c r="C72" s="56">
        <v>110</v>
      </c>
      <c r="D72" t="s">
        <v>177</v>
      </c>
      <c r="E72" s="425">
        <f>+C71*(C72/100)</f>
        <v>75350</v>
      </c>
      <c r="F72" t="s">
        <v>182</v>
      </c>
    </row>
    <row r="73" spans="1:13">
      <c r="A73" t="s">
        <v>872</v>
      </c>
      <c r="B73" t="s">
        <v>873</v>
      </c>
      <c r="C73" s="56">
        <v>130</v>
      </c>
      <c r="D73" t="s">
        <v>177</v>
      </c>
      <c r="E73" s="425">
        <f>+C71*(C73/100)</f>
        <v>89050</v>
      </c>
      <c r="F73" t="s">
        <v>182</v>
      </c>
      <c r="K73" s="3"/>
      <c r="M73" s="2"/>
    </row>
    <row r="74" spans="1:13">
      <c r="B74" t="s">
        <v>874</v>
      </c>
      <c r="C74" s="436" t="s">
        <v>875</v>
      </c>
      <c r="D74" t="s">
        <v>114</v>
      </c>
      <c r="E74" t="s">
        <v>876</v>
      </c>
    </row>
    <row r="75" spans="1:13">
      <c r="A75" t="s">
        <v>877</v>
      </c>
      <c r="B75" t="s">
        <v>878</v>
      </c>
      <c r="C75" s="55" t="s">
        <v>0</v>
      </c>
      <c r="D75" t="s">
        <v>230</v>
      </c>
    </row>
    <row r="76" spans="1:13">
      <c r="B76" t="s">
        <v>879</v>
      </c>
      <c r="C76" s="112" t="s">
        <v>0</v>
      </c>
      <c r="D76" t="s">
        <v>880</v>
      </c>
    </row>
    <row r="77" spans="1:13">
      <c r="B77" t="s">
        <v>881</v>
      </c>
      <c r="C77" s="113" t="s">
        <v>0</v>
      </c>
      <c r="D77" t="s">
        <v>880</v>
      </c>
    </row>
    <row r="79" spans="1:13">
      <c r="B79" s="1" t="s">
        <v>882</v>
      </c>
    </row>
    <row r="80" spans="1:13">
      <c r="B80" t="s">
        <v>185</v>
      </c>
      <c r="C80" s="118" t="s">
        <v>0</v>
      </c>
    </row>
    <row r="81" spans="2:4">
      <c r="B81" t="s">
        <v>883</v>
      </c>
      <c r="C81" s="118" t="s">
        <v>0</v>
      </c>
      <c r="D81" t="s">
        <v>884</v>
      </c>
    </row>
    <row r="82" spans="2:4">
      <c r="B82" t="s">
        <v>885</v>
      </c>
      <c r="C82" s="118" t="s">
        <v>0</v>
      </c>
    </row>
    <row r="83" spans="2:4">
      <c r="B83" t="s">
        <v>886</v>
      </c>
      <c r="C83" s="118" t="s">
        <v>64</v>
      </c>
    </row>
    <row r="84" spans="2:4">
      <c r="B84" t="s">
        <v>887</v>
      </c>
      <c r="C84" s="118" t="s">
        <v>888</v>
      </c>
    </row>
    <row r="85" spans="2:4">
      <c r="B85" t="s">
        <v>889</v>
      </c>
      <c r="C85" s="118" t="s">
        <v>890</v>
      </c>
    </row>
    <row r="86" spans="2:4">
      <c r="B86" t="s">
        <v>891</v>
      </c>
      <c r="C86" s="118" t="s">
        <v>892</v>
      </c>
    </row>
    <row r="87" spans="2:4">
      <c r="B87" t="s">
        <v>893</v>
      </c>
      <c r="C87" s="118" t="s">
        <v>894</v>
      </c>
    </row>
    <row r="89" spans="2:4">
      <c r="B89" s="1" t="s">
        <v>895</v>
      </c>
    </row>
    <row r="90" spans="2:4">
      <c r="B90" t="s">
        <v>896</v>
      </c>
      <c r="C90" s="117" t="s">
        <v>897</v>
      </c>
    </row>
    <row r="91" spans="2:4">
      <c r="B91" t="s">
        <v>898</v>
      </c>
      <c r="C91" s="117" t="s">
        <v>897</v>
      </c>
    </row>
    <row r="94" spans="2:4">
      <c r="B94" s="1" t="s">
        <v>899</v>
      </c>
    </row>
    <row r="95" spans="2:4">
      <c r="B95" t="s">
        <v>900</v>
      </c>
      <c r="C95" s="56" t="s">
        <v>0</v>
      </c>
    </row>
    <row r="96" spans="2:4">
      <c r="B96" t="s">
        <v>901</v>
      </c>
      <c r="C96" s="56" t="s">
        <v>0</v>
      </c>
    </row>
    <row r="97" spans="2:4">
      <c r="B97" t="s">
        <v>902</v>
      </c>
      <c r="C97" s="56" t="s">
        <v>0</v>
      </c>
    </row>
    <row r="98" spans="2:4">
      <c r="B98" t="s">
        <v>903</v>
      </c>
      <c r="C98" s="57" t="s">
        <v>0</v>
      </c>
    </row>
    <row r="99" spans="2:4">
      <c r="B99" t="s">
        <v>904</v>
      </c>
      <c r="C99" s="55" t="s">
        <v>0</v>
      </c>
    </row>
    <row r="100" spans="2:4">
      <c r="B100" t="s">
        <v>905</v>
      </c>
      <c r="C100" s="55" t="s">
        <v>0</v>
      </c>
    </row>
    <row r="101" spans="2:4">
      <c r="B101" t="s">
        <v>903</v>
      </c>
      <c r="C101" s="57" t="s">
        <v>0</v>
      </c>
    </row>
    <row r="102" spans="2:4">
      <c r="B102" t="s">
        <v>218</v>
      </c>
      <c r="C102" s="56" t="s">
        <v>0</v>
      </c>
    </row>
    <row r="103" spans="2:4">
      <c r="B103" t="s">
        <v>906</v>
      </c>
      <c r="C103" s="56" t="s">
        <v>0</v>
      </c>
    </row>
    <row r="104" spans="2:4">
      <c r="B104" t="s">
        <v>907</v>
      </c>
      <c r="C104" s="56" t="s">
        <v>0</v>
      </c>
      <c r="D104" t="s">
        <v>908</v>
      </c>
    </row>
    <row r="105" spans="2:4">
      <c r="B105" t="s">
        <v>909</v>
      </c>
      <c r="C105" s="55" t="s">
        <v>0</v>
      </c>
      <c r="D105" t="s">
        <v>908</v>
      </c>
    </row>
    <row r="106" spans="2:4">
      <c r="B106" t="s">
        <v>220</v>
      </c>
      <c r="C106" s="55" t="s">
        <v>0</v>
      </c>
    </row>
    <row r="107" spans="2:4">
      <c r="C107"/>
    </row>
    <row r="108" spans="2:4">
      <c r="B108" s="1" t="s">
        <v>910</v>
      </c>
    </row>
    <row r="109" spans="2:4">
      <c r="B109" t="s">
        <v>911</v>
      </c>
      <c r="C109" s="55">
        <v>1.5</v>
      </c>
      <c r="D109" t="s">
        <v>912</v>
      </c>
    </row>
    <row r="110" spans="2:4">
      <c r="B110" t="s">
        <v>913</v>
      </c>
      <c r="C110" s="114" t="s">
        <v>299</v>
      </c>
      <c r="D110" t="s">
        <v>114</v>
      </c>
    </row>
    <row r="111" spans="2:4">
      <c r="B111" t="s">
        <v>1088</v>
      </c>
      <c r="C111" s="114">
        <v>78</v>
      </c>
      <c r="D111" t="s">
        <v>592</v>
      </c>
    </row>
    <row r="112" spans="2:4">
      <c r="B112" s="1"/>
    </row>
    <row r="113" spans="2:6">
      <c r="B113" s="1" t="s">
        <v>914</v>
      </c>
      <c r="C113"/>
    </row>
    <row r="114" spans="2:6">
      <c r="B114" t="s">
        <v>915</v>
      </c>
      <c r="C114" s="431" t="s">
        <v>916</v>
      </c>
    </row>
    <row r="115" spans="2:6">
      <c r="B115" t="s">
        <v>917</v>
      </c>
      <c r="C115" s="431" t="s">
        <v>916</v>
      </c>
    </row>
    <row r="117" spans="2:6">
      <c r="B117" s="1" t="s">
        <v>918</v>
      </c>
    </row>
    <row r="118" spans="2:6">
      <c r="B118" t="s">
        <v>919</v>
      </c>
      <c r="C118" s="118" t="s">
        <v>920</v>
      </c>
      <c r="E118" t="s">
        <v>1075</v>
      </c>
      <c r="F118" t="s">
        <v>1076</v>
      </c>
    </row>
    <row r="119" spans="2:6">
      <c r="B119" t="s">
        <v>921</v>
      </c>
      <c r="C119" s="119">
        <v>3.6</v>
      </c>
      <c r="D119" t="s">
        <v>697</v>
      </c>
    </row>
    <row r="120" spans="2:6">
      <c r="B120" t="s">
        <v>922</v>
      </c>
      <c r="C120" s="118">
        <v>6</v>
      </c>
      <c r="D120" t="s">
        <v>697</v>
      </c>
    </row>
    <row r="122" spans="2:6">
      <c r="B122" s="1" t="s">
        <v>271</v>
      </c>
    </row>
    <row r="124" spans="2:6">
      <c r="B124" s="1" t="s">
        <v>923</v>
      </c>
    </row>
    <row r="125" spans="2:6">
      <c r="B125" t="s">
        <v>924</v>
      </c>
      <c r="C125" s="114" t="s">
        <v>925</v>
      </c>
    </row>
    <row r="126" spans="2:6">
      <c r="B126" t="s">
        <v>187</v>
      </c>
      <c r="C126" s="114" t="s">
        <v>0</v>
      </c>
    </row>
    <row r="127" spans="2:6">
      <c r="B127" t="s">
        <v>926</v>
      </c>
      <c r="C127" s="120" t="s">
        <v>0</v>
      </c>
    </row>
    <row r="128" spans="2:6">
      <c r="B128" t="s">
        <v>927</v>
      </c>
      <c r="C128" s="56">
        <v>500</v>
      </c>
      <c r="D128" t="s">
        <v>171</v>
      </c>
    </row>
    <row r="129" spans="2:12">
      <c r="B129" t="s">
        <v>928</v>
      </c>
      <c r="C129" s="55" t="s">
        <v>0</v>
      </c>
      <c r="D129" t="s">
        <v>173</v>
      </c>
    </row>
    <row r="130" spans="2:12">
      <c r="B130" t="s">
        <v>929</v>
      </c>
      <c r="C130" s="56" t="s">
        <v>0</v>
      </c>
      <c r="D130" t="s">
        <v>293</v>
      </c>
    </row>
    <row r="132" spans="2:12">
      <c r="B132" s="1" t="s">
        <v>930</v>
      </c>
    </row>
    <row r="133" spans="2:12">
      <c r="B133" t="s">
        <v>931</v>
      </c>
      <c r="C133" s="55" t="s">
        <v>0</v>
      </c>
    </row>
    <row r="134" spans="2:12">
      <c r="B134" t="s">
        <v>932</v>
      </c>
      <c r="C134" s="56" t="s">
        <v>0</v>
      </c>
      <c r="D134" t="s">
        <v>171</v>
      </c>
    </row>
    <row r="135" spans="2:12">
      <c r="B135" t="s">
        <v>933</v>
      </c>
      <c r="C135" s="56" t="s">
        <v>0</v>
      </c>
      <c r="D135" t="s">
        <v>293</v>
      </c>
    </row>
    <row r="136" spans="2:12">
      <c r="B136" s="1"/>
    </row>
    <row r="137" spans="2:12">
      <c r="B137" s="1" t="s">
        <v>635</v>
      </c>
      <c r="C137" s="1" t="s">
        <v>934</v>
      </c>
    </row>
    <row r="138" spans="2:12">
      <c r="B138" t="s">
        <v>935</v>
      </c>
      <c r="C138" s="55" t="s">
        <v>936</v>
      </c>
      <c r="F138" s="1"/>
    </row>
    <row r="139" spans="2:12">
      <c r="B139" t="s">
        <v>937</v>
      </c>
      <c r="C139" s="55" t="s">
        <v>936</v>
      </c>
      <c r="F139" s="1"/>
    </row>
    <row r="140" spans="2:12">
      <c r="B140" s="1"/>
      <c r="C140" s="1"/>
      <c r="F140" s="1"/>
    </row>
    <row r="141" spans="2:12">
      <c r="B141" s="1"/>
      <c r="C141" s="1"/>
      <c r="F141" s="1" t="s">
        <v>938</v>
      </c>
    </row>
    <row r="142" spans="2:12" ht="14.25">
      <c r="B142" t="s">
        <v>939</v>
      </c>
      <c r="C142" s="57">
        <v>145</v>
      </c>
      <c r="D142" t="s">
        <v>292</v>
      </c>
      <c r="E142" t="s">
        <v>940</v>
      </c>
      <c r="F142" s="421" t="str">
        <f>+VLOOKUP(C142,$J$145:$L$162,3,FALSE)</f>
        <v>black-white</v>
      </c>
      <c r="G142" t="s">
        <v>941</v>
      </c>
      <c r="J142" s="1" t="s">
        <v>1068</v>
      </c>
    </row>
    <row r="143" spans="2:12" ht="14.25">
      <c r="B143" t="s">
        <v>942</v>
      </c>
      <c r="C143" s="421">
        <f>+C142</f>
        <v>145</v>
      </c>
      <c r="D143" t="s">
        <v>292</v>
      </c>
      <c r="E143" t="s">
        <v>940</v>
      </c>
      <c r="F143" s="421" t="str">
        <f>+VLOOKUP(C143,$J$145:$L$162,3,FALSE)</f>
        <v>black-white</v>
      </c>
      <c r="G143" t="s">
        <v>941</v>
      </c>
    </row>
    <row r="144" spans="2:12" ht="12.75">
      <c r="B144" t="s">
        <v>943</v>
      </c>
      <c r="C144" s="415">
        <v>15</v>
      </c>
      <c r="D144" t="s">
        <v>292</v>
      </c>
      <c r="E144" t="s">
        <v>944</v>
      </c>
      <c r="J144" s="5" t="s">
        <v>945</v>
      </c>
      <c r="K144" s="5"/>
      <c r="L144" s="5" t="s">
        <v>946</v>
      </c>
    </row>
    <row r="145" spans="2:15" ht="14.25">
      <c r="B145" t="s">
        <v>947</v>
      </c>
      <c r="C145" s="421">
        <f>+C142-C144</f>
        <v>130</v>
      </c>
      <c r="D145" t="s">
        <v>292</v>
      </c>
      <c r="E145" t="s">
        <v>940</v>
      </c>
      <c r="F145" s="421" t="str">
        <f>+VLOOKUP(C145,$J$145:$L$162,3,FALSE)</f>
        <v>blue-blue</v>
      </c>
      <c r="G145" t="s">
        <v>948</v>
      </c>
      <c r="J145" s="39">
        <v>60</v>
      </c>
      <c r="K145" s="39"/>
      <c r="L145" s="427" t="s">
        <v>949</v>
      </c>
    </row>
    <row r="146" spans="2:15" ht="14.25">
      <c r="B146" t="s">
        <v>950</v>
      </c>
      <c r="C146" s="421">
        <f>+C143-C144</f>
        <v>130</v>
      </c>
      <c r="D146" t="s">
        <v>292</v>
      </c>
      <c r="E146" t="s">
        <v>940</v>
      </c>
      <c r="F146" s="421" t="str">
        <f>+VLOOKUP(C146,$J$145:$L$162,3,FALSE)</f>
        <v>blue-blue</v>
      </c>
      <c r="G146" t="s">
        <v>948</v>
      </c>
      <c r="J146" s="39">
        <v>70</v>
      </c>
      <c r="K146" s="39"/>
      <c r="L146" s="427" t="s">
        <v>951</v>
      </c>
      <c r="M146" s="1"/>
    </row>
    <row r="147" spans="2:15" ht="12">
      <c r="J147" s="39">
        <v>80</v>
      </c>
      <c r="K147" s="39"/>
      <c r="L147" s="427" t="s">
        <v>952</v>
      </c>
      <c r="M147" s="419"/>
    </row>
    <row r="148" spans="2:15" ht="13.5">
      <c r="C148" s="37" t="s">
        <v>953</v>
      </c>
      <c r="D148" s="38" t="s">
        <v>954</v>
      </c>
      <c r="E148" s="1" t="s">
        <v>955</v>
      </c>
      <c r="F148" s="1" t="s">
        <v>343</v>
      </c>
      <c r="G148" s="1" t="s">
        <v>344</v>
      </c>
      <c r="H148" s="1"/>
      <c r="I148" s="1"/>
      <c r="J148" s="39">
        <v>90</v>
      </c>
      <c r="K148" s="39"/>
      <c r="L148" s="427" t="s">
        <v>956</v>
      </c>
      <c r="M148" s="419"/>
      <c r="N148" s="1"/>
    </row>
    <row r="149" spans="2:15" ht="13.5">
      <c r="B149" t="s">
        <v>351</v>
      </c>
      <c r="C149" s="418">
        <v>25</v>
      </c>
      <c r="D149" s="418">
        <v>25</v>
      </c>
      <c r="E149" s="421">
        <v>0.2</v>
      </c>
      <c r="F149" s="425">
        <v>100</v>
      </c>
      <c r="G149" s="425">
        <f t="shared" ref="G149:G154" si="1">+F149*3</f>
        <v>300</v>
      </c>
      <c r="J149" s="39">
        <v>95</v>
      </c>
      <c r="K149" s="39"/>
      <c r="L149" s="427" t="s">
        <v>957</v>
      </c>
      <c r="M149" s="419"/>
      <c r="O149" s="419"/>
    </row>
    <row r="150" spans="2:15" ht="13.5">
      <c r="B150" t="s">
        <v>352</v>
      </c>
      <c r="C150" s="418">
        <v>25</v>
      </c>
      <c r="D150" s="418">
        <v>25</v>
      </c>
      <c r="E150" s="421">
        <v>0.2</v>
      </c>
      <c r="F150" s="425">
        <v>250</v>
      </c>
      <c r="G150" s="425">
        <f t="shared" si="1"/>
        <v>750</v>
      </c>
      <c r="J150" s="39">
        <v>100</v>
      </c>
      <c r="K150" s="39"/>
      <c r="L150" s="427" t="s">
        <v>958</v>
      </c>
      <c r="M150" s="419"/>
      <c r="O150" s="419"/>
    </row>
    <row r="151" spans="2:15" ht="14.25">
      <c r="B151" t="s">
        <v>345</v>
      </c>
      <c r="C151" s="418">
        <f>+C142-5</f>
        <v>140</v>
      </c>
      <c r="D151" s="418">
        <f>+C145-5</f>
        <v>125</v>
      </c>
      <c r="E151" s="421">
        <v>2.5</v>
      </c>
      <c r="F151" s="425">
        <v>250</v>
      </c>
      <c r="G151" s="425">
        <f t="shared" si="1"/>
        <v>750</v>
      </c>
      <c r="J151" s="39">
        <v>110</v>
      </c>
      <c r="K151" s="39"/>
      <c r="L151" s="427" t="s">
        <v>959</v>
      </c>
      <c r="M151" s="419"/>
      <c r="O151" s="419"/>
    </row>
    <row r="152" spans="2:15" ht="14.25">
      <c r="B152" t="s">
        <v>960</v>
      </c>
      <c r="C152" s="418">
        <f>+C142</f>
        <v>145</v>
      </c>
      <c r="D152" s="418">
        <f>+C145</f>
        <v>130</v>
      </c>
      <c r="E152" s="421">
        <v>2.5</v>
      </c>
      <c r="F152" s="425">
        <v>1000</v>
      </c>
      <c r="G152" s="425">
        <f t="shared" si="1"/>
        <v>3000</v>
      </c>
      <c r="J152" s="39">
        <v>115</v>
      </c>
      <c r="K152" s="39"/>
      <c r="L152" s="427" t="s">
        <v>961</v>
      </c>
      <c r="M152" s="419"/>
      <c r="O152" s="419"/>
    </row>
    <row r="153" spans="2:15" ht="14.25">
      <c r="B153" t="s">
        <v>347</v>
      </c>
      <c r="C153" s="418">
        <f>+C142+5</f>
        <v>150</v>
      </c>
      <c r="D153" s="418">
        <f>+C145+5</f>
        <v>135</v>
      </c>
      <c r="E153" s="421">
        <v>2.5</v>
      </c>
      <c r="F153" s="425">
        <v>1330</v>
      </c>
      <c r="G153" s="425">
        <f t="shared" si="1"/>
        <v>3990</v>
      </c>
      <c r="J153" s="39">
        <v>120</v>
      </c>
      <c r="K153" s="39"/>
      <c r="L153" s="427" t="s">
        <v>962</v>
      </c>
      <c r="M153" s="419"/>
      <c r="O153" s="419"/>
    </row>
    <row r="154" spans="2:15" ht="14.25">
      <c r="B154" t="s">
        <v>348</v>
      </c>
      <c r="C154" s="418">
        <f>+C142+10</f>
        <v>155</v>
      </c>
      <c r="D154" s="418">
        <f>+C146+15</f>
        <v>145</v>
      </c>
      <c r="E154" s="421">
        <v>7.5</v>
      </c>
      <c r="F154" s="425">
        <v>4000</v>
      </c>
      <c r="G154" s="425">
        <f t="shared" si="1"/>
        <v>12000</v>
      </c>
      <c r="J154" s="39">
        <v>125</v>
      </c>
      <c r="K154" s="39"/>
      <c r="L154" s="427" t="s">
        <v>963</v>
      </c>
      <c r="O154" s="419"/>
    </row>
    <row r="155" spans="2:15" ht="12">
      <c r="E155" s="419"/>
      <c r="G155" s="419"/>
      <c r="J155" s="39">
        <v>130</v>
      </c>
      <c r="K155" s="39"/>
      <c r="L155" s="427" t="s">
        <v>964</v>
      </c>
      <c r="O155" s="419"/>
    </row>
    <row r="156" spans="2:15">
      <c r="B156" s="1" t="s">
        <v>965</v>
      </c>
      <c r="J156" s="39">
        <v>140</v>
      </c>
      <c r="K156" s="39"/>
      <c r="L156" s="427" t="s">
        <v>966</v>
      </c>
    </row>
    <row r="157" spans="2:15">
      <c r="J157" s="39">
        <v>145</v>
      </c>
      <c r="K157" s="39"/>
      <c r="L157" s="427" t="s">
        <v>967</v>
      </c>
    </row>
    <row r="158" spans="2:15">
      <c r="B158" s="1" t="s">
        <v>968</v>
      </c>
      <c r="C158"/>
      <c r="J158" s="39">
        <v>150</v>
      </c>
      <c r="K158" s="39"/>
      <c r="L158" s="427" t="s">
        <v>969</v>
      </c>
    </row>
    <row r="159" spans="2:15">
      <c r="B159" t="s">
        <v>970</v>
      </c>
      <c r="C159" s="55" t="s">
        <v>1087</v>
      </c>
      <c r="J159" s="39">
        <v>155</v>
      </c>
      <c r="K159" s="39"/>
      <c r="L159" s="427" t="s">
        <v>972</v>
      </c>
    </row>
    <row r="160" spans="2:15">
      <c r="B160" t="s">
        <v>973</v>
      </c>
      <c r="C160" s="55" t="s">
        <v>1087</v>
      </c>
      <c r="J160" s="39">
        <v>160</v>
      </c>
      <c r="K160" s="39"/>
      <c r="L160" s="427" t="s">
        <v>974</v>
      </c>
    </row>
    <row r="161" spans="2:12">
      <c r="J161" s="39">
        <v>170</v>
      </c>
      <c r="K161" s="39"/>
      <c r="L161" s="427" t="s">
        <v>975</v>
      </c>
    </row>
    <row r="162" spans="2:12">
      <c r="B162" s="1" t="s">
        <v>976</v>
      </c>
      <c r="J162" s="39">
        <v>180</v>
      </c>
      <c r="K162" s="39"/>
      <c r="L162" s="427" t="s">
        <v>977</v>
      </c>
    </row>
    <row r="163" spans="2:12">
      <c r="B163" t="s">
        <v>978</v>
      </c>
      <c r="C163" s="55" t="s">
        <v>971</v>
      </c>
    </row>
    <row r="164" spans="2:12">
      <c r="B164" t="s">
        <v>979</v>
      </c>
      <c r="C164" s="55" t="s">
        <v>971</v>
      </c>
    </row>
    <row r="165" spans="2:12">
      <c r="B165" t="s">
        <v>980</v>
      </c>
      <c r="C165" s="55" t="s">
        <v>971</v>
      </c>
    </row>
    <row r="166" spans="2:12">
      <c r="B166" t="s">
        <v>981</v>
      </c>
      <c r="C166" s="55" t="s">
        <v>971</v>
      </c>
    </row>
    <row r="169" spans="2:12">
      <c r="B169" s="1" t="s">
        <v>982</v>
      </c>
    </row>
    <row r="170" spans="2:12">
      <c r="B170" t="s">
        <v>983</v>
      </c>
      <c r="C170" s="431" t="s">
        <v>916</v>
      </c>
    </row>
    <row r="172" spans="2:12">
      <c r="B172" s="1" t="s">
        <v>984</v>
      </c>
    </row>
    <row r="173" spans="2:12">
      <c r="B173" t="s">
        <v>985</v>
      </c>
      <c r="C173" s="55" t="s">
        <v>986</v>
      </c>
    </row>
    <row r="174" spans="2:12">
      <c r="B174" t="s">
        <v>987</v>
      </c>
      <c r="C174" s="430" t="s">
        <v>988</v>
      </c>
    </row>
    <row r="175" spans="2:12">
      <c r="B175" t="s">
        <v>989</v>
      </c>
      <c r="C175" s="431" t="s">
        <v>990</v>
      </c>
    </row>
    <row r="178" spans="2:5">
      <c r="B178" s="1" t="s">
        <v>634</v>
      </c>
    </row>
    <row r="179" spans="2:5">
      <c r="B179" t="s">
        <v>991</v>
      </c>
      <c r="C179" s="432" t="s">
        <v>0</v>
      </c>
      <c r="D179" t="s">
        <v>114</v>
      </c>
    </row>
    <row r="180" spans="2:5">
      <c r="B180" t="s">
        <v>992</v>
      </c>
      <c r="C180" s="432" t="s">
        <v>0</v>
      </c>
      <c r="D180" t="s">
        <v>114</v>
      </c>
    </row>
    <row r="181" spans="2:5">
      <c r="B181" t="s">
        <v>993</v>
      </c>
      <c r="C181" s="433" t="s">
        <v>0</v>
      </c>
      <c r="D181" t="s">
        <v>114</v>
      </c>
    </row>
    <row r="182" spans="2:5">
      <c r="B182" t="s">
        <v>994</v>
      </c>
      <c r="C182" s="434" t="s">
        <v>0</v>
      </c>
      <c r="D182" t="s">
        <v>114</v>
      </c>
    </row>
    <row r="183" spans="2:5">
      <c r="B183" t="s">
        <v>995</v>
      </c>
      <c r="C183" s="432" t="s">
        <v>0</v>
      </c>
      <c r="D183" t="s">
        <v>114</v>
      </c>
    </row>
    <row r="184" spans="2:5" ht="12.75">
      <c r="B184" t="s">
        <v>996</v>
      </c>
      <c r="C184" s="432" t="s">
        <v>0</v>
      </c>
      <c r="D184" t="s">
        <v>292</v>
      </c>
    </row>
    <row r="185" spans="2:5" ht="12.75">
      <c r="B185" t="s">
        <v>997</v>
      </c>
      <c r="C185" s="433" t="s">
        <v>0</v>
      </c>
      <c r="D185" t="s">
        <v>292</v>
      </c>
      <c r="E185" t="s">
        <v>0</v>
      </c>
    </row>
    <row r="186" spans="2:5">
      <c r="B186" t="s">
        <v>998</v>
      </c>
      <c r="C186" s="434" t="s">
        <v>0</v>
      </c>
      <c r="D186" t="s">
        <v>114</v>
      </c>
      <c r="E186" t="s">
        <v>0</v>
      </c>
    </row>
    <row r="187" spans="2:5">
      <c r="B187" t="s">
        <v>999</v>
      </c>
      <c r="C187" s="432" t="s">
        <v>0</v>
      </c>
      <c r="D187" t="s">
        <v>114</v>
      </c>
    </row>
    <row r="188" spans="2:5">
      <c r="B188" t="s">
        <v>1074</v>
      </c>
      <c r="C188" s="432" t="s">
        <v>0</v>
      </c>
      <c r="D188" t="s">
        <v>114</v>
      </c>
    </row>
    <row r="190" spans="2:5">
      <c r="B190" s="1" t="s">
        <v>1065</v>
      </c>
    </row>
    <row r="191" spans="2:5">
      <c r="B191" t="s">
        <v>1066</v>
      </c>
      <c r="C191" s="431" t="b">
        <v>1</v>
      </c>
    </row>
    <row r="193" spans="2:18">
      <c r="B193" t="s">
        <v>1067</v>
      </c>
      <c r="C193" s="129">
        <v>40</v>
      </c>
    </row>
    <row r="195" spans="2:18">
      <c r="B195" s="1" t="s">
        <v>1000</v>
      </c>
      <c r="C195" s="1" t="s">
        <v>1001</v>
      </c>
      <c r="D195" s="1"/>
      <c r="E195" s="1"/>
    </row>
    <row r="196" spans="2:18" ht="12.75">
      <c r="B196" t="s">
        <v>1002</v>
      </c>
      <c r="C196" s="415">
        <v>20</v>
      </c>
      <c r="D196" s="428" t="s">
        <v>292</v>
      </c>
      <c r="E196" t="s">
        <v>1003</v>
      </c>
      <c r="F196" t="s">
        <v>822</v>
      </c>
    </row>
    <row r="197" spans="2:18" ht="12.75">
      <c r="B197" t="s">
        <v>1004</v>
      </c>
      <c r="C197" s="421">
        <f>+VLOOKUP($C$57,$H$56:$M$58,3)</f>
        <v>80</v>
      </c>
      <c r="D197" s="428" t="s">
        <v>292</v>
      </c>
      <c r="E197" t="s">
        <v>1005</v>
      </c>
      <c r="F197" t="s">
        <v>1006</v>
      </c>
    </row>
    <row r="198" spans="2:18" ht="12.75">
      <c r="B198" t="s">
        <v>1007</v>
      </c>
      <c r="C198" s="421">
        <f>+VLOOKUP($C$57,$H$56:$M$58,6)</f>
        <v>90</v>
      </c>
      <c r="D198" s="428" t="s">
        <v>292</v>
      </c>
      <c r="E198" t="s">
        <v>1008</v>
      </c>
      <c r="F198" t="s">
        <v>1006</v>
      </c>
    </row>
    <row r="199" spans="2:18">
      <c r="B199" s="2" t="str">
        <f>[1]Tolerance!B2</f>
        <v>Tolerance Resistance measurement cold</v>
      </c>
      <c r="C199" s="415">
        <v>5</v>
      </c>
      <c r="D199" t="str">
        <f>[1]Tolerance!D2</f>
        <v>%</v>
      </c>
      <c r="F199" t="s">
        <v>1009</v>
      </c>
    </row>
    <row r="200" spans="2:18">
      <c r="B200" s="2" t="str">
        <f>[1]Tolerance!B4</f>
        <v>Tolerance Resistance measurement hot</v>
      </c>
      <c r="C200" s="415">
        <v>10</v>
      </c>
      <c r="D200" t="str">
        <f>[1]Tolerance!D4</f>
        <v>%</v>
      </c>
      <c r="F200" t="s">
        <v>1010</v>
      </c>
    </row>
    <row r="202" spans="2:18">
      <c r="B202" s="2"/>
      <c r="C202"/>
    </row>
    <row r="203" spans="2:18">
      <c r="B203" s="2"/>
      <c r="C203"/>
    </row>
    <row r="204" spans="2:18" ht="17.25">
      <c r="B204" s="2"/>
      <c r="C204"/>
      <c r="R204" s="429"/>
    </row>
    <row r="207" spans="2:18">
      <c r="B207">
        <f>[1]Tolerance!A7</f>
        <v>0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7B56-F6AA-4998-8692-94DA6B5E2F10}">
  <sheetPr>
    <pageSetUpPr fitToPage="1"/>
  </sheetPr>
  <dimension ref="A4:O36"/>
  <sheetViews>
    <sheetView showGridLines="0" showWhiteSpace="0" view="pageLayout" zoomScaleNormal="100" workbookViewId="0">
      <selection activeCell="A31" sqref="A31"/>
    </sheetView>
  </sheetViews>
  <sheetFormatPr defaultColWidth="9" defaultRowHeight="11.25"/>
  <cols>
    <col min="1" max="1" width="16" customWidth="1"/>
    <col min="2" max="2" width="14.25" customWidth="1"/>
    <col min="3" max="3" width="10.125" customWidth="1"/>
    <col min="4" max="5" width="6.375" customWidth="1"/>
    <col min="6" max="6" width="9.5" customWidth="1"/>
    <col min="7" max="8" width="6.375" customWidth="1"/>
    <col min="9" max="9" width="10.125" customWidth="1"/>
    <col min="10" max="10" width="6.375" customWidth="1"/>
    <col min="11" max="11" width="11.625" customWidth="1"/>
    <col min="12" max="12" width="6.375" customWidth="1"/>
    <col min="13" max="13" width="10.75" customWidth="1"/>
    <col min="14" max="14" width="11.875" customWidth="1"/>
    <col min="15" max="17" width="6.375" customWidth="1"/>
    <col min="18" max="18" width="6.125" customWidth="1"/>
  </cols>
  <sheetData>
    <row r="4" spans="1:14">
      <c r="A4" s="440" t="s">
        <v>1027</v>
      </c>
      <c r="F4" s="1" t="s">
        <v>1023</v>
      </c>
    </row>
    <row r="5" spans="1:14">
      <c r="G5" s="1"/>
      <c r="H5" s="1"/>
      <c r="I5" s="1"/>
    </row>
    <row r="6" spans="1:14" ht="12">
      <c r="A6" s="441" t="s">
        <v>1019</v>
      </c>
      <c r="B6" s="425">
        <f>IF(ISBLANK(C6),'Specification machine'!$C$71,C6)</f>
        <v>68500</v>
      </c>
      <c r="C6" s="406"/>
      <c r="D6" t="s">
        <v>182</v>
      </c>
      <c r="F6" s="442" t="s">
        <v>1024</v>
      </c>
      <c r="G6" s="442" t="s">
        <v>49</v>
      </c>
      <c r="H6" s="442" t="s">
        <v>52</v>
      </c>
      <c r="I6" s="442" t="s">
        <v>52</v>
      </c>
      <c r="J6" s="442" t="s">
        <v>52</v>
      </c>
      <c r="K6" s="442" t="s">
        <v>1019</v>
      </c>
      <c r="M6" s="443" t="s">
        <v>1029</v>
      </c>
      <c r="N6" s="443" t="s">
        <v>1029</v>
      </c>
    </row>
    <row r="7" spans="1:14">
      <c r="A7" s="444" t="s">
        <v>52</v>
      </c>
      <c r="B7" s="425">
        <f>IF(ISBLANK(C7),'Specification machine'!$C$70,C7)</f>
        <v>79</v>
      </c>
      <c r="C7" s="407"/>
      <c r="D7" t="s">
        <v>53</v>
      </c>
      <c r="F7" s="441" t="s">
        <v>470</v>
      </c>
      <c r="G7" s="441" t="s">
        <v>50</v>
      </c>
      <c r="H7" s="441" t="s">
        <v>179</v>
      </c>
      <c r="I7" s="441" t="s">
        <v>53</v>
      </c>
      <c r="J7" s="441" t="s">
        <v>397</v>
      </c>
      <c r="K7" s="441" t="s">
        <v>182</v>
      </c>
      <c r="M7" s="39" t="s">
        <v>177</v>
      </c>
      <c r="N7" s="39" t="s">
        <v>177</v>
      </c>
    </row>
    <row r="8" spans="1:14">
      <c r="A8" s="441" t="s">
        <v>1011</v>
      </c>
      <c r="B8" s="425">
        <f>IF(ISBLANK(C8),'Specification machine'!$C$41,C8)</f>
        <v>0</v>
      </c>
      <c r="C8" s="408"/>
      <c r="D8" t="s">
        <v>816</v>
      </c>
      <c r="F8" s="441">
        <v>25</v>
      </c>
      <c r="G8" s="445">
        <f>+K8*J8/1000</f>
        <v>141.67273870750972</v>
      </c>
      <c r="H8" s="441">
        <f>+($B$8*$B$7)/120</f>
        <v>0</v>
      </c>
      <c r="I8" s="445">
        <f>+$B$7</f>
        <v>79</v>
      </c>
      <c r="J8" s="441">
        <f>+I8*2*PI()/60</f>
        <v>8.2728606544531225</v>
      </c>
      <c r="K8" s="446">
        <f>+$B$6*(F8/100)</f>
        <v>17125</v>
      </c>
      <c r="M8" s="53">
        <f>IF(ISBLANK(N8),'Specification machine'!C66,N8)</f>
        <v>91</v>
      </c>
      <c r="N8" s="410"/>
    </row>
    <row r="9" spans="1:14">
      <c r="A9" s="441" t="s">
        <v>617</v>
      </c>
      <c r="B9" s="425">
        <f>IF(ISBLANK(C9),'Specification machine'!$C$37,C9)</f>
        <v>0</v>
      </c>
      <c r="C9" s="408"/>
      <c r="D9" t="s">
        <v>173</v>
      </c>
      <c r="F9" s="441">
        <v>50</v>
      </c>
      <c r="G9" s="445">
        <f>+K9*J9/1000</f>
        <v>283.34547741501945</v>
      </c>
      <c r="H9" s="441">
        <f>+($B$8*$B$7)/120</f>
        <v>0</v>
      </c>
      <c r="I9" s="445">
        <f>+$B$7</f>
        <v>79</v>
      </c>
      <c r="J9" s="441">
        <f t="shared" ref="J9:J12" si="0">+I9*2*PI()/60</f>
        <v>8.2728606544531225</v>
      </c>
      <c r="K9" s="446">
        <f>+$B$6*(F9/100)</f>
        <v>34250</v>
      </c>
      <c r="M9" s="53">
        <f>IF(ISBLANK(N9),'Specification machine'!C65,N9)</f>
        <v>92</v>
      </c>
      <c r="N9" s="410"/>
    </row>
    <row r="10" spans="1:14">
      <c r="F10" s="441">
        <v>75</v>
      </c>
      <c r="G10" s="445">
        <f>+K10*J10/1000</f>
        <v>425.01821612252917</v>
      </c>
      <c r="H10" s="441">
        <f>+($B$8*$B$7)/120</f>
        <v>0</v>
      </c>
      <c r="I10" s="445">
        <f>+$B$7</f>
        <v>79</v>
      </c>
      <c r="J10" s="441">
        <f t="shared" si="0"/>
        <v>8.2728606544531225</v>
      </c>
      <c r="K10" s="446">
        <f>+$B$6*(F10/100)</f>
        <v>51375</v>
      </c>
      <c r="M10" s="53">
        <f>IF(ISBLANK(N10),'Specification machine'!C64,N10)</f>
        <v>93</v>
      </c>
      <c r="N10" s="410"/>
    </row>
    <row r="11" spans="1:14">
      <c r="F11" s="441">
        <v>100</v>
      </c>
      <c r="G11" s="445">
        <f>+K11*J11/1000</f>
        <v>566.69095483003889</v>
      </c>
      <c r="H11" s="441">
        <f>+($B$8*$B$7)/120</f>
        <v>0</v>
      </c>
      <c r="I11" s="445">
        <f>+$B$7</f>
        <v>79</v>
      </c>
      <c r="J11" s="441">
        <f t="shared" si="0"/>
        <v>8.2728606544531225</v>
      </c>
      <c r="K11" s="446">
        <f>+$B$6*(F11/100)</f>
        <v>68500</v>
      </c>
      <c r="M11" s="53">
        <f>IF(ISBLANK(N11),'Specification machine'!C63,N11)</f>
        <v>94</v>
      </c>
      <c r="N11" s="410"/>
    </row>
    <row r="12" spans="1:14">
      <c r="F12" s="441">
        <v>110</v>
      </c>
      <c r="G12" s="445">
        <f>+K12*J12/1000</f>
        <v>623.36005031304285</v>
      </c>
      <c r="H12" s="441">
        <f>+($B$8*$B$7)/120</f>
        <v>0</v>
      </c>
      <c r="I12" s="445">
        <f>+$B$7</f>
        <v>79</v>
      </c>
      <c r="J12" s="441">
        <f t="shared" si="0"/>
        <v>8.2728606544531225</v>
      </c>
      <c r="K12" s="446">
        <f>+$B$6*(F12/100)</f>
        <v>75350</v>
      </c>
      <c r="M12" s="53">
        <f>IF(ISBLANK(N12),'Specification machine'!C64,N12)</f>
        <v>93</v>
      </c>
      <c r="N12" s="410"/>
    </row>
    <row r="14" spans="1:14">
      <c r="A14" s="440" t="s">
        <v>1028</v>
      </c>
    </row>
    <row r="15" spans="1:14">
      <c r="F15" s="1" t="s">
        <v>1022</v>
      </c>
      <c r="G15" s="1"/>
      <c r="H15" s="1"/>
      <c r="I15" s="1"/>
    </row>
    <row r="16" spans="1:14">
      <c r="A16" s="39" t="s">
        <v>1019</v>
      </c>
      <c r="B16" s="425">
        <f>IF(ISBLANK(C16),'Specification machine'!$C$71,C16)</f>
        <v>68500</v>
      </c>
      <c r="C16" s="112"/>
      <c r="D16" t="s">
        <v>182</v>
      </c>
    </row>
    <row r="17" spans="1:14">
      <c r="A17" s="39" t="s">
        <v>52</v>
      </c>
      <c r="B17" s="425">
        <f>IF(ISBLANK(C17),'Specification machine'!$C$70,C17)</f>
        <v>79</v>
      </c>
      <c r="C17" s="112"/>
      <c r="D17" t="s">
        <v>53</v>
      </c>
    </row>
    <row r="18" spans="1:14">
      <c r="A18" t="s">
        <v>1025</v>
      </c>
      <c r="C18" s="426">
        <f>+B16*(B17*PI()/30000)</f>
        <v>566.69095483003889</v>
      </c>
      <c r="D18" t="s">
        <v>50</v>
      </c>
    </row>
    <row r="19" spans="1:14" ht="12">
      <c r="F19" s="442" t="s">
        <v>1024</v>
      </c>
      <c r="G19" s="442" t="s">
        <v>49</v>
      </c>
      <c r="H19" s="442" t="s">
        <v>52</v>
      </c>
      <c r="I19" s="442" t="s">
        <v>52</v>
      </c>
      <c r="J19" s="442" t="s">
        <v>52</v>
      </c>
      <c r="K19" s="442" t="s">
        <v>1019</v>
      </c>
      <c r="M19" s="443" t="s">
        <v>1029</v>
      </c>
      <c r="N19" s="443" t="s">
        <v>1029</v>
      </c>
    </row>
    <row r="20" spans="1:14">
      <c r="A20" s="5" t="s">
        <v>1020</v>
      </c>
      <c r="B20" s="5" t="s">
        <v>1021</v>
      </c>
      <c r="F20" s="444" t="s">
        <v>470</v>
      </c>
      <c r="G20" s="441" t="s">
        <v>50</v>
      </c>
      <c r="H20" s="441" t="s">
        <v>179</v>
      </c>
      <c r="I20" s="441" t="s">
        <v>53</v>
      </c>
      <c r="J20" s="441" t="s">
        <v>397</v>
      </c>
      <c r="K20" s="441" t="s">
        <v>182</v>
      </c>
      <c r="M20" s="39" t="s">
        <v>177</v>
      </c>
      <c r="N20" s="39" t="s">
        <v>177</v>
      </c>
    </row>
    <row r="21" spans="1:14">
      <c r="A21" s="112">
        <v>12150</v>
      </c>
      <c r="B21" s="409">
        <v>22.3</v>
      </c>
      <c r="F21" s="447">
        <f>(+G21/$C$18)*100</f>
        <v>5.006837290954449</v>
      </c>
      <c r="G21" s="445">
        <f>+K21*J21/1000</f>
        <v>28.373294050896217</v>
      </c>
      <c r="H21" s="441">
        <f>+($B21*$B$8)/120</f>
        <v>0</v>
      </c>
      <c r="I21" s="445">
        <f>+B21</f>
        <v>22.3</v>
      </c>
      <c r="J21" s="441">
        <f>+I21*2*PI()/60</f>
        <v>2.3352505391684129</v>
      </c>
      <c r="K21" s="448">
        <f>+A21</f>
        <v>12150</v>
      </c>
      <c r="M21" s="53">
        <f>IF(ISBLANK(N21),IF(F21&lt;25,'Specification machine'!$C$66-(F21*(('Specification machine'!$C$63-'Specification machine'!$C$66)/100)),F21*('Specification machine'!$C$63-'Specification machine'!$C$66)/100+'Specification machine'!$C$66),N21)</f>
        <v>90.849794881271364</v>
      </c>
      <c r="N21" s="410"/>
    </row>
    <row r="22" spans="1:14">
      <c r="A22" s="112">
        <v>25300</v>
      </c>
      <c r="B22" s="409">
        <v>39.9</v>
      </c>
      <c r="F22" s="447">
        <f>(+G22/$C$18)*100</f>
        <v>18.654162431858079</v>
      </c>
      <c r="G22" s="445">
        <f>+K22*J22/1000</f>
        <v>105.71145120064295</v>
      </c>
      <c r="H22" s="441">
        <f t="shared" ref="H22:H25" si="1">+($B22*$B$8)/120</f>
        <v>0</v>
      </c>
      <c r="I22" s="445">
        <f>+B22</f>
        <v>39.9</v>
      </c>
      <c r="J22" s="441">
        <f>+I22*2*PI()/60</f>
        <v>4.1783182292744252</v>
      </c>
      <c r="K22" s="448">
        <f>+A22</f>
        <v>25300</v>
      </c>
      <c r="M22" s="53">
        <f>IF(ISBLANK(N22),IF(F22&lt;25,'Specification machine'!$C$66-(F22*(('Specification machine'!$C$63-'Specification machine'!$C$66)/100)),F22*('Specification machine'!$C$63-'Specification machine'!$C$66)/100+'Specification machine'!$C$66),N22)</f>
        <v>90.440375127044263</v>
      </c>
      <c r="N22" s="410"/>
    </row>
    <row r="23" spans="1:14">
      <c r="A23" s="112">
        <v>33800</v>
      </c>
      <c r="B23" s="409">
        <v>49.9</v>
      </c>
      <c r="F23" s="447">
        <f>(+G23/$C$18)*100</f>
        <v>31.16732883673658</v>
      </c>
      <c r="G23" s="445">
        <f>+K23*J23/1000</f>
        <v>176.62243337992058</v>
      </c>
      <c r="H23" s="441">
        <f t="shared" si="1"/>
        <v>0</v>
      </c>
      <c r="I23" s="445">
        <f>+B23</f>
        <v>49.9</v>
      </c>
      <c r="J23" s="441">
        <f>+I23*2*PI()/60</f>
        <v>5.2255157804710226</v>
      </c>
      <c r="K23" s="448">
        <f>+A23</f>
        <v>33800</v>
      </c>
      <c r="M23" s="53">
        <f>IF(ISBLANK(N23),IF(F23&lt;25,'Specification machine'!$C$66-(F23*(('Specification machine'!$C$63-'Specification machine'!$C$66)/100)),F23*('Specification machine'!$C$63-'Specification machine'!$C$66)/100+'Specification machine'!$C$66),N23)</f>
        <v>91.935019865102092</v>
      </c>
      <c r="N23" s="410"/>
    </row>
    <row r="24" spans="1:14">
      <c r="A24" s="112">
        <v>49500</v>
      </c>
      <c r="B24" s="409">
        <v>59.9</v>
      </c>
      <c r="F24" s="447">
        <f>(+G24/$C$18)*100</f>
        <v>54.791647417536723</v>
      </c>
      <c r="G24" s="445">
        <f>+K24*J24/1000</f>
        <v>310.49930991754724</v>
      </c>
      <c r="H24" s="441">
        <f t="shared" si="1"/>
        <v>0</v>
      </c>
      <c r="I24" s="445">
        <f>+B24</f>
        <v>59.9</v>
      </c>
      <c r="J24" s="441">
        <f>+I24*2*PI()/60</f>
        <v>6.27271333166762</v>
      </c>
      <c r="K24" s="448">
        <f>+A24</f>
        <v>49500</v>
      </c>
      <c r="M24" s="53">
        <f>IF(ISBLANK(N24),IF(F24&lt;25,'Specification machine'!$C$66-(F24*(('Specification machine'!$C$63-'Specification machine'!$C$66)/100)),F24*('Specification machine'!$C$63-'Specification machine'!$C$66)/100+'Specification machine'!$C$66),N24)</f>
        <v>92.643749422526099</v>
      </c>
      <c r="N24" s="410"/>
    </row>
    <row r="25" spans="1:14">
      <c r="A25" s="112">
        <v>68500</v>
      </c>
      <c r="B25" s="409">
        <v>79</v>
      </c>
      <c r="F25" s="447">
        <f>(+G25/$C$18)*100</f>
        <v>100</v>
      </c>
      <c r="G25" s="445">
        <f>+K25*J25/1000</f>
        <v>566.69095483003889</v>
      </c>
      <c r="H25" s="441">
        <f t="shared" si="1"/>
        <v>0</v>
      </c>
      <c r="I25" s="445">
        <f>+B25</f>
        <v>79</v>
      </c>
      <c r="J25" s="441">
        <f>+I25*2*PI()/60</f>
        <v>8.2728606544531225</v>
      </c>
      <c r="K25" s="448">
        <f>+A25</f>
        <v>68500</v>
      </c>
      <c r="M25" s="53">
        <f>IF(ISBLANK(N25),IF(F25&lt;25,'Specification machine'!$C$66-(F25*(('Specification machine'!$C$63-'Specification machine'!$C$66)/100)),F25*('Specification machine'!$C$63-'Specification machine'!$C$66)/100+'Specification machine'!$C$66),N25)</f>
        <v>94</v>
      </c>
      <c r="N25" s="410"/>
    </row>
    <row r="27" spans="1:14">
      <c r="A27" s="440" t="s">
        <v>1026</v>
      </c>
    </row>
    <row r="28" spans="1:14">
      <c r="G28" s="1"/>
      <c r="I28" s="1"/>
      <c r="L28" s="2"/>
      <c r="M28" s="1"/>
    </row>
    <row r="29" spans="1:14">
      <c r="A29" s="39" t="s">
        <v>170</v>
      </c>
      <c r="B29" s="425">
        <f>IF(ISBLANK(C29),'Specification machine'!$C$33,C29)</f>
        <v>500</v>
      </c>
      <c r="C29" s="112"/>
      <c r="D29" t="s">
        <v>171</v>
      </c>
    </row>
    <row r="33" spans="1:15">
      <c r="A33" s="1" t="s">
        <v>1012</v>
      </c>
      <c r="C33" s="1" t="s">
        <v>1013</v>
      </c>
      <c r="F33" s="1" t="s">
        <v>1014</v>
      </c>
      <c r="I33" s="1" t="s">
        <v>1015</v>
      </c>
      <c r="K33" s="2"/>
      <c r="L33" s="1" t="s">
        <v>1016</v>
      </c>
      <c r="N33" s="1" t="s">
        <v>1017</v>
      </c>
    </row>
    <row r="34" spans="1:15">
      <c r="A34" t="s">
        <v>1018</v>
      </c>
      <c r="C34" t="s">
        <v>1018</v>
      </c>
      <c r="F34" t="s">
        <v>1018</v>
      </c>
      <c r="I34" t="s">
        <v>1018</v>
      </c>
      <c r="L34" t="s">
        <v>1018</v>
      </c>
      <c r="N34" t="s">
        <v>1018</v>
      </c>
    </row>
    <row r="35" spans="1:15">
      <c r="A35" s="415"/>
      <c r="B35" t="s">
        <v>177</v>
      </c>
      <c r="C35" s="415">
        <v>80</v>
      </c>
      <c r="D35" t="s">
        <v>177</v>
      </c>
      <c r="F35" s="415">
        <v>90</v>
      </c>
      <c r="G35" t="s">
        <v>177</v>
      </c>
      <c r="I35" s="415">
        <v>100</v>
      </c>
      <c r="J35" t="s">
        <v>177</v>
      </c>
      <c r="L35" s="415">
        <v>110</v>
      </c>
      <c r="M35" t="s">
        <v>177</v>
      </c>
      <c r="N35" s="423"/>
      <c r="O35" t="s">
        <v>177</v>
      </c>
    </row>
    <row r="36" spans="1:15">
      <c r="A36" s="421" t="str">
        <f>+IF(ISBLANK(A35),"",$B$29*(A35/100))</f>
        <v/>
      </c>
      <c r="B36" t="s">
        <v>171</v>
      </c>
      <c r="C36" s="421">
        <f>+IF(ISBLANK(C35),"",$B$29*(C35/100))</f>
        <v>400</v>
      </c>
      <c r="D36" t="s">
        <v>171</v>
      </c>
      <c r="F36" s="421">
        <f>+IF(ISBLANK(F35),"",$B$29*(F35/100))</f>
        <v>450</v>
      </c>
      <c r="G36" t="s">
        <v>171</v>
      </c>
      <c r="I36" s="421">
        <f>+IF(ISBLANK(I35),"",$B$29*(I35/100))</f>
        <v>500</v>
      </c>
      <c r="J36" t="s">
        <v>171</v>
      </c>
      <c r="L36" s="421">
        <f>+IF(ISBLANK(L35),"",$B$29*(L35/100))</f>
        <v>550</v>
      </c>
      <c r="M36" t="s">
        <v>171</v>
      </c>
      <c r="N36" s="421" t="str">
        <f>+IF(ISBLANK(N35),"",$B$29*(N35/100))</f>
        <v/>
      </c>
      <c r="O36" t="s">
        <v>171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ignoredErrors>
    <ignoredError sqref="M11" formula="1"/>
  </ignoredErrors>
  <legacyDrawingHF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EBD1-C644-4C30-84DB-45A3BD6404AE}">
  <dimension ref="B1:C41"/>
  <sheetViews>
    <sheetView tabSelected="1" topLeftCell="A7" zoomScale="130" zoomScaleNormal="130" workbookViewId="0">
      <selection activeCell="E13" sqref="E13"/>
    </sheetView>
  </sheetViews>
  <sheetFormatPr defaultRowHeight="11.25"/>
  <cols>
    <col min="1" max="1" width="4.125" style="36" customWidth="1"/>
    <col min="2" max="2" width="7.625" style="36" customWidth="1"/>
    <col min="3" max="3" width="82.625" style="36" customWidth="1"/>
    <col min="4" max="16384" width="9" style="36"/>
  </cols>
  <sheetData>
    <row r="1" spans="2:3">
      <c r="B1" s="38" t="s">
        <v>1039</v>
      </c>
    </row>
    <row r="3" spans="2:3">
      <c r="B3" s="38" t="s">
        <v>6</v>
      </c>
      <c r="C3" s="38" t="s">
        <v>7</v>
      </c>
    </row>
    <row r="5" spans="2:3">
      <c r="B5" s="36" t="s">
        <v>1052</v>
      </c>
      <c r="C5" s="38" t="s">
        <v>1050</v>
      </c>
    </row>
    <row r="6" spans="2:3">
      <c r="C6" s="36" t="s">
        <v>1045</v>
      </c>
    </row>
    <row r="7" spans="2:3">
      <c r="C7" s="36" t="s">
        <v>1048</v>
      </c>
    </row>
    <row r="8" spans="2:3">
      <c r="C8" s="36" t="s">
        <v>1049</v>
      </c>
    </row>
    <row r="10" spans="2:3">
      <c r="C10" s="36" t="s">
        <v>1046</v>
      </c>
    </row>
    <row r="11" spans="2:3">
      <c r="C11" s="36" t="s">
        <v>1063</v>
      </c>
    </row>
    <row r="12" spans="2:3">
      <c r="C12" s="36" t="s">
        <v>1047</v>
      </c>
    </row>
    <row r="14" spans="2:3" ht="12.75">
      <c r="B14" s="36" t="s">
        <v>1053</v>
      </c>
      <c r="C14" s="412" t="s">
        <v>1041</v>
      </c>
    </row>
    <row r="15" spans="2:3" ht="12.75">
      <c r="C15" s="413" t="s">
        <v>1042</v>
      </c>
    </row>
    <row r="16" spans="2:3" ht="12.75">
      <c r="C16" s="413" t="s">
        <v>1094</v>
      </c>
    </row>
    <row r="17" spans="2:3">
      <c r="C17" s="36" t="s">
        <v>1092</v>
      </c>
    </row>
    <row r="18" spans="2:3" ht="12.75">
      <c r="C18" s="413" t="s">
        <v>1064</v>
      </c>
    </row>
    <row r="19" spans="2:3" ht="12.75">
      <c r="C19" s="413" t="s">
        <v>1093</v>
      </c>
    </row>
    <row r="20" spans="2:3" ht="12.75">
      <c r="C20" s="414" t="s">
        <v>1043</v>
      </c>
    </row>
    <row r="21" spans="2:3">
      <c r="B21" s="36" t="s">
        <v>1054</v>
      </c>
      <c r="C21" s="38" t="s">
        <v>1044</v>
      </c>
    </row>
    <row r="22" spans="2:3">
      <c r="C22" s="483" t="s">
        <v>1040</v>
      </c>
    </row>
    <row r="23" spans="2:3">
      <c r="C23" s="484"/>
    </row>
    <row r="24" spans="2:3">
      <c r="C24" s="484"/>
    </row>
    <row r="26" spans="2:3">
      <c r="B26" s="36" t="s">
        <v>1055</v>
      </c>
      <c r="C26" s="38" t="s">
        <v>1051</v>
      </c>
    </row>
    <row r="27" spans="2:3">
      <c r="C27" s="36" t="s">
        <v>1091</v>
      </c>
    </row>
    <row r="29" spans="2:3">
      <c r="B29" s="36" t="s">
        <v>1056</v>
      </c>
      <c r="C29" s="38" t="s">
        <v>1086</v>
      </c>
    </row>
    <row r="31" spans="2:3">
      <c r="B31" s="36" t="s">
        <v>1057</v>
      </c>
      <c r="C31" s="36" t="s">
        <v>1059</v>
      </c>
    </row>
    <row r="32" spans="2:3">
      <c r="B32" s="36" t="s">
        <v>1058</v>
      </c>
      <c r="C32" s="36" t="s">
        <v>1060</v>
      </c>
    </row>
    <row r="33" spans="2:3">
      <c r="C33" s="36" t="s">
        <v>1062</v>
      </c>
    </row>
    <row r="34" spans="2:3">
      <c r="C34" s="36" t="s">
        <v>1061</v>
      </c>
    </row>
    <row r="35" spans="2:3">
      <c r="B35" s="36" t="s">
        <v>1077</v>
      </c>
      <c r="C35" s="36" t="s">
        <v>1078</v>
      </c>
    </row>
    <row r="36" spans="2:3">
      <c r="B36" s="36" t="s">
        <v>1079</v>
      </c>
      <c r="C36" s="439" t="s">
        <v>1080</v>
      </c>
    </row>
    <row r="37" spans="2:3">
      <c r="C37" s="439" t="s">
        <v>1081</v>
      </c>
    </row>
    <row r="38" spans="2:3">
      <c r="C38" s="439" t="s">
        <v>1082</v>
      </c>
    </row>
    <row r="39" spans="2:3">
      <c r="B39" s="36" t="s">
        <v>1083</v>
      </c>
      <c r="C39" s="36" t="s">
        <v>1084</v>
      </c>
    </row>
    <row r="40" spans="2:3">
      <c r="C40" s="36" t="s">
        <v>1085</v>
      </c>
    </row>
    <row r="41" spans="2:3">
      <c r="B41" s="36" t="s">
        <v>1089</v>
      </c>
      <c r="C41" s="36" t="s">
        <v>1090</v>
      </c>
    </row>
  </sheetData>
  <sheetProtection sheet="1" objects="1" scenarios="1"/>
  <mergeCells count="1">
    <mergeCell ref="C22:C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75D9-B7BB-48F6-A90A-6A25217BA155}">
  <sheetPr codeName="Blad1">
    <pageSetUpPr fitToPage="1"/>
  </sheetPr>
  <dimension ref="A5:H36"/>
  <sheetViews>
    <sheetView showGridLines="0" showRuler="0" view="pageLayout" topLeftCell="A2" zoomScaleNormal="66" workbookViewId="0">
      <selection activeCell="E34" sqref="E34"/>
    </sheetView>
  </sheetViews>
  <sheetFormatPr defaultRowHeight="11.25"/>
  <cols>
    <col min="2" max="2" width="52.375" customWidth="1"/>
    <col min="3" max="3" width="12.25" customWidth="1"/>
    <col min="4" max="4" width="11.625" customWidth="1"/>
    <col min="5" max="5" width="10.75" customWidth="1"/>
    <col min="6" max="6" width="27.5" customWidth="1"/>
    <col min="7" max="7" width="23.875" customWidth="1"/>
    <col min="8" max="8" width="0" hidden="1" customWidth="1"/>
    <col min="15" max="15" width="21.375" customWidth="1"/>
    <col min="16" max="16" width="9.5" customWidth="1"/>
  </cols>
  <sheetData>
    <row r="5" spans="1:8" ht="13.5" customHeight="1"/>
    <row r="6" spans="1:8" ht="23.25">
      <c r="B6" s="68"/>
      <c r="C6" s="323" t="s">
        <v>83</v>
      </c>
      <c r="D6" s="323" t="s">
        <v>84</v>
      </c>
      <c r="E6" s="324" t="s">
        <v>85</v>
      </c>
      <c r="F6" s="323" t="s">
        <v>86</v>
      </c>
      <c r="H6" s="70" t="s">
        <v>87</v>
      </c>
    </row>
    <row r="7" spans="1:8" ht="15">
      <c r="A7" s="65" t="s">
        <v>88</v>
      </c>
      <c r="B7" s="72" t="s">
        <v>89</v>
      </c>
      <c r="C7" s="67" t="s">
        <v>17</v>
      </c>
      <c r="D7" s="67" t="s">
        <v>17</v>
      </c>
      <c r="E7" s="47" t="s">
        <v>90</v>
      </c>
      <c r="F7" s="66">
        <v>1</v>
      </c>
      <c r="G7" s="65"/>
      <c r="H7" s="65" t="s">
        <v>91</v>
      </c>
    </row>
    <row r="8" spans="1:8" ht="15">
      <c r="A8" s="65" t="s">
        <v>92</v>
      </c>
      <c r="B8" s="72" t="s">
        <v>93</v>
      </c>
      <c r="C8" s="67" t="s">
        <v>17</v>
      </c>
      <c r="D8" s="67" t="s">
        <v>17</v>
      </c>
      <c r="E8" s="47" t="s">
        <v>90</v>
      </c>
      <c r="F8" s="66">
        <v>2</v>
      </c>
      <c r="G8" s="65"/>
      <c r="H8" s="65" t="s">
        <v>94</v>
      </c>
    </row>
    <row r="9" spans="1:8" ht="15">
      <c r="A9" s="65" t="s">
        <v>95</v>
      </c>
      <c r="B9" s="72" t="s">
        <v>96</v>
      </c>
      <c r="C9" s="67" t="s">
        <v>17</v>
      </c>
      <c r="D9" s="67" t="s">
        <v>17</v>
      </c>
      <c r="E9" s="47" t="s">
        <v>90</v>
      </c>
      <c r="F9" s="66">
        <v>3</v>
      </c>
      <c r="G9" s="65"/>
      <c r="H9" s="65" t="s">
        <v>97</v>
      </c>
    </row>
    <row r="10" spans="1:8" ht="15">
      <c r="A10" s="65" t="s">
        <v>98</v>
      </c>
      <c r="B10" s="72" t="s">
        <v>99</v>
      </c>
      <c r="C10" s="67" t="s">
        <v>17</v>
      </c>
      <c r="D10" s="67" t="s">
        <v>17</v>
      </c>
      <c r="E10" s="47" t="s">
        <v>90</v>
      </c>
      <c r="F10" s="66">
        <v>4</v>
      </c>
      <c r="G10" s="65"/>
      <c r="H10" s="65" t="s">
        <v>100</v>
      </c>
    </row>
    <row r="11" spans="1:8" ht="15">
      <c r="A11" s="65" t="s">
        <v>101</v>
      </c>
      <c r="B11" s="72" t="s">
        <v>102</v>
      </c>
      <c r="C11" s="67" t="s">
        <v>17</v>
      </c>
      <c r="D11" s="67" t="s">
        <v>17</v>
      </c>
      <c r="E11" s="47" t="s">
        <v>90</v>
      </c>
      <c r="F11" s="66">
        <v>5</v>
      </c>
      <c r="G11" s="65"/>
      <c r="H11" s="65" t="s">
        <v>100</v>
      </c>
    </row>
    <row r="12" spans="1:8" ht="15">
      <c r="A12" s="65" t="s">
        <v>103</v>
      </c>
      <c r="B12" s="72" t="s">
        <v>104</v>
      </c>
      <c r="C12" s="67" t="s">
        <v>17</v>
      </c>
      <c r="D12" s="67" t="s">
        <v>17</v>
      </c>
      <c r="E12" s="47" t="s">
        <v>90</v>
      </c>
      <c r="F12" s="66">
        <v>6</v>
      </c>
      <c r="G12" s="65"/>
      <c r="H12" s="65" t="s">
        <v>105</v>
      </c>
    </row>
    <row r="13" spans="1:8" ht="15">
      <c r="A13" s="65" t="s">
        <v>106</v>
      </c>
      <c r="B13" s="72" t="s">
        <v>107</v>
      </c>
      <c r="C13" s="67" t="s">
        <v>17</v>
      </c>
      <c r="D13" s="67" t="s">
        <v>17</v>
      </c>
      <c r="E13" s="47" t="s">
        <v>90</v>
      </c>
      <c r="F13" s="66">
        <v>7</v>
      </c>
      <c r="G13" s="65"/>
      <c r="H13" s="65" t="s">
        <v>108</v>
      </c>
    </row>
    <row r="14" spans="1:8" ht="15">
      <c r="A14" s="65" t="s">
        <v>109</v>
      </c>
      <c r="B14" s="72" t="s">
        <v>110</v>
      </c>
      <c r="C14" s="67" t="s">
        <v>17</v>
      </c>
      <c r="D14" s="67" t="s">
        <v>17</v>
      </c>
      <c r="E14" s="47" t="s">
        <v>90</v>
      </c>
      <c r="F14" s="66">
        <v>8</v>
      </c>
      <c r="G14" s="65"/>
      <c r="H14" s="65" t="s">
        <v>111</v>
      </c>
    </row>
    <row r="15" spans="1:8" ht="15">
      <c r="A15" s="65" t="s">
        <v>112</v>
      </c>
      <c r="B15" s="72" t="s">
        <v>113</v>
      </c>
      <c r="C15" s="67" t="s">
        <v>114</v>
      </c>
      <c r="D15" s="67" t="s">
        <v>17</v>
      </c>
      <c r="E15" s="47" t="s">
        <v>114</v>
      </c>
      <c r="F15" s="66">
        <v>9</v>
      </c>
      <c r="G15" s="65" t="s">
        <v>115</v>
      </c>
      <c r="H15" s="65" t="s">
        <v>116</v>
      </c>
    </row>
    <row r="16" spans="1:8" ht="15">
      <c r="A16" s="65" t="s">
        <v>117</v>
      </c>
      <c r="B16" s="72" t="s">
        <v>118</v>
      </c>
      <c r="C16" s="67" t="s">
        <v>17</v>
      </c>
      <c r="D16" s="67" t="s">
        <v>17</v>
      </c>
      <c r="E16" s="47" t="s">
        <v>90</v>
      </c>
      <c r="F16" s="66">
        <v>10</v>
      </c>
      <c r="G16" s="65"/>
      <c r="H16" s="65" t="s">
        <v>119</v>
      </c>
    </row>
    <row r="17" spans="1:8" ht="15">
      <c r="A17" s="65" t="s">
        <v>120</v>
      </c>
      <c r="B17" s="72" t="s">
        <v>121</v>
      </c>
      <c r="C17" s="67" t="s">
        <v>17</v>
      </c>
      <c r="D17" s="67" t="s">
        <v>17</v>
      </c>
      <c r="E17" s="47" t="s">
        <v>90</v>
      </c>
      <c r="F17" s="66">
        <v>11</v>
      </c>
      <c r="G17" s="65"/>
      <c r="H17" s="65" t="s">
        <v>122</v>
      </c>
    </row>
    <row r="18" spans="1:8" ht="15">
      <c r="A18" s="65" t="s">
        <v>123</v>
      </c>
      <c r="B18" s="72" t="s">
        <v>124</v>
      </c>
      <c r="C18" s="67" t="s">
        <v>17</v>
      </c>
      <c r="D18" s="67" t="s">
        <v>17</v>
      </c>
      <c r="E18" s="47" t="s">
        <v>90</v>
      </c>
      <c r="F18" s="66">
        <v>12</v>
      </c>
      <c r="G18" s="65"/>
      <c r="H18" s="65" t="s">
        <v>125</v>
      </c>
    </row>
    <row r="19" spans="1:8" ht="15">
      <c r="A19" s="65" t="s">
        <v>126</v>
      </c>
      <c r="B19" s="72" t="s">
        <v>127</v>
      </c>
      <c r="C19" s="67" t="s">
        <v>17</v>
      </c>
      <c r="D19" s="67" t="s">
        <v>17</v>
      </c>
      <c r="E19" s="47" t="s">
        <v>90</v>
      </c>
      <c r="F19" s="66">
        <v>13</v>
      </c>
      <c r="G19" s="65"/>
      <c r="H19" s="65" t="s">
        <v>128</v>
      </c>
    </row>
    <row r="20" spans="1:8" ht="15">
      <c r="A20" s="65" t="s">
        <v>129</v>
      </c>
      <c r="B20" s="72" t="s">
        <v>130</v>
      </c>
      <c r="C20" s="67" t="s">
        <v>17</v>
      </c>
      <c r="D20" s="67" t="s">
        <v>17</v>
      </c>
      <c r="E20" s="47" t="s">
        <v>90</v>
      </c>
      <c r="F20" s="66">
        <v>14</v>
      </c>
      <c r="G20" s="65"/>
      <c r="H20" s="65" t="s">
        <v>131</v>
      </c>
    </row>
    <row r="21" spans="1:8" ht="15">
      <c r="A21" s="65" t="s">
        <v>132</v>
      </c>
      <c r="B21" s="72" t="s">
        <v>133</v>
      </c>
      <c r="C21" s="67" t="s">
        <v>17</v>
      </c>
      <c r="D21" s="67" t="s">
        <v>17</v>
      </c>
      <c r="E21" s="47" t="s">
        <v>90</v>
      </c>
      <c r="F21" s="66">
        <v>15</v>
      </c>
      <c r="G21" s="65"/>
      <c r="H21" s="65" t="s">
        <v>134</v>
      </c>
    </row>
    <row r="22" spans="1:8" ht="15">
      <c r="A22" s="65" t="s">
        <v>135</v>
      </c>
      <c r="B22" s="72" t="s">
        <v>136</v>
      </c>
      <c r="C22" s="67" t="s">
        <v>17</v>
      </c>
      <c r="D22" s="67" t="s">
        <v>17</v>
      </c>
      <c r="E22" s="47" t="s">
        <v>90</v>
      </c>
      <c r="F22" s="66">
        <v>16</v>
      </c>
      <c r="G22" s="65"/>
      <c r="H22" s="65" t="s">
        <v>137</v>
      </c>
    </row>
    <row r="23" spans="1:8" ht="15">
      <c r="A23" s="65" t="s">
        <v>138</v>
      </c>
      <c r="B23" s="72" t="s">
        <v>139</v>
      </c>
      <c r="C23" s="67" t="s">
        <v>17</v>
      </c>
      <c r="D23" s="67" t="s">
        <v>17</v>
      </c>
      <c r="E23" s="47" t="s">
        <v>90</v>
      </c>
      <c r="F23" s="66">
        <v>17</v>
      </c>
      <c r="G23" s="65"/>
      <c r="H23" s="65" t="s">
        <v>140</v>
      </c>
    </row>
    <row r="24" spans="1:8" ht="15">
      <c r="A24" s="65" t="s">
        <v>141</v>
      </c>
      <c r="B24" s="72" t="s">
        <v>142</v>
      </c>
      <c r="C24" s="67" t="s">
        <v>17</v>
      </c>
      <c r="D24" s="67" t="s">
        <v>17</v>
      </c>
      <c r="E24" s="47" t="s">
        <v>90</v>
      </c>
      <c r="F24" s="66">
        <v>18</v>
      </c>
      <c r="G24" s="65"/>
      <c r="H24" s="65" t="s">
        <v>143</v>
      </c>
    </row>
    <row r="25" spans="1:8" ht="15">
      <c r="A25" s="65" t="s">
        <v>144</v>
      </c>
      <c r="B25" s="72" t="s">
        <v>145</v>
      </c>
      <c r="C25" s="67" t="s">
        <v>17</v>
      </c>
      <c r="D25" s="67" t="s">
        <v>114</v>
      </c>
      <c r="E25" s="47" t="s">
        <v>90</v>
      </c>
      <c r="F25" s="66">
        <v>19</v>
      </c>
      <c r="G25" s="65" t="s">
        <v>146</v>
      </c>
      <c r="H25" s="65" t="s">
        <v>147</v>
      </c>
    </row>
    <row r="26" spans="1:8" ht="15">
      <c r="A26" s="65" t="s">
        <v>148</v>
      </c>
      <c r="B26" s="72" t="s">
        <v>149</v>
      </c>
      <c r="C26" s="67" t="s">
        <v>114</v>
      </c>
      <c r="D26" s="67" t="s">
        <v>17</v>
      </c>
      <c r="E26" s="47" t="s">
        <v>114</v>
      </c>
      <c r="F26" s="66">
        <v>20</v>
      </c>
      <c r="G26" s="65" t="s">
        <v>115</v>
      </c>
      <c r="H26" s="65" t="s">
        <v>150</v>
      </c>
    </row>
    <row r="27" spans="1:8" ht="15">
      <c r="A27" s="65" t="s">
        <v>151</v>
      </c>
      <c r="B27" s="72" t="s">
        <v>152</v>
      </c>
      <c r="C27" s="67" t="s">
        <v>17</v>
      </c>
      <c r="D27" s="67" t="s">
        <v>17</v>
      </c>
      <c r="E27" s="47" t="s">
        <v>90</v>
      </c>
      <c r="F27" s="66">
        <v>21</v>
      </c>
      <c r="G27" s="65"/>
      <c r="H27" s="65" t="s">
        <v>153</v>
      </c>
    </row>
    <row r="28" spans="1:8" ht="15">
      <c r="A28" s="65" t="s">
        <v>154</v>
      </c>
      <c r="B28" s="72" t="s">
        <v>155</v>
      </c>
      <c r="C28" s="67" t="s">
        <v>17</v>
      </c>
      <c r="D28" s="67" t="s">
        <v>17</v>
      </c>
      <c r="E28" s="47" t="s">
        <v>90</v>
      </c>
      <c r="F28" s="66">
        <v>22</v>
      </c>
      <c r="G28" s="65"/>
      <c r="H28" s="65" t="s">
        <v>100</v>
      </c>
    </row>
    <row r="29" spans="1:8">
      <c r="F29" t="s">
        <v>114</v>
      </c>
    </row>
    <row r="30" spans="1:8" ht="14.25">
      <c r="A30" s="69" t="s">
        <v>156</v>
      </c>
      <c r="C30" s="69"/>
      <c r="D30" s="69"/>
      <c r="E30" s="69"/>
      <c r="F30" s="69"/>
    </row>
    <row r="31" spans="1:8" ht="14.25">
      <c r="A31" s="69" t="s">
        <v>157</v>
      </c>
      <c r="C31" s="69"/>
      <c r="D31" s="69"/>
      <c r="E31" s="69"/>
      <c r="F31" s="69"/>
    </row>
    <row r="32" spans="1:8" ht="14.25">
      <c r="A32" s="69" t="s">
        <v>158</v>
      </c>
      <c r="C32" s="69"/>
      <c r="D32" s="69"/>
      <c r="E32" s="69"/>
      <c r="F32" s="69"/>
    </row>
    <row r="33" spans="1:6" ht="14.25">
      <c r="A33" s="69" t="s">
        <v>159</v>
      </c>
      <c r="C33" s="69"/>
      <c r="D33" s="69"/>
      <c r="E33" s="69"/>
      <c r="F33" s="69"/>
    </row>
    <row r="34" spans="1:6" ht="14.25">
      <c r="B34" s="69"/>
      <c r="C34" s="69"/>
      <c r="D34" s="69"/>
      <c r="E34" s="69"/>
      <c r="F34" s="69"/>
    </row>
    <row r="35" spans="1:6" ht="14.25">
      <c r="B35" s="69"/>
      <c r="C35" s="69"/>
      <c r="D35" s="69"/>
      <c r="E35" s="69"/>
      <c r="F35" s="69"/>
    </row>
    <row r="36" spans="1:6" ht="14.25">
      <c r="B36" s="69"/>
      <c r="C36" s="69"/>
      <c r="D36" s="69"/>
      <c r="E36" s="69"/>
      <c r="F36" s="69"/>
    </row>
  </sheetData>
  <sheetProtection sheet="1" objects="1" scenarios="1"/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40" orientation="landscape" r:id="rId1"/>
  <headerFooter>
    <oddHeader>&amp;L&amp;"Verdana Pro Black,Vet"&amp;12&amp;A&amp;"Verdana Pro Black,Standaard"
&amp;"Verdana Pro,Standaard"&amp;10&amp;F&amp;R&amp;G</oddHeader>
    <oddFooter>&amp;L&amp;D &amp;T&amp;C&amp;P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3E69-A922-4471-B46E-C1F18FC573A3}">
  <sheetPr>
    <pageSetUpPr fitToPage="1"/>
  </sheetPr>
  <dimension ref="B6:K38"/>
  <sheetViews>
    <sheetView showGridLines="0" view="pageLayout" zoomScale="96" zoomScaleNormal="100" zoomScalePageLayoutView="96" workbookViewId="0">
      <selection activeCell="C23" sqref="C23"/>
    </sheetView>
  </sheetViews>
  <sheetFormatPr defaultColWidth="9" defaultRowHeight="11.25"/>
  <cols>
    <col min="1" max="1" width="2.25" customWidth="1"/>
    <col min="2" max="2" width="34.25" customWidth="1"/>
    <col min="3" max="3" width="34.75" customWidth="1"/>
    <col min="4" max="4" width="36.5" hidden="1" customWidth="1"/>
    <col min="5" max="5" width="9" hidden="1" customWidth="1"/>
    <col min="6" max="6" width="5" customWidth="1"/>
    <col min="7" max="7" width="22.75" customWidth="1"/>
    <col min="8" max="11" width="7.25" customWidth="1"/>
  </cols>
  <sheetData>
    <row r="6" spans="2:11" ht="14.25">
      <c r="B6" s="333" t="s">
        <v>160</v>
      </c>
      <c r="C6" s="334"/>
      <c r="D6" s="334"/>
      <c r="E6" s="334"/>
      <c r="F6" s="334"/>
      <c r="G6" s="334"/>
      <c r="H6" s="334"/>
      <c r="I6" s="334"/>
      <c r="J6" s="335"/>
      <c r="K6" s="93"/>
    </row>
    <row r="7" spans="2:11">
      <c r="B7" s="246" t="s">
        <v>161</v>
      </c>
      <c r="C7" s="257" t="s">
        <v>162</v>
      </c>
      <c r="D7" s="5"/>
      <c r="E7" s="5"/>
      <c r="F7" s="5"/>
      <c r="G7" s="5" t="s">
        <v>163</v>
      </c>
      <c r="H7" s="5" t="s">
        <v>164</v>
      </c>
      <c r="I7" s="5" t="s">
        <v>165</v>
      </c>
      <c r="J7" s="246" t="s">
        <v>166</v>
      </c>
      <c r="K7" s="257" t="s">
        <v>167</v>
      </c>
    </row>
    <row r="8" spans="2:11">
      <c r="B8" s="238" t="s">
        <v>168</v>
      </c>
      <c r="C8" s="259" t="str">
        <f>'Specification machine'!C4</f>
        <v xml:space="preserve"> </v>
      </c>
      <c r="D8" s="39"/>
      <c r="E8" s="39"/>
      <c r="F8" s="39"/>
      <c r="G8" s="258"/>
      <c r="H8" s="67"/>
      <c r="I8" s="67"/>
      <c r="J8" s="291"/>
      <c r="K8" s="291"/>
    </row>
    <row r="9" spans="2:11">
      <c r="B9" s="238" t="s">
        <v>169</v>
      </c>
      <c r="C9" s="259" t="str">
        <f>'Specification machine'!C6</f>
        <v xml:space="preserve"> </v>
      </c>
      <c r="D9" s="39"/>
      <c r="E9" s="39"/>
      <c r="F9" s="39"/>
      <c r="G9" s="258"/>
      <c r="H9" s="67"/>
      <c r="I9" s="67"/>
      <c r="J9" s="291"/>
      <c r="K9" s="291"/>
    </row>
    <row r="10" spans="2:11">
      <c r="B10" s="238" t="s">
        <v>45</v>
      </c>
      <c r="C10" s="239" t="str">
        <f>'Specification machine'!$C$5</f>
        <v xml:space="preserve"> </v>
      </c>
      <c r="D10" s="39"/>
      <c r="E10" s="39"/>
      <c r="F10" s="39"/>
      <c r="G10" s="258"/>
      <c r="H10" s="67"/>
      <c r="I10" s="67"/>
      <c r="J10" s="291"/>
      <c r="K10" s="291"/>
    </row>
    <row r="11" spans="2:11">
      <c r="B11" s="238" t="s">
        <v>170</v>
      </c>
      <c r="C11" s="240">
        <f>'Specification machine'!$C$33</f>
        <v>500</v>
      </c>
      <c r="D11" s="39"/>
      <c r="E11" s="39"/>
      <c r="F11" s="39" t="s">
        <v>171</v>
      </c>
      <c r="G11" s="258"/>
      <c r="H11" s="67"/>
      <c r="I11" s="67"/>
      <c r="J11" s="291"/>
      <c r="K11" s="291"/>
    </row>
    <row r="12" spans="2:11">
      <c r="B12" s="238" t="s">
        <v>172</v>
      </c>
      <c r="C12" s="240">
        <f>'Specification machine'!$C$37</f>
        <v>0</v>
      </c>
      <c r="D12" s="39"/>
      <c r="E12" s="39"/>
      <c r="F12" s="39" t="s">
        <v>173</v>
      </c>
      <c r="G12" s="258"/>
      <c r="H12" s="67"/>
      <c r="I12" s="67"/>
      <c r="J12" s="291"/>
      <c r="K12" s="291"/>
    </row>
    <row r="13" spans="2:11">
      <c r="B13" s="238" t="s">
        <v>174</v>
      </c>
      <c r="C13" s="239">
        <f>'Specification machine'!$F$63</f>
        <v>0.95</v>
      </c>
      <c r="D13" s="39"/>
      <c r="E13" s="39"/>
      <c r="F13" s="39" t="s">
        <v>114</v>
      </c>
      <c r="G13" s="39" t="s">
        <v>175</v>
      </c>
      <c r="H13" s="47"/>
      <c r="I13" s="47"/>
      <c r="J13" s="47"/>
      <c r="K13" s="47"/>
    </row>
    <row r="14" spans="2:11">
      <c r="B14" s="238" t="s">
        <v>176</v>
      </c>
      <c r="C14" s="239">
        <f>'Specification machine'!$C$63</f>
        <v>94</v>
      </c>
      <c r="D14" s="39"/>
      <c r="E14" s="39"/>
      <c r="F14" s="39" t="s">
        <v>177</v>
      </c>
      <c r="G14" s="39" t="s">
        <v>175</v>
      </c>
      <c r="H14" s="47"/>
      <c r="I14" s="47"/>
      <c r="J14" s="47"/>
      <c r="K14" s="47"/>
    </row>
    <row r="15" spans="2:11">
      <c r="B15" s="238" t="s">
        <v>178</v>
      </c>
      <c r="C15" s="240">
        <f>'Specification machine'!$C$34</f>
        <v>0</v>
      </c>
      <c r="D15" s="39"/>
      <c r="E15" s="39"/>
      <c r="F15" s="39" t="s">
        <v>179</v>
      </c>
      <c r="G15" s="39"/>
      <c r="H15" s="47"/>
      <c r="I15" s="47"/>
      <c r="J15" s="47"/>
      <c r="K15" s="47"/>
    </row>
    <row r="16" spans="2:11">
      <c r="B16" s="238" t="s">
        <v>49</v>
      </c>
      <c r="C16" s="240" t="str">
        <f>'Specification machine'!$C$32</f>
        <v xml:space="preserve"> </v>
      </c>
      <c r="D16" s="39"/>
      <c r="E16" s="39"/>
      <c r="F16" s="39" t="s">
        <v>50</v>
      </c>
      <c r="G16" s="39"/>
      <c r="H16" s="47"/>
      <c r="I16" s="47"/>
      <c r="J16" s="47"/>
      <c r="K16" s="47"/>
    </row>
    <row r="17" spans="2:11">
      <c r="B17" s="238" t="s">
        <v>52</v>
      </c>
      <c r="C17" s="240">
        <f>'Specification machine'!$C$70</f>
        <v>79</v>
      </c>
      <c r="D17" s="54"/>
      <c r="E17" s="39"/>
      <c r="F17" s="39" t="s">
        <v>53</v>
      </c>
      <c r="G17" s="39"/>
      <c r="H17" s="47"/>
      <c r="I17" s="47"/>
      <c r="J17" s="47"/>
      <c r="K17" s="47"/>
    </row>
    <row r="18" spans="2:11">
      <c r="B18" s="238" t="s">
        <v>180</v>
      </c>
      <c r="C18" s="262" t="str">
        <f>'Specification machine'!$C$48</f>
        <v>Y</v>
      </c>
      <c r="D18" s="39"/>
      <c r="E18" s="39"/>
      <c r="F18" s="39" t="s">
        <v>114</v>
      </c>
      <c r="G18" s="39"/>
      <c r="H18" s="47"/>
      <c r="I18" s="47"/>
      <c r="J18" s="47"/>
      <c r="K18" s="47"/>
    </row>
    <row r="19" spans="2:11">
      <c r="B19" s="39" t="s">
        <v>181</v>
      </c>
      <c r="C19" s="54">
        <f>'Specification machine'!$C$71</f>
        <v>68500</v>
      </c>
      <c r="D19" s="39"/>
      <c r="E19" s="39"/>
      <c r="F19" s="39" t="s">
        <v>182</v>
      </c>
      <c r="G19" s="39"/>
      <c r="H19" s="47"/>
      <c r="I19" s="47"/>
      <c r="J19" s="47"/>
      <c r="K19" s="47"/>
    </row>
    <row r="20" spans="2:11">
      <c r="C20" s="3"/>
    </row>
    <row r="21" spans="2:11" ht="17.25" customHeight="1">
      <c r="B21" s="333" t="s">
        <v>183</v>
      </c>
      <c r="C21" s="334"/>
      <c r="D21" s="334"/>
      <c r="E21" s="334"/>
      <c r="F21" s="334"/>
      <c r="G21" s="334"/>
      <c r="H21" s="334"/>
      <c r="I21" s="334"/>
      <c r="J21" s="335"/>
      <c r="K21" s="93"/>
    </row>
    <row r="22" spans="2:11">
      <c r="B22" s="330" t="s">
        <v>184</v>
      </c>
      <c r="C22" s="331" t="s">
        <v>162</v>
      </c>
      <c r="D22" s="18"/>
      <c r="E22" s="18"/>
      <c r="F22" s="18"/>
      <c r="G22" s="18" t="s">
        <v>163</v>
      </c>
      <c r="H22" s="18" t="s">
        <v>164</v>
      </c>
      <c r="I22" s="18" t="s">
        <v>165</v>
      </c>
      <c r="J22" s="330" t="s">
        <v>166</v>
      </c>
      <c r="K22" s="331" t="s">
        <v>167</v>
      </c>
    </row>
    <row r="23" spans="2:11">
      <c r="B23" s="238" t="s">
        <v>185</v>
      </c>
      <c r="C23" s="240" t="str">
        <f>'Specification machine'!$C$80</f>
        <v xml:space="preserve"> </v>
      </c>
      <c r="D23" s="238"/>
      <c r="E23" s="39"/>
      <c r="F23" s="39"/>
      <c r="G23" s="258"/>
      <c r="H23" s="67"/>
      <c r="I23" s="67"/>
      <c r="J23" s="291"/>
      <c r="K23" s="291"/>
    </row>
    <row r="24" spans="2:11">
      <c r="B24" s="238" t="s">
        <v>186</v>
      </c>
      <c r="C24" s="239" t="str">
        <f>'Specification machine'!C125</f>
        <v>air</v>
      </c>
      <c r="D24" s="238"/>
      <c r="E24" s="39"/>
      <c r="F24" s="39"/>
      <c r="G24" s="258"/>
      <c r="H24" s="67"/>
      <c r="I24" s="67"/>
      <c r="J24" s="291"/>
      <c r="K24" s="291"/>
    </row>
    <row r="25" spans="2:11" ht="24" customHeight="1">
      <c r="B25" s="263" t="s">
        <v>187</v>
      </c>
      <c r="C25" s="264" t="str">
        <f>'Specification machine'!C126</f>
        <v xml:space="preserve"> </v>
      </c>
      <c r="D25" s="263" t="s">
        <v>188</v>
      </c>
      <c r="E25" s="265"/>
      <c r="F25" s="265"/>
      <c r="G25" s="266" t="str">
        <f>'Specification machine'!$C$127</f>
        <v xml:space="preserve"> </v>
      </c>
      <c r="H25" s="67"/>
      <c r="I25" s="67"/>
      <c r="J25" s="291"/>
      <c r="K25" s="291"/>
    </row>
    <row r="26" spans="2:11">
      <c r="B26" s="455" t="s">
        <v>189</v>
      </c>
      <c r="C26" s="261" t="str">
        <f>+'Specification machine'!C174</f>
        <v>RAL-1005</v>
      </c>
      <c r="D26" s="455"/>
      <c r="E26" s="39"/>
      <c r="F26" s="39"/>
      <c r="G26" s="258"/>
      <c r="H26" s="67"/>
      <c r="I26" s="67"/>
      <c r="J26" s="291"/>
      <c r="K26" s="291"/>
    </row>
    <row r="27" spans="2:11">
      <c r="B27" s="455"/>
      <c r="C27" s="239" t="str">
        <f>'Specification machine'!$C$175</f>
        <v>Honey Yellow</v>
      </c>
      <c r="D27" s="455"/>
      <c r="E27" s="39"/>
      <c r="F27" s="39"/>
      <c r="G27" s="258"/>
      <c r="H27" s="67"/>
      <c r="I27" s="67"/>
      <c r="J27" s="291"/>
      <c r="K27" s="291"/>
    </row>
    <row r="28" spans="2:11">
      <c r="B28" s="31"/>
      <c r="C28" s="326"/>
      <c r="D28" s="31"/>
      <c r="G28" s="327"/>
      <c r="H28" s="327"/>
      <c r="I28" s="327"/>
      <c r="J28" s="328"/>
      <c r="K28" s="328"/>
    </row>
    <row r="29" spans="2:11" ht="14.25">
      <c r="B29" s="333" t="s">
        <v>190</v>
      </c>
      <c r="C29" s="334"/>
      <c r="D29" s="334"/>
      <c r="E29" s="334"/>
      <c r="F29" s="334"/>
      <c r="G29" s="334"/>
      <c r="H29" s="334"/>
      <c r="I29" s="334"/>
      <c r="J29" s="335"/>
      <c r="K29" s="93"/>
    </row>
    <row r="30" spans="2:11">
      <c r="B30" s="332" t="s">
        <v>191</v>
      </c>
      <c r="C30" s="331" t="s">
        <v>162</v>
      </c>
      <c r="D30" s="18"/>
      <c r="E30" s="18"/>
      <c r="F30" s="18"/>
      <c r="G30" s="18" t="s">
        <v>163</v>
      </c>
      <c r="H30" s="18" t="s">
        <v>164</v>
      </c>
      <c r="I30" s="18" t="s">
        <v>165</v>
      </c>
      <c r="J30" s="330" t="s">
        <v>166</v>
      </c>
      <c r="K30" s="331" t="s">
        <v>167</v>
      </c>
    </row>
    <row r="31" spans="2:11">
      <c r="B31" s="238" t="s">
        <v>192</v>
      </c>
      <c r="C31" s="241" t="s">
        <v>193</v>
      </c>
      <c r="D31" s="238"/>
      <c r="E31" s="39"/>
      <c r="F31" s="39"/>
      <c r="G31" s="258"/>
      <c r="H31" s="67"/>
      <c r="I31" s="67"/>
      <c r="J31" s="291"/>
      <c r="K31" s="291"/>
    </row>
    <row r="32" spans="2:11">
      <c r="B32" s="238" t="s">
        <v>194</v>
      </c>
      <c r="C32" s="241" t="s">
        <v>193</v>
      </c>
      <c r="D32" s="238"/>
      <c r="E32" s="39"/>
      <c r="F32" s="39"/>
      <c r="G32" s="258"/>
      <c r="H32" s="67"/>
      <c r="I32" s="67"/>
      <c r="J32" s="291"/>
      <c r="K32" s="291"/>
    </row>
    <row r="33" spans="2:11">
      <c r="B33" s="238" t="s">
        <v>195</v>
      </c>
      <c r="C33" s="241" t="s">
        <v>193</v>
      </c>
      <c r="D33" s="238"/>
      <c r="E33" s="39"/>
      <c r="F33" s="39"/>
      <c r="G33" s="258"/>
      <c r="H33" s="67"/>
      <c r="I33" s="67"/>
      <c r="J33" s="291"/>
      <c r="K33" s="291"/>
    </row>
    <row r="34" spans="2:11">
      <c r="B34" s="238" t="s">
        <v>196</v>
      </c>
      <c r="C34" s="241" t="s">
        <v>193</v>
      </c>
      <c r="D34" s="238"/>
      <c r="E34" s="39"/>
      <c r="F34" s="39"/>
      <c r="G34" s="258"/>
      <c r="H34" s="67"/>
      <c r="I34" s="67"/>
      <c r="J34" s="291"/>
      <c r="K34" s="291"/>
    </row>
    <row r="35" spans="2:11">
      <c r="B35" s="238" t="s">
        <v>197</v>
      </c>
      <c r="C35" s="241" t="s">
        <v>193</v>
      </c>
      <c r="D35" s="238"/>
      <c r="E35" s="39"/>
      <c r="F35" s="39"/>
      <c r="G35" s="258"/>
      <c r="H35" s="67"/>
      <c r="I35" s="67"/>
      <c r="J35" s="291"/>
      <c r="K35" s="291"/>
    </row>
    <row r="36" spans="2:11">
      <c r="B36" s="238" t="s">
        <v>198</v>
      </c>
      <c r="C36" s="241" t="s">
        <v>193</v>
      </c>
      <c r="D36" s="238"/>
      <c r="E36" s="39"/>
      <c r="F36" s="39"/>
      <c r="G36" s="258"/>
      <c r="H36" s="67"/>
      <c r="I36" s="67"/>
      <c r="J36" s="291"/>
      <c r="K36" s="291"/>
    </row>
    <row r="37" spans="2:11">
      <c r="B37" s="238" t="s">
        <v>199</v>
      </c>
      <c r="C37" s="241" t="s">
        <v>193</v>
      </c>
      <c r="D37" s="238"/>
      <c r="E37" s="39"/>
      <c r="F37" s="39"/>
      <c r="G37" s="258"/>
      <c r="H37" s="67"/>
      <c r="I37" s="67"/>
      <c r="J37" s="291"/>
      <c r="K37" s="291"/>
    </row>
    <row r="38" spans="2:11">
      <c r="B38" s="39" t="s">
        <v>200</v>
      </c>
      <c r="C38" s="54" t="str">
        <f>'Specification machine'!$C$84&amp;" / "&amp;'Specification machine'!C85</f>
        <v>IM-3011 / IM-V1</v>
      </c>
      <c r="D38" s="238"/>
      <c r="E38" s="39"/>
      <c r="F38" s="39"/>
      <c r="G38" s="258"/>
      <c r="H38" s="67"/>
      <c r="I38" s="67"/>
      <c r="J38" s="291"/>
      <c r="K38" s="291"/>
    </row>
  </sheetData>
  <sheetProtection sheet="1" objects="1" scenarios="1"/>
  <mergeCells count="2">
    <mergeCell ref="B26:B27"/>
    <mergeCell ref="D26:D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9523-6703-4EBD-9178-02C0443649A7}">
  <dimension ref="B6:K32"/>
  <sheetViews>
    <sheetView showGridLines="0" view="pageLayout" zoomScaleNormal="100" workbookViewId="0">
      <selection activeCell="C23" sqref="C23"/>
    </sheetView>
  </sheetViews>
  <sheetFormatPr defaultColWidth="9" defaultRowHeight="11.25"/>
  <cols>
    <col min="1" max="1" width="2.25" customWidth="1"/>
    <col min="2" max="2" width="34.25" customWidth="1"/>
    <col min="3" max="3" width="34.75" customWidth="1"/>
    <col min="4" max="4" width="36.5" hidden="1" customWidth="1"/>
    <col min="5" max="5" width="9" hidden="1" customWidth="1"/>
    <col min="6" max="6" width="5" customWidth="1"/>
    <col min="7" max="7" width="22.75" customWidth="1"/>
    <col min="8" max="11" width="7.25" customWidth="1"/>
  </cols>
  <sheetData>
    <row r="6" spans="2:11" ht="14.25">
      <c r="B6" s="329" t="s">
        <v>201</v>
      </c>
      <c r="J6" s="134"/>
    </row>
    <row r="7" spans="2:11">
      <c r="B7" s="246" t="s">
        <v>202</v>
      </c>
      <c r="C7" s="257" t="s">
        <v>162</v>
      </c>
      <c r="D7" s="5"/>
      <c r="E7" s="5"/>
      <c r="F7" s="5"/>
      <c r="G7" s="5" t="s">
        <v>163</v>
      </c>
      <c r="H7" s="5" t="s">
        <v>164</v>
      </c>
      <c r="I7" s="5" t="s">
        <v>165</v>
      </c>
      <c r="J7" s="246" t="s">
        <v>166</v>
      </c>
      <c r="K7" s="257" t="s">
        <v>167</v>
      </c>
    </row>
    <row r="8" spans="2:11">
      <c r="B8" s="238" t="s">
        <v>192</v>
      </c>
      <c r="C8" s="242" t="s">
        <v>193</v>
      </c>
      <c r="D8" s="5"/>
      <c r="E8" s="5"/>
      <c r="F8" s="5"/>
      <c r="G8" s="5"/>
      <c r="H8" s="47"/>
      <c r="I8" s="47"/>
      <c r="J8" s="379"/>
      <c r="K8" s="291"/>
    </row>
    <row r="9" spans="2:11">
      <c r="B9" s="238" t="s">
        <v>203</v>
      </c>
      <c r="C9" s="389" t="str">
        <f>'Specification machine'!$C$90</f>
        <v>drawing….</v>
      </c>
      <c r="D9" s="5"/>
      <c r="E9" s="5"/>
      <c r="F9" s="5"/>
      <c r="G9" s="5"/>
      <c r="H9" s="47"/>
      <c r="I9" s="47"/>
      <c r="J9" s="379"/>
      <c r="K9" s="291"/>
    </row>
    <row r="10" spans="2:11">
      <c r="B10" s="238" t="s">
        <v>194</v>
      </c>
      <c r="C10" s="242" t="s">
        <v>193</v>
      </c>
      <c r="D10" s="5"/>
      <c r="E10" s="5"/>
      <c r="F10" s="5"/>
      <c r="G10" s="5"/>
      <c r="H10" s="47"/>
      <c r="I10" s="47"/>
      <c r="J10" s="379"/>
      <c r="K10" s="291"/>
    </row>
    <row r="11" spans="2:11">
      <c r="B11" s="238" t="s">
        <v>204</v>
      </c>
      <c r="C11" s="389" t="str">
        <f>'Specification machine'!$C$91</f>
        <v>drawing….</v>
      </c>
      <c r="D11" s="5"/>
      <c r="E11" s="5"/>
      <c r="F11" s="5"/>
      <c r="G11" s="5"/>
      <c r="H11" s="47"/>
      <c r="I11" s="47"/>
      <c r="J11" s="379"/>
      <c r="K11" s="291"/>
    </row>
    <row r="12" spans="2:11">
      <c r="B12" s="238" t="s">
        <v>205</v>
      </c>
      <c r="C12" s="242" t="s">
        <v>193</v>
      </c>
      <c r="D12" s="5"/>
      <c r="E12" s="5"/>
      <c r="F12" s="5"/>
      <c r="G12" s="5"/>
      <c r="H12" s="47"/>
      <c r="I12" s="47"/>
      <c r="J12" s="379"/>
      <c r="K12" s="291"/>
    </row>
    <row r="13" spans="2:11">
      <c r="B13" s="238" t="s">
        <v>206</v>
      </c>
      <c r="C13" s="242" t="s">
        <v>193</v>
      </c>
      <c r="D13" s="5"/>
      <c r="E13" s="5"/>
      <c r="F13" s="5"/>
      <c r="G13" s="5"/>
      <c r="H13" s="47"/>
      <c r="I13" s="47"/>
      <c r="J13" s="379"/>
      <c r="K13" s="291"/>
    </row>
    <row r="14" spans="2:11">
      <c r="B14" s="238" t="s">
        <v>207</v>
      </c>
      <c r="C14" s="242" t="s">
        <v>193</v>
      </c>
      <c r="D14" s="5"/>
      <c r="E14" s="5"/>
      <c r="F14" s="5"/>
      <c r="G14" s="5"/>
      <c r="H14" s="47"/>
      <c r="I14" s="47"/>
      <c r="J14" s="379"/>
      <c r="K14" s="291"/>
    </row>
    <row r="15" spans="2:11">
      <c r="B15" s="238" t="s">
        <v>208</v>
      </c>
      <c r="C15" s="242" t="s">
        <v>193</v>
      </c>
      <c r="D15" s="5"/>
      <c r="E15" s="5"/>
      <c r="F15" s="5"/>
      <c r="G15" s="5"/>
      <c r="H15" s="47"/>
      <c r="I15" s="47"/>
      <c r="J15" s="379"/>
      <c r="K15" s="291"/>
    </row>
    <row r="16" spans="2:11">
      <c r="B16" s="238" t="s">
        <v>195</v>
      </c>
      <c r="C16" s="242" t="s">
        <v>193</v>
      </c>
      <c r="D16" s="5"/>
      <c r="E16" s="5"/>
      <c r="F16" s="5"/>
      <c r="G16" s="5"/>
      <c r="H16" s="47"/>
      <c r="I16" s="47"/>
      <c r="J16" s="379"/>
      <c r="K16" s="291"/>
    </row>
    <row r="17" spans="2:11">
      <c r="B17" s="238" t="s">
        <v>196</v>
      </c>
      <c r="C17" s="242" t="s">
        <v>193</v>
      </c>
      <c r="D17" s="5"/>
      <c r="E17" s="5"/>
      <c r="F17" s="5"/>
      <c r="G17" s="5"/>
      <c r="H17" s="47"/>
      <c r="I17" s="47"/>
      <c r="J17" s="379"/>
      <c r="K17" s="291"/>
    </row>
    <row r="18" spans="2:11">
      <c r="B18" s="238" t="s">
        <v>197</v>
      </c>
      <c r="C18" s="242" t="s">
        <v>193</v>
      </c>
      <c r="D18" s="5"/>
      <c r="E18" s="5"/>
      <c r="F18" s="5"/>
      <c r="G18" s="5"/>
      <c r="H18" s="47"/>
      <c r="I18" s="47"/>
      <c r="J18" s="379"/>
      <c r="K18" s="291"/>
    </row>
    <row r="19" spans="2:11">
      <c r="B19" s="238" t="s">
        <v>198</v>
      </c>
      <c r="C19" s="242" t="s">
        <v>193</v>
      </c>
      <c r="D19" s="39"/>
      <c r="E19" s="39"/>
      <c r="F19" s="39"/>
      <c r="G19" s="258"/>
      <c r="H19" s="67"/>
      <c r="I19" s="67"/>
      <c r="J19" s="291"/>
      <c r="K19" s="291"/>
    </row>
    <row r="20" spans="2:11">
      <c r="B20" s="31"/>
      <c r="C20" s="328"/>
      <c r="G20" s="327"/>
      <c r="H20" s="327"/>
      <c r="I20" s="327"/>
      <c r="J20" s="328"/>
      <c r="K20" s="328"/>
    </row>
    <row r="21" spans="2:11" ht="17.25" customHeight="1">
      <c r="B21" s="329" t="s">
        <v>209</v>
      </c>
      <c r="J21" s="134"/>
    </row>
    <row r="22" spans="2:11">
      <c r="B22" s="246" t="s">
        <v>210</v>
      </c>
      <c r="C22" s="257" t="s">
        <v>162</v>
      </c>
      <c r="D22" s="5"/>
      <c r="E22" s="5"/>
      <c r="F22" s="5"/>
      <c r="G22" s="5" t="s">
        <v>163</v>
      </c>
      <c r="H22" s="5" t="s">
        <v>164</v>
      </c>
      <c r="I22" s="5" t="s">
        <v>165</v>
      </c>
      <c r="J22" s="246" t="s">
        <v>166</v>
      </c>
      <c r="K22" s="257" t="s">
        <v>167</v>
      </c>
    </row>
    <row r="23" spans="2:11">
      <c r="B23" s="238" t="s">
        <v>192</v>
      </c>
      <c r="C23" s="240" t="str">
        <f>'Specification machine'!$C$87</f>
        <v>&gt;=IP-55</v>
      </c>
      <c r="D23" s="5"/>
      <c r="E23" s="5"/>
      <c r="F23" s="5"/>
      <c r="G23" s="5"/>
      <c r="H23" s="47"/>
      <c r="I23" s="47"/>
      <c r="J23" s="379"/>
      <c r="K23" s="291"/>
    </row>
    <row r="24" spans="2:11">
      <c r="B24" s="238" t="s">
        <v>194</v>
      </c>
      <c r="C24" s="240" t="str">
        <f>'Specification machine'!$C$87</f>
        <v>&gt;=IP-55</v>
      </c>
      <c r="D24" s="5"/>
      <c r="E24" s="5"/>
      <c r="F24" s="5"/>
      <c r="G24" s="5"/>
      <c r="H24" s="47"/>
      <c r="I24" s="47"/>
      <c r="J24" s="379"/>
      <c r="K24" s="291"/>
    </row>
    <row r="25" spans="2:11">
      <c r="B25" s="238" t="s">
        <v>211</v>
      </c>
      <c r="C25" s="240" t="str">
        <f>'Specification machine'!$C$86</f>
        <v>&gt;=IP-23</v>
      </c>
      <c r="D25" s="5"/>
      <c r="E25" s="5"/>
      <c r="F25" s="5"/>
      <c r="G25" s="5"/>
      <c r="H25" s="47"/>
      <c r="I25" s="47"/>
      <c r="J25" s="379"/>
      <c r="K25" s="291"/>
    </row>
    <row r="26" spans="2:11">
      <c r="B26" s="238" t="s">
        <v>195</v>
      </c>
      <c r="C26" s="240" t="str">
        <f>'Specification machine'!$C$86</f>
        <v>&gt;=IP-23</v>
      </c>
      <c r="D26" s="238"/>
      <c r="E26" s="39"/>
      <c r="F26" s="39"/>
      <c r="G26" s="258"/>
      <c r="H26" s="66"/>
      <c r="I26" s="66"/>
      <c r="J26" s="378"/>
      <c r="K26" s="378"/>
    </row>
    <row r="27" spans="2:11">
      <c r="B27" s="238" t="s">
        <v>197</v>
      </c>
      <c r="C27" s="240" t="str">
        <f>'Specification machine'!$C$86</f>
        <v>&gt;=IP-23</v>
      </c>
      <c r="D27" s="238"/>
      <c r="E27" s="39"/>
      <c r="F27" s="39"/>
      <c r="G27" s="258"/>
      <c r="H27" s="66"/>
      <c r="I27" s="66"/>
      <c r="J27" s="378"/>
      <c r="K27" s="378"/>
    </row>
    <row r="28" spans="2:11">
      <c r="B28" s="31"/>
      <c r="C28" s="336"/>
      <c r="D28" s="31"/>
      <c r="G28" s="327"/>
      <c r="H28" s="327"/>
      <c r="I28" s="327"/>
      <c r="J28" s="328"/>
      <c r="K28" s="328"/>
    </row>
    <row r="29" spans="2:11" ht="14.25">
      <c r="B29" s="329" t="s">
        <v>212</v>
      </c>
      <c r="J29" s="134"/>
    </row>
    <row r="30" spans="2:11">
      <c r="B30" s="71" t="s">
        <v>213</v>
      </c>
      <c r="C30" s="257" t="s">
        <v>162</v>
      </c>
      <c r="D30" s="5"/>
      <c r="E30" s="5"/>
      <c r="F30" s="5"/>
      <c r="G30" s="5" t="s">
        <v>163</v>
      </c>
      <c r="H30" s="5" t="s">
        <v>164</v>
      </c>
      <c r="I30" s="5" t="s">
        <v>165</v>
      </c>
      <c r="J30" s="246" t="s">
        <v>166</v>
      </c>
      <c r="K30" s="257" t="s">
        <v>167</v>
      </c>
    </row>
    <row r="31" spans="2:11">
      <c r="B31" s="238" t="s">
        <v>192</v>
      </c>
      <c r="C31" s="241" t="s">
        <v>193</v>
      </c>
      <c r="D31" s="238"/>
      <c r="E31" s="39"/>
      <c r="F31" s="39"/>
      <c r="G31" s="258"/>
      <c r="H31" s="67"/>
      <c r="I31" s="67"/>
      <c r="J31" s="291"/>
      <c r="K31" s="291"/>
    </row>
    <row r="32" spans="2:11">
      <c r="B32" s="238" t="s">
        <v>194</v>
      </c>
      <c r="C32" s="241" t="s">
        <v>193</v>
      </c>
      <c r="D32" s="238"/>
      <c r="E32" s="39"/>
      <c r="F32" s="39"/>
      <c r="G32" s="258"/>
      <c r="H32" s="67"/>
      <c r="I32" s="67"/>
      <c r="J32" s="291"/>
      <c r="K32" s="291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F5E7-6C18-4526-B4B9-1C9C7B515C48}">
  <dimension ref="B6:K35"/>
  <sheetViews>
    <sheetView showGridLines="0" view="pageLayout" zoomScaleNormal="100" workbookViewId="0">
      <selection activeCell="A37" sqref="A37"/>
    </sheetView>
  </sheetViews>
  <sheetFormatPr defaultColWidth="9" defaultRowHeight="11.25"/>
  <cols>
    <col min="1" max="1" width="2.25" customWidth="1"/>
    <col min="2" max="2" width="34.25" customWidth="1"/>
    <col min="3" max="3" width="34.75" customWidth="1"/>
    <col min="4" max="4" width="36.5" hidden="1" customWidth="1"/>
    <col min="5" max="5" width="9" hidden="1" customWidth="1"/>
    <col min="6" max="6" width="5" customWidth="1"/>
    <col min="7" max="7" width="22.75" customWidth="1"/>
    <col min="8" max="11" width="7.25" customWidth="1"/>
  </cols>
  <sheetData>
    <row r="6" spans="2:11" s="337" customFormat="1" ht="12.75">
      <c r="B6" s="329" t="s">
        <v>214</v>
      </c>
      <c r="J6" s="329"/>
    </row>
    <row r="7" spans="2:11">
      <c r="B7" s="246" t="s">
        <v>215</v>
      </c>
      <c r="C7" s="257" t="s">
        <v>162</v>
      </c>
      <c r="D7" s="5"/>
      <c r="E7" s="5"/>
      <c r="F7" s="5"/>
      <c r="G7" s="5" t="s">
        <v>163</v>
      </c>
      <c r="H7" s="5" t="s">
        <v>164</v>
      </c>
      <c r="I7" s="5" t="s">
        <v>165</v>
      </c>
      <c r="J7" s="246" t="s">
        <v>166</v>
      </c>
      <c r="K7" s="257" t="s">
        <v>167</v>
      </c>
    </row>
    <row r="8" spans="2:11">
      <c r="B8" s="238" t="s">
        <v>216</v>
      </c>
      <c r="C8" s="240" t="str">
        <f>'Specification machine'!$C$95&amp;" "&amp; 'Specification machine'!C96&amp;" "&amp; 'Specification machine'!C97</f>
        <v xml:space="preserve">     </v>
      </c>
      <c r="D8" s="5"/>
      <c r="E8" s="5"/>
      <c r="F8" s="5"/>
      <c r="G8" s="5"/>
      <c r="H8" s="5"/>
      <c r="I8" s="5"/>
      <c r="J8" s="246"/>
      <c r="K8" s="257"/>
    </row>
    <row r="9" spans="2:11">
      <c r="B9" s="238" t="s">
        <v>217</v>
      </c>
      <c r="C9" s="240" t="str">
        <f>'Specification machine'!$C$95&amp;" "&amp; 'Specification machine'!C99&amp;" "&amp; 'Specification machine'!C100</f>
        <v xml:space="preserve">     </v>
      </c>
      <c r="D9" s="5"/>
      <c r="E9" s="5"/>
      <c r="F9" s="5"/>
      <c r="G9" s="5"/>
      <c r="H9" s="5"/>
      <c r="I9" s="5"/>
      <c r="J9" s="246"/>
      <c r="K9" s="257"/>
    </row>
    <row r="10" spans="2:11">
      <c r="B10" s="238" t="s">
        <v>218</v>
      </c>
      <c r="C10" s="240" t="str">
        <f>'Specification machine'!$C$102</f>
        <v xml:space="preserve"> </v>
      </c>
      <c r="D10" s="5"/>
      <c r="E10" s="5"/>
      <c r="F10" s="5"/>
      <c r="G10" s="5"/>
      <c r="H10" s="5"/>
      <c r="I10" s="5"/>
      <c r="J10" s="246"/>
      <c r="K10" s="257"/>
    </row>
    <row r="11" spans="2:11">
      <c r="B11" s="238" t="s">
        <v>219</v>
      </c>
      <c r="C11" s="240" t="str">
        <f>'Specification machine'!$C$103</f>
        <v xml:space="preserve"> </v>
      </c>
      <c r="D11" s="5"/>
      <c r="E11" s="5"/>
      <c r="F11" s="5"/>
      <c r="G11" s="5"/>
      <c r="H11" s="5"/>
      <c r="I11" s="5"/>
      <c r="J11" s="246"/>
      <c r="K11" s="257"/>
    </row>
    <row r="12" spans="2:11">
      <c r="B12" s="39" t="s">
        <v>220</v>
      </c>
      <c r="C12" s="239" t="str">
        <f>'Specification machine'!$C$106</f>
        <v xml:space="preserve"> </v>
      </c>
      <c r="D12" s="5"/>
      <c r="E12" s="5"/>
      <c r="F12" s="5"/>
      <c r="G12" s="5"/>
      <c r="H12" s="5"/>
      <c r="I12" s="5"/>
      <c r="J12" s="246"/>
      <c r="K12" s="257"/>
    </row>
    <row r="13" spans="2:11">
      <c r="C13" s="326"/>
      <c r="D13" s="1"/>
      <c r="E13" s="1"/>
      <c r="F13" s="1"/>
      <c r="G13" s="1"/>
      <c r="H13" s="1"/>
      <c r="I13" s="1"/>
      <c r="J13" s="108"/>
      <c r="K13" s="338"/>
    </row>
    <row r="14" spans="2:11" ht="17.25" customHeight="1">
      <c r="B14" s="329" t="s">
        <v>221</v>
      </c>
      <c r="J14" s="134"/>
    </row>
    <row r="15" spans="2:11" ht="22.5">
      <c r="B15" s="269" t="s">
        <v>222</v>
      </c>
      <c r="C15" s="278" t="s">
        <v>163</v>
      </c>
      <c r="D15" s="279"/>
      <c r="E15" s="279"/>
      <c r="F15" s="279"/>
      <c r="G15" s="280"/>
      <c r="H15" s="268" t="s">
        <v>164</v>
      </c>
      <c r="I15" s="5" t="s">
        <v>165</v>
      </c>
      <c r="J15" s="281" t="s">
        <v>166</v>
      </c>
      <c r="K15" s="282" t="s">
        <v>167</v>
      </c>
    </row>
    <row r="16" spans="2:11">
      <c r="B16" s="270" t="s">
        <v>192</v>
      </c>
      <c r="C16" s="272"/>
      <c r="D16" s="273"/>
      <c r="E16" s="273"/>
      <c r="F16" s="273"/>
      <c r="G16" s="274"/>
      <c r="H16" s="268"/>
      <c r="I16" s="5"/>
      <c r="J16" s="246"/>
      <c r="K16" s="257"/>
    </row>
    <row r="17" spans="2:11">
      <c r="B17" s="270" t="s">
        <v>203</v>
      </c>
      <c r="C17" s="272"/>
      <c r="D17" s="273"/>
      <c r="E17" s="273"/>
      <c r="F17" s="273"/>
      <c r="G17" s="274"/>
      <c r="H17" s="268"/>
      <c r="I17" s="5"/>
      <c r="J17" s="246"/>
      <c r="K17" s="257"/>
    </row>
    <row r="18" spans="2:11">
      <c r="B18" s="270" t="s">
        <v>194</v>
      </c>
      <c r="C18" s="272"/>
      <c r="D18" s="273"/>
      <c r="E18" s="273"/>
      <c r="F18" s="273"/>
      <c r="G18" s="274"/>
      <c r="H18" s="268"/>
      <c r="I18" s="5"/>
      <c r="J18" s="246"/>
      <c r="K18" s="257"/>
    </row>
    <row r="19" spans="2:11">
      <c r="B19" s="270" t="s">
        <v>204</v>
      </c>
      <c r="C19" s="275"/>
      <c r="D19" s="276"/>
      <c r="E19" s="276"/>
      <c r="F19" s="276"/>
      <c r="G19" s="277"/>
      <c r="H19" s="268"/>
      <c r="I19" s="5"/>
      <c r="J19" s="246"/>
      <c r="K19" s="257"/>
    </row>
    <row r="20" spans="2:11">
      <c r="B20" s="270" t="s">
        <v>205</v>
      </c>
      <c r="C20" s="272"/>
      <c r="D20" s="273"/>
      <c r="E20" s="273"/>
      <c r="F20" s="273"/>
      <c r="G20" s="274"/>
      <c r="H20" s="268"/>
      <c r="I20" s="5"/>
      <c r="J20" s="246"/>
      <c r="K20" s="257"/>
    </row>
    <row r="21" spans="2:11">
      <c r="B21" s="270" t="s">
        <v>206</v>
      </c>
      <c r="C21" s="272"/>
      <c r="D21" s="273"/>
      <c r="E21" s="273"/>
      <c r="F21" s="273"/>
      <c r="G21" s="274"/>
      <c r="H21" s="268"/>
      <c r="I21" s="5"/>
      <c r="J21" s="246"/>
      <c r="K21" s="257"/>
    </row>
    <row r="22" spans="2:11">
      <c r="B22" s="270" t="s">
        <v>207</v>
      </c>
      <c r="C22" s="272"/>
      <c r="D22" s="273"/>
      <c r="E22" s="273"/>
      <c r="F22" s="273"/>
      <c r="G22" s="274"/>
      <c r="H22" s="271"/>
      <c r="I22" s="258"/>
      <c r="J22" s="241"/>
      <c r="K22" s="241"/>
    </row>
    <row r="23" spans="2:11">
      <c r="B23" s="270" t="s">
        <v>208</v>
      </c>
      <c r="C23" s="272"/>
      <c r="D23" s="273"/>
      <c r="E23" s="273"/>
      <c r="F23" s="273"/>
      <c r="G23" s="274"/>
      <c r="H23" s="271"/>
      <c r="I23" s="258"/>
      <c r="J23" s="241"/>
      <c r="K23" s="241"/>
    </row>
    <row r="24" spans="2:11">
      <c r="B24" s="270" t="s">
        <v>195</v>
      </c>
      <c r="C24" s="275"/>
      <c r="D24" s="276"/>
      <c r="E24" s="276"/>
      <c r="F24" s="276"/>
      <c r="G24" s="277"/>
      <c r="H24" s="268"/>
      <c r="I24" s="5"/>
      <c r="J24" s="246"/>
      <c r="K24" s="257"/>
    </row>
    <row r="25" spans="2:11">
      <c r="B25" s="270" t="s">
        <v>196</v>
      </c>
      <c r="C25" s="272"/>
      <c r="D25" s="273"/>
      <c r="E25" s="273"/>
      <c r="F25" s="273"/>
      <c r="G25" s="274"/>
      <c r="H25" s="268"/>
      <c r="I25" s="5"/>
      <c r="J25" s="246"/>
      <c r="K25" s="257"/>
    </row>
    <row r="26" spans="2:11">
      <c r="B26" s="270" t="s">
        <v>197</v>
      </c>
      <c r="C26" s="272"/>
      <c r="D26" s="273"/>
      <c r="E26" s="273"/>
      <c r="F26" s="273"/>
      <c r="G26" s="274"/>
      <c r="H26" s="271"/>
      <c r="I26" s="258"/>
      <c r="J26" s="241"/>
      <c r="K26" s="241"/>
    </row>
    <row r="27" spans="2:11">
      <c r="B27" s="270" t="s">
        <v>198</v>
      </c>
      <c r="C27" s="272"/>
      <c r="D27" s="273"/>
      <c r="E27" s="273"/>
      <c r="F27" s="273"/>
      <c r="G27" s="274"/>
      <c r="H27" s="271"/>
      <c r="I27" s="258"/>
      <c r="J27" s="241"/>
      <c r="K27" s="241"/>
    </row>
    <row r="29" spans="2:11" ht="12.75">
      <c r="B29" s="329" t="s">
        <v>1034</v>
      </c>
    </row>
    <row r="30" spans="2:11">
      <c r="B30" s="269" t="s">
        <v>1035</v>
      </c>
      <c r="C30" s="278" t="s">
        <v>163</v>
      </c>
      <c r="D30" s="279"/>
      <c r="E30" s="279"/>
      <c r="F30" s="279"/>
      <c r="G30" s="280"/>
      <c r="H30" s="268" t="s">
        <v>164</v>
      </c>
      <c r="I30" s="5" t="s">
        <v>165</v>
      </c>
      <c r="J30" s="281" t="s">
        <v>166</v>
      </c>
      <c r="K30" s="282" t="s">
        <v>167</v>
      </c>
    </row>
    <row r="31" spans="2:11">
      <c r="B31" s="270" t="s">
        <v>1031</v>
      </c>
      <c r="C31" s="272"/>
      <c r="D31" s="273"/>
      <c r="E31" s="273"/>
      <c r="F31" s="273"/>
      <c r="G31" s="274"/>
      <c r="H31" s="268"/>
      <c r="I31" s="5"/>
      <c r="J31" s="246"/>
      <c r="K31" s="257"/>
    </row>
    <row r="32" spans="2:11">
      <c r="B32" s="270" t="s">
        <v>1032</v>
      </c>
      <c r="C32" s="272"/>
      <c r="D32" s="273"/>
      <c r="E32" s="273"/>
      <c r="F32" s="273"/>
      <c r="G32" s="274"/>
      <c r="H32" s="268"/>
      <c r="I32" s="5"/>
      <c r="J32" s="246"/>
      <c r="K32" s="257"/>
    </row>
    <row r="33" spans="2:11">
      <c r="B33" s="270" t="s">
        <v>1033</v>
      </c>
      <c r="C33" s="272"/>
      <c r="D33" s="273"/>
      <c r="E33" s="273"/>
      <c r="F33" s="273"/>
      <c r="G33" s="274"/>
      <c r="H33" s="268"/>
      <c r="I33" s="5"/>
      <c r="J33" s="246"/>
      <c r="K33" s="257"/>
    </row>
    <row r="34" spans="2:11">
      <c r="B34" s="270" t="s">
        <v>1037</v>
      </c>
      <c r="C34" s="275" t="s">
        <v>1036</v>
      </c>
      <c r="D34" s="276"/>
      <c r="E34" s="276"/>
      <c r="F34" s="276"/>
      <c r="G34" s="277"/>
      <c r="H34" s="268"/>
      <c r="I34" s="5"/>
      <c r="J34" s="246"/>
      <c r="K34" s="257"/>
    </row>
    <row r="35" spans="2:11">
      <c r="B35" s="270" t="s">
        <v>1038</v>
      </c>
      <c r="C35" s="275" t="s">
        <v>1036</v>
      </c>
      <c r="D35" s="276"/>
      <c r="E35" s="276"/>
      <c r="F35" s="276"/>
      <c r="G35" s="277"/>
      <c r="H35" s="268"/>
      <c r="I35" s="5"/>
      <c r="J35" s="246"/>
      <c r="K35" s="257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952C-9B8E-438A-9656-914F2A80BADC}">
  <dimension ref="B6:K22"/>
  <sheetViews>
    <sheetView showGridLines="0" view="pageLayout" zoomScaleNormal="100" workbookViewId="0">
      <selection activeCell="B25" sqref="B25"/>
    </sheetView>
  </sheetViews>
  <sheetFormatPr defaultColWidth="9" defaultRowHeight="11.25"/>
  <cols>
    <col min="1" max="1" width="2.25" customWidth="1"/>
    <col min="2" max="2" width="34.25" customWidth="1"/>
    <col min="3" max="3" width="34.75" customWidth="1"/>
    <col min="4" max="4" width="36.5" hidden="1" customWidth="1"/>
    <col min="5" max="5" width="9" hidden="1" customWidth="1"/>
    <col min="6" max="6" width="7.25" customWidth="1"/>
    <col min="7" max="7" width="20" customWidth="1"/>
    <col min="8" max="11" width="7.25" customWidth="1"/>
  </cols>
  <sheetData>
    <row r="6" spans="2:11" ht="14.25">
      <c r="B6" s="329" t="s">
        <v>223</v>
      </c>
      <c r="J6" s="134"/>
    </row>
    <row r="7" spans="2:11" ht="22.5">
      <c r="B7" s="267" t="s">
        <v>224</v>
      </c>
      <c r="C7" s="284" t="s">
        <v>162</v>
      </c>
      <c r="D7" s="30"/>
      <c r="E7" s="30"/>
      <c r="F7" s="30"/>
      <c r="G7" s="5" t="s">
        <v>163</v>
      </c>
      <c r="H7" s="5" t="s">
        <v>164</v>
      </c>
      <c r="I7" s="5" t="s">
        <v>165</v>
      </c>
      <c r="J7" s="281" t="s">
        <v>166</v>
      </c>
      <c r="K7" s="282" t="s">
        <v>167</v>
      </c>
    </row>
    <row r="8" spans="2:11">
      <c r="B8" s="238" t="s">
        <v>225</v>
      </c>
      <c r="C8" s="375" t="str">
        <f>'Specification machine'!$C$76</f>
        <v xml:space="preserve"> </v>
      </c>
      <c r="D8" s="5"/>
      <c r="E8" s="5"/>
      <c r="F8" s="39" t="s">
        <v>226</v>
      </c>
      <c r="G8" s="100" t="s">
        <v>227</v>
      </c>
      <c r="H8" s="47"/>
      <c r="I8" s="47"/>
      <c r="J8" s="379"/>
      <c r="K8" s="291"/>
    </row>
    <row r="9" spans="2:11">
      <c r="B9" s="238" t="s">
        <v>228</v>
      </c>
      <c r="C9" s="285" t="str">
        <f>'Specification machine'!$C$77</f>
        <v xml:space="preserve"> </v>
      </c>
      <c r="D9" s="5"/>
      <c r="E9" s="5"/>
      <c r="F9" s="39" t="s">
        <v>226</v>
      </c>
      <c r="G9" s="5"/>
      <c r="H9" s="47"/>
      <c r="I9" s="47"/>
      <c r="J9" s="379"/>
      <c r="K9" s="291"/>
    </row>
    <row r="10" spans="2:11">
      <c r="B10" s="238" t="s">
        <v>229</v>
      </c>
      <c r="C10" s="239" t="str">
        <f>'Specification machine'!$C$75</f>
        <v xml:space="preserve"> </v>
      </c>
      <c r="D10" s="5"/>
      <c r="E10" s="5"/>
      <c r="F10" s="39" t="s">
        <v>230</v>
      </c>
      <c r="G10" s="5"/>
      <c r="H10" s="47"/>
      <c r="I10" s="47"/>
      <c r="J10" s="379"/>
      <c r="K10" s="291"/>
    </row>
    <row r="11" spans="2:11">
      <c r="B11" s="31"/>
      <c r="C11" s="336"/>
      <c r="D11" s="1"/>
      <c r="E11" s="1"/>
      <c r="F11" s="1"/>
      <c r="G11" s="1"/>
      <c r="H11" s="1"/>
      <c r="I11" s="1"/>
      <c r="J11" s="108"/>
      <c r="K11" s="338"/>
    </row>
    <row r="12" spans="2:11">
      <c r="C12" s="326"/>
      <c r="D12" s="1"/>
      <c r="E12" s="1"/>
      <c r="F12" s="1"/>
      <c r="G12" s="1"/>
      <c r="H12" s="1"/>
      <c r="I12" s="1"/>
      <c r="J12" s="108"/>
      <c r="K12" s="338"/>
    </row>
    <row r="13" spans="2:11" ht="17.25" customHeight="1">
      <c r="B13" s="329" t="s">
        <v>231</v>
      </c>
      <c r="C13" s="337"/>
      <c r="J13" s="134"/>
    </row>
    <row r="14" spans="2:11" ht="22.5">
      <c r="B14" s="246" t="s">
        <v>232</v>
      </c>
      <c r="C14" s="283" t="s">
        <v>163</v>
      </c>
      <c r="D14" s="273"/>
      <c r="E14" s="273"/>
      <c r="F14" s="273"/>
      <c r="G14" s="274"/>
      <c r="H14" s="5" t="s">
        <v>164</v>
      </c>
      <c r="I14" s="5" t="s">
        <v>165</v>
      </c>
      <c r="J14" s="281" t="s">
        <v>166</v>
      </c>
      <c r="K14" s="282" t="s">
        <v>167</v>
      </c>
    </row>
    <row r="15" spans="2:11">
      <c r="B15" s="238" t="s">
        <v>233</v>
      </c>
      <c r="C15" s="272"/>
      <c r="D15" s="273"/>
      <c r="E15" s="273"/>
      <c r="F15" s="273"/>
      <c r="G15" s="274"/>
      <c r="H15" s="47"/>
      <c r="I15" s="47"/>
      <c r="J15" s="379"/>
      <c r="K15" s="291"/>
    </row>
    <row r="16" spans="2:11">
      <c r="B16" s="238" t="s">
        <v>234</v>
      </c>
      <c r="C16" s="272"/>
      <c r="D16" s="273"/>
      <c r="E16" s="273"/>
      <c r="F16" s="273"/>
      <c r="G16" s="274"/>
      <c r="H16" s="47"/>
      <c r="I16" s="47"/>
      <c r="J16" s="379"/>
      <c r="K16" s="291"/>
    </row>
    <row r="21" spans="2:2">
      <c r="B21" s="1" t="s">
        <v>235</v>
      </c>
    </row>
    <row r="22" spans="2:2">
      <c r="B22" t="s">
        <v>236</v>
      </c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&amp;L&amp;"Verdana Pro Black,Vet"&amp;12&amp;A&amp;"Verdana Pro Black,Standaard"
&amp;"Verdana Pro,Standaard"&amp;10&amp;F&amp;R&amp;G</oddHeader>
    <oddFooter xml:space="preserve">&amp;L&amp;D &amp;T&amp;C&amp;P 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type xmlns="5813bd19-802b-4b7d-b2dc-cb884457e974" xsi:nil="true"/>
    <TaxCatchAll xmlns="eb215c7e-d01c-4cfb-be95-679d797aaca1" xsi:nil="true"/>
    <IconOverlay xmlns="http://schemas.microsoft.com/sharepoint/v4" xsi:nil="true"/>
    <Afzender xmlns="5813bd19-802b-4b7d-b2dc-cb884457e974" xsi:nil="true"/>
    <Dossiernummer xmlns="5813bd19-802b-4b7d-b2dc-cb884457e974">HHNK/12000772</Dossiernummer>
    <Opmerking_x0020_2 xmlns="5813bd19-802b-4b7d-b2dc-cb884457e974" xsi:nil="true"/>
    <IPM_x0020_-_x0020_Subindeling xmlns="218a2072-2fc9-43e9-a7ed-3f0e625fc093" xsi:nil="true"/>
    <lcf76f155ced4ddcb4097134ff3c332f xmlns="e9732f93-1c64-4f1f-865d-56ca634cae78">
      <Terms xmlns="http://schemas.microsoft.com/office/infopath/2007/PartnerControls"/>
    </lcf76f155ced4ddcb4097134ff3c332f>
    <Fase xmlns="5813bd19-802b-4b7d-b2dc-cb884457e974" xsi:nil="true"/>
    <Vakgebied xmlns="5813bd19-802b-4b7d-b2dc-cb884457e974" xsi:nil="true"/>
    <IPM-Hoofdindeling xmlns="218a2072-2fc9-43e9-a7ed-3f0e625fc093" xsi:nil="true"/>
    <Opmerking xmlns="5813bd19-802b-4b7d-b2dc-cb884457e974" xsi:nil="true"/>
    <Dossiercode xmlns="5813bd19-802b-4b7d-b2dc-cb884457e97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44EBCFBDD4F74797477BDCE63ADB63" ma:contentTypeVersion="29" ma:contentTypeDescription="Een nieuw document maken." ma:contentTypeScope="" ma:versionID="f6856dd30c99fb697643f1cdacdcb660">
  <xsd:schema xmlns:xsd="http://www.w3.org/2001/XMLSchema" xmlns:xs="http://www.w3.org/2001/XMLSchema" xmlns:p="http://schemas.microsoft.com/office/2006/metadata/properties" xmlns:ns2="5813bd19-802b-4b7d-b2dc-cb884457e974" xmlns:ns3="218a2072-2fc9-43e9-a7ed-3f0e625fc093" xmlns:ns4="http://schemas.microsoft.com/sharepoint/v4" xmlns:ns5="e9732f93-1c64-4f1f-865d-56ca634cae78" xmlns:ns6="eb215c7e-d01c-4cfb-be95-679d797aaca1" targetNamespace="http://schemas.microsoft.com/office/2006/metadata/properties" ma:root="true" ma:fieldsID="043624dc808fa3a39f9bd59b7e66913a" ns2:_="" ns3:_="" ns4:_="" ns5:_="" ns6:_="">
    <xsd:import namespace="5813bd19-802b-4b7d-b2dc-cb884457e974"/>
    <xsd:import namespace="218a2072-2fc9-43e9-a7ed-3f0e625fc093"/>
    <xsd:import namespace="http://schemas.microsoft.com/sharepoint/v4"/>
    <xsd:import namespace="e9732f93-1c64-4f1f-865d-56ca634cae78"/>
    <xsd:import namespace="eb215c7e-d01c-4cfb-be95-679d797aaca1"/>
    <xsd:element name="properties">
      <xsd:complexType>
        <xsd:sequence>
          <xsd:element name="documentManagement">
            <xsd:complexType>
              <xsd:all>
                <xsd:element ref="ns2:Fase" minOccurs="0"/>
                <xsd:element ref="ns2:Onderwerptype" minOccurs="0"/>
                <xsd:element ref="ns2:Vakgebied" minOccurs="0"/>
                <xsd:element ref="ns2:Afzender" minOccurs="0"/>
                <xsd:element ref="ns2:Opmerking" minOccurs="0"/>
                <xsd:element ref="ns2:Opmerking_x0020_2" minOccurs="0"/>
                <xsd:element ref="ns3:IPM-Hoofdindeling" minOccurs="0"/>
                <xsd:element ref="ns3:IPM_x0020_-_x0020_Subindeling" minOccurs="0"/>
                <xsd:element ref="ns2:Dossiernummer" minOccurs="0"/>
                <xsd:element ref="ns2:Dossiercode" minOccurs="0"/>
                <xsd:element ref="ns4:IconOverlay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6:TaxCatchAll" minOccurs="0"/>
                <xsd:element ref="ns5:MediaServiceGenerationTime" minOccurs="0"/>
                <xsd:element ref="ns5:MediaServiceEventHashCode" minOccurs="0"/>
                <xsd:element ref="ns5:MediaServiceSearchProperties" minOccurs="0"/>
                <xsd:element ref="ns5:MediaServiceDateTaken" minOccurs="0"/>
                <xsd:element ref="ns5:MediaServiceOCR" minOccurs="0"/>
                <xsd:element ref="ns5:MediaServiceLocation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13bd19-802b-4b7d-b2dc-cb884457e974" elementFormDefault="qualified">
    <xsd:import namespace="http://schemas.microsoft.com/office/2006/documentManagement/types"/>
    <xsd:import namespace="http://schemas.microsoft.com/office/infopath/2007/PartnerControls"/>
    <xsd:element name="Fase" ma:index="2" nillable="true" ma:displayName="Fase" ma:format="Dropdown" ma:internalName="Fase" ma:readOnly="false">
      <xsd:simpleType>
        <xsd:restriction base="dms:Choice">
          <xsd:enumeration value="Fase-onafhankelijk"/>
          <xsd:enumeration value="Initiatieffase"/>
          <xsd:enumeration value="Definitiefase"/>
          <xsd:enumeration value="Ontwerpfase"/>
          <xsd:enumeration value="Bestekfase"/>
          <xsd:enumeration value="Realisatiefase"/>
          <xsd:enumeration value="Nazorgfase"/>
        </xsd:restriction>
      </xsd:simpleType>
    </xsd:element>
    <xsd:element name="Onderwerptype" ma:index="3" nillable="true" ma:displayName="Onderwerptype" ma:format="Dropdown" ma:internalName="Onderwerptype" ma:readOnly="false">
      <xsd:simpleType>
        <xsd:restriction base="dms:Choice">
          <xsd:enumeration value="Advies"/>
          <xsd:enumeration value="Bestek"/>
          <xsd:enumeration value="Bestuurszaken"/>
          <xsd:enumeration value="Communicatie"/>
          <xsd:enumeration value="Correspondentie"/>
          <xsd:enumeration value="Evaluatie"/>
          <xsd:enumeration value="Financiën"/>
          <xsd:enumeration value="KLIC-melding"/>
          <xsd:enumeration value="Memo"/>
          <xsd:enumeration value="Notitie"/>
          <xsd:enumeration value="Offerte"/>
          <xsd:enumeration value="Ontwerp"/>
          <xsd:enumeration value="Opdracht"/>
          <xsd:enumeration value="Overeenkomst"/>
          <xsd:enumeration value="Plan van aanpak"/>
          <xsd:enumeration value="Planvorming"/>
          <xsd:enumeration value="Proces-verbaal"/>
          <xsd:enumeration value="Projectbeheersing"/>
          <xsd:enumeration value="Rapport"/>
          <xsd:enumeration value="Rapportage"/>
          <xsd:enumeration value="Tekening"/>
          <xsd:enumeration value="Vergadering"/>
          <xsd:enumeration value="Vergunning, ontheffing"/>
        </xsd:restriction>
      </xsd:simpleType>
    </xsd:element>
    <xsd:element name="Vakgebied" ma:index="4" nillable="true" ma:displayName="Vakdiscipline" ma:format="Dropdown" ma:internalName="Vakgebied" ma:readOnly="false">
      <xsd:simpleType>
        <xsd:restriction base="dms:Choice">
          <xsd:enumeration value="VB - Civiel"/>
          <xsd:enumeration value="VB - Mechanisch"/>
          <xsd:enumeration value="VB - Elektrisch"/>
          <xsd:enumeration value="VB - Werktuigbouwkundig"/>
          <xsd:enumeration value="PV - Waterkwaliteit"/>
          <xsd:enumeration value="PV - Waterkwantiteit"/>
          <xsd:enumeration value="PV - Afvalwaterketen"/>
          <xsd:enumeration value="PV - Waterkeringen"/>
          <xsd:enumeration value="PV - Veilige (vaar-)wegen"/>
          <xsd:enumeration value="PV - Waterveiligheid"/>
          <xsd:enumeration value="PV - Ecologie"/>
          <xsd:enumeration value="PV - Planologie"/>
          <xsd:enumeration value="PV - Archeologie en cultuurhistorie"/>
          <xsd:enumeration value="PV - Recreatie"/>
          <xsd:enumeration value="PV - Geotechniek"/>
          <xsd:enumeration value="PV - Juridisch"/>
          <xsd:enumeration value="PV - Modeleringen"/>
          <xsd:enumeration value="PV - Milieutechniek"/>
        </xsd:restriction>
      </xsd:simpleType>
    </xsd:element>
    <xsd:element name="Afzender" ma:index="5" nillable="true" ma:displayName="Afzender" ma:internalName="Afzender" ma:readOnly="false">
      <xsd:simpleType>
        <xsd:restriction base="dms:Text">
          <xsd:maxLength value="255"/>
        </xsd:restriction>
      </xsd:simpleType>
    </xsd:element>
    <xsd:element name="Opmerking" ma:index="6" nillable="true" ma:displayName="Opmerking 1" ma:internalName="Opmerking" ma:readOnly="false">
      <xsd:simpleType>
        <xsd:restriction base="dms:Text">
          <xsd:maxLength value="25"/>
        </xsd:restriction>
      </xsd:simpleType>
    </xsd:element>
    <xsd:element name="Opmerking_x0020_2" ma:index="7" nillable="true" ma:displayName="Opmerking 2" ma:internalName="Opmerking_x0020_2" ma:readOnly="false">
      <xsd:simpleType>
        <xsd:restriction base="dms:Text">
          <xsd:maxLength value="30"/>
        </xsd:restriction>
      </xsd:simpleType>
    </xsd:element>
    <xsd:element name="Dossiernummer" ma:index="10" nillable="true" ma:displayName="Dossiernummer" ma:default="HHNK/12000772" ma:internalName="Dossiernummer">
      <xsd:simpleType>
        <xsd:restriction base="dms:Text"/>
      </xsd:simpleType>
    </xsd:element>
    <xsd:element name="Dossiercode" ma:index="17" nillable="true" ma:displayName="Dossiercode" ma:hidden="true" ma:internalName="Dossier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a2072-2fc9-43e9-a7ed-3f0e625fc093" elementFormDefault="qualified">
    <xsd:import namespace="http://schemas.microsoft.com/office/2006/documentManagement/types"/>
    <xsd:import namespace="http://schemas.microsoft.com/office/infopath/2007/PartnerControls"/>
    <xsd:element name="IPM-Hoofdindeling" ma:index="8" nillable="true" ma:displayName="IPM - Hoofdindeling" ma:format="Dropdown" ma:internalName="IPM_x002d_Hoofdindeling" ma:readOnly="false">
      <xsd:simpleType>
        <xsd:restriction base="dms:Choice">
          <xsd:enumeration value="Projectmanagement (PM)"/>
          <xsd:enumeration value="Technisch management (TM)"/>
          <xsd:enumeration value="Omgevingsmanagement (OM)"/>
          <xsd:enumeration value="Contractmanagement (CM)"/>
          <xsd:enumeration value="Projectbeheersing (PB)"/>
          <xsd:enumeration value="Projectondersteuning (PO)"/>
          <xsd:enumeration value="Control en Audit (CA)"/>
        </xsd:restriction>
      </xsd:simpleType>
    </xsd:element>
    <xsd:element name="IPM_x0020_-_x0020_Subindeling" ma:index="9" nillable="true" ma:displayName="IPM - Subindeling" ma:format="Dropdown" ma:internalName="IPM_x0020__x002d__x0020_Subindeling" ma:readOnly="false">
      <xsd:simpleType>
        <xsd:restriction base="dms:Choice">
          <xsd:enumeration value="PM - Project"/>
          <xsd:enumeration value="PM - Kwaliteit"/>
          <xsd:enumeration value="PM - HRM"/>
          <xsd:enumeration value="PM - Veiligheid"/>
          <xsd:enumeration value="TM - Basis Variant"/>
          <xsd:enumeration value="TM - Kabels &amp; Leidingen (KLIC)"/>
          <xsd:enumeration value="TM - Grond"/>
          <xsd:enumeration value="TM - Beheer &amp; Onderhoud"/>
          <xsd:enumeration value="TM - Toetsing"/>
          <xsd:enumeration value="TM - Onderzoeken"/>
          <xsd:enumeration value="TM - Geodata"/>
          <xsd:enumeration value="TM - HR"/>
          <xsd:enumeration value="TM - Projectplan"/>
          <xsd:enumeration value="TM - Uitvoering"/>
          <xsd:enumeration value="TM - Directie"/>
          <xsd:enumeration value="OM - Stakeholders"/>
          <xsd:enumeration value="OM - Communicatie"/>
          <xsd:enumeration value="OM - Vergunningen"/>
          <xsd:enumeration value="OM - Ruimtelijke inpassing"/>
          <xsd:enumeration value="CM - Markt"/>
          <xsd:enumeration value="CM - Aanbesteding"/>
          <xsd:enumeration value="CM - Contractbeheersing (SCB)"/>
          <xsd:enumeration value="PB - Scope"/>
          <xsd:enumeration value="PB - Tijd"/>
          <xsd:enumeration value="PB - Geld"/>
          <xsd:enumeration value="PB - Rapportage"/>
          <xsd:enumeration value="PB - Risico's"/>
          <xsd:enumeration value="PB - Projectdossier"/>
          <xsd:enumeration value="PO - Afsprakenregister"/>
          <xsd:enumeration value="PO - Overleg"/>
          <xsd:enumeration value="PO - Correspondentie"/>
          <xsd:enumeration value="CA - Programma Control"/>
          <xsd:enumeration value="CA - Project Control"/>
          <xsd:enumeration value="CA - Audi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32f93-1c64-4f1f-865d-56ca634cae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3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15c7e-d01c-4cfb-be95-679d797aaca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616fce73-4bac-48b4-a1e3-39250de31b91}" ma:internalName="TaxCatchAll" ma:showField="CatchAllData" ma:web="eb215c7e-d01c-4cfb-be95-679d797aa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z m w 9 V 2 A H B R a k A A A A 9 g A A A B I A H A B D b 2 5 m a W c v U G F j a 2 F n Z S 5 4 b W w g o h g A K K A U A A A A A A A A A A A A A A A A A A A A A A A A A A A A h Y 8 x D o I w G I W v Q r r T l m o M I a U M r m B M T I x r U y o 0 w o + h x X I 3 B 4 / k F c Q o 6 u b 4 v v c N 7 9 2 v N 5 6 N b R N c d G 9 N B y m K M E W B B t W V B q o U D e 4 Y x i g T f C v V S V Y 6 m G S w y W j L F N X O n R N C v P f Y L 3 D X V 4 R R G p F D k e 9 U r V u J P r L 5 L 4 c G r J O g N B J 8 / x o j G I 6 i J Y 5 X D F N O Z s g L A 1 + B T X u f 7 Q / k 6 6 F x Q 6 8 F N O E m 5 2 S O n L w / i A d Q S w M E F A A C A A g A z m w 9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5 s P V c o i k e 4 D g A A A B E A A A A T A B w A R m 9 y b X V s Y X M v U 2 V j d G l v b j E u b S C i G A A o o B Q A A A A A A A A A A A A A A A A A A A A A A A A A A A A r T k 0 u y c z P U w i G 0 I b W A F B L A Q I t A B Q A A g A I A M 5 s P V d g B w U W p A A A A P Y A A A A S A A A A A A A A A A A A A A A A A A A A A A B D b 2 5 m a W c v U G F j a 2 F n Z S 5 4 b W x Q S w E C L Q A U A A I A C A D O b D 1 X D 8 r p q 6 Q A A A D p A A A A E w A A A A A A A A A A A A A A A A D w A A A A W 0 N v b n R l b n R f V H l w Z X N d L n h t b F B L A Q I t A B Q A A g A I A M 5 s P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W j + c s Z w Q j Q K a 0 k f A I T E p y A A A A A A I A A A A A A A N m A A D A A A A A E A A A A F e / M D g M R a J M d 9 t 7 4 U J M m X c A A A A A B I A A A K A A A A A Q A A A A 1 9 A 1 W j Q 0 n R 7 5 C n o b 0 J p 9 5 l A A A A D 6 1 x A F A o 5 2 O o U 3 i t N 4 4 V W 1 F 4 s i I K R f 5 0 l 8 v k 6 l k 8 S o 7 Z R u K d r T 9 5 1 b x 4 t F y q 8 D v B D 0 I f + V l A Z Z W 4 E e l r 2 h 5 u J r W X j + P I M b w e w g 3 E d u M 5 H Y c R Q A A A D w 6 j k N J k I Z A s U 8 v K b 0 l p s + P m i I t A = = < / D a t a M a s h u p > 
</file>

<file path=customXml/itemProps1.xml><?xml version="1.0" encoding="utf-8"?>
<ds:datastoreItem xmlns:ds="http://schemas.openxmlformats.org/officeDocument/2006/customXml" ds:itemID="{C43C429B-E656-4297-973D-8F8BDDC4DAC6}">
  <ds:schemaRefs>
    <ds:schemaRef ds:uri="http://schemas.microsoft.com/office/2006/metadata/properties"/>
    <ds:schemaRef ds:uri="http://schemas.microsoft.com/office/infopath/2007/PartnerControls"/>
    <ds:schemaRef ds:uri="5813bd19-802b-4b7d-b2dc-cb884457e974"/>
    <ds:schemaRef ds:uri="eb215c7e-d01c-4cfb-be95-679d797aaca1"/>
    <ds:schemaRef ds:uri="http://schemas.microsoft.com/sharepoint/v4"/>
    <ds:schemaRef ds:uri="218a2072-2fc9-43e9-a7ed-3f0e625fc093"/>
    <ds:schemaRef ds:uri="e9732f93-1c64-4f1f-865d-56ca634cae78"/>
  </ds:schemaRefs>
</ds:datastoreItem>
</file>

<file path=customXml/itemProps2.xml><?xml version="1.0" encoding="utf-8"?>
<ds:datastoreItem xmlns:ds="http://schemas.openxmlformats.org/officeDocument/2006/customXml" ds:itemID="{50A17201-564F-4503-8B18-16E40F922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13bd19-802b-4b7d-b2dc-cb884457e974"/>
    <ds:schemaRef ds:uri="218a2072-2fc9-43e9-a7ed-3f0e625fc093"/>
    <ds:schemaRef ds:uri="http://schemas.microsoft.com/sharepoint/v4"/>
    <ds:schemaRef ds:uri="e9732f93-1c64-4f1f-865d-56ca634cae78"/>
    <ds:schemaRef ds:uri="eb215c7e-d01c-4cfb-be95-679d797aa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BB1A0-07BA-4B0C-ACB8-D74D8464D56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5B390CA-61A8-4500-ABE8-FCA8CA9C82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42</vt:i4>
      </vt:variant>
      <vt:variant>
        <vt:lpstr>Benoemde bereiken</vt:lpstr>
      </vt:variant>
      <vt:variant>
        <vt:i4>50</vt:i4>
      </vt:variant>
    </vt:vector>
  </HeadingPairs>
  <TitlesOfParts>
    <vt:vector size="92" baseType="lpstr">
      <vt:lpstr>Test plan Electric Machines</vt:lpstr>
      <vt:lpstr>1. Machine Test Document</vt:lpstr>
      <vt:lpstr>1.1 Project Information</vt:lpstr>
      <vt:lpstr>1.2 Test approval</vt:lpstr>
      <vt:lpstr>2.1 Test Protocols</vt:lpstr>
      <vt:lpstr>3.1.1 Visual Inspection</vt:lpstr>
      <vt:lpstr>3.1.2 Visual Inspection</vt:lpstr>
      <vt:lpstr>3.1.3 Visual Inspection</vt:lpstr>
      <vt:lpstr>3.2. Basic Tests</vt:lpstr>
      <vt:lpstr>3.3 Insulation Resistance Cold</vt:lpstr>
      <vt:lpstr>3.4 Resistance Winding Cold</vt:lpstr>
      <vt:lpstr>3.5 RTD PT-100 Cold</vt:lpstr>
      <vt:lpstr>3.6 PTC stop</vt:lpstr>
      <vt:lpstr>3.7 PTC warning</vt:lpstr>
      <vt:lpstr>3.8 Insulation HiPot AC</vt:lpstr>
      <vt:lpstr>3.9 BEMF(Cold)</vt:lpstr>
      <vt:lpstr>3.10 Overspeed Test</vt:lpstr>
      <vt:lpstr>3.11 Temperature Rise Test ETD</vt:lpstr>
      <vt:lpstr>3.12 Temp. Rise Test Bearings</vt:lpstr>
      <vt:lpstr>3.13 Resistance Winding Hot</vt:lpstr>
      <vt:lpstr>3.14 Winding Rise Test Calc</vt:lpstr>
      <vt:lpstr>3.15.1 Load Test 1</vt:lpstr>
      <vt:lpstr>3.15.2 Load Test 2</vt:lpstr>
      <vt:lpstr>3.16 No-Load Test</vt:lpstr>
      <vt:lpstr>3.17.1 Vibration test</vt:lpstr>
      <vt:lpstr>3.17.2 Vibration test</vt:lpstr>
      <vt:lpstr>3.18.1 Noise test</vt:lpstr>
      <vt:lpstr>3.18.2 Noise test</vt:lpstr>
      <vt:lpstr>3.19 Locked Rotor Test</vt:lpstr>
      <vt:lpstr>3.20 BEMF(Hot)</vt:lpstr>
      <vt:lpstr>3.21 Insulation Resistance Hot</vt:lpstr>
      <vt:lpstr>3.22 RTD PT-100 Hot</vt:lpstr>
      <vt:lpstr>Annex 1.1  Spec. Machine</vt:lpstr>
      <vt:lpstr>Annex 1.2  Spec. Machine </vt:lpstr>
      <vt:lpstr>Annex 1.3  Spec. Machine </vt:lpstr>
      <vt:lpstr>Annex 2</vt:lpstr>
      <vt:lpstr>Annex 3.1 Specifications VFD</vt:lpstr>
      <vt:lpstr>Annex 3.2 Specifications VFD</vt:lpstr>
      <vt:lpstr>Annex 4  PT100</vt:lpstr>
      <vt:lpstr>Specification machine</vt:lpstr>
      <vt:lpstr>Settings (no)load</vt:lpstr>
      <vt:lpstr>Notes</vt:lpstr>
      <vt:lpstr>'1.1 Project Information'!_Toc156308983</vt:lpstr>
      <vt:lpstr>'3.1.1 Visual Inspection'!_Toc156308983</vt:lpstr>
      <vt:lpstr>'3.1.2 Visual Inspection'!_Toc156308983</vt:lpstr>
      <vt:lpstr>'3.1.3 Visual Inspection'!_Toc156308983</vt:lpstr>
      <vt:lpstr>'3.2. Basic Tests'!_Toc156308983</vt:lpstr>
      <vt:lpstr>'1.1 Project Information'!_Toc156308984</vt:lpstr>
      <vt:lpstr>'1.2 Test approval'!_Toc156308984</vt:lpstr>
      <vt:lpstr>'1.1 Project Information'!_Toc156308985</vt:lpstr>
      <vt:lpstr>'1.2 Test approval'!_Toc156308985</vt:lpstr>
      <vt:lpstr>'1.1 Project Information'!_Toc156308986</vt:lpstr>
      <vt:lpstr>'3.1.1 Visual Inspection'!_Toc156308986</vt:lpstr>
      <vt:lpstr>'3.1.2 Visual Inspection'!_Toc156308986</vt:lpstr>
      <vt:lpstr>'3.1.3 Visual Inspection'!_Toc156308986</vt:lpstr>
      <vt:lpstr>'3.2. Basic Tests'!_Toc156308986</vt:lpstr>
      <vt:lpstr>'1.1 Project Information'!_Toc156308987</vt:lpstr>
      <vt:lpstr>'1.2 Test approval'!_Toc156308987</vt:lpstr>
      <vt:lpstr>'1.1 Project Information'!_Toc156308988</vt:lpstr>
      <vt:lpstr>'1.2 Test approval'!_Toc156308988</vt:lpstr>
      <vt:lpstr>'1.2 Test approval'!_Toc156308991</vt:lpstr>
      <vt:lpstr>'3.1.3 Visual Inspection'!_Toc156309008</vt:lpstr>
      <vt:lpstr>'3.2. Basic Tests'!_Toc156309008</vt:lpstr>
      <vt:lpstr>'Annex 3.2 Specifications VFD'!_Toc156309047</vt:lpstr>
      <vt:lpstr>'Annex 4  PT100'!_Toc156309047</vt:lpstr>
      <vt:lpstr>'Annex 2'!_Toc156309050</vt:lpstr>
      <vt:lpstr>'1. Machine Test Document'!Afdrukbereik</vt:lpstr>
      <vt:lpstr>'1.1 Project Information'!Afdrukbereik</vt:lpstr>
      <vt:lpstr>'1.2 Test approval'!Afdrukbereik</vt:lpstr>
      <vt:lpstr>'2.1 Test Protocols'!Afdrukbereik</vt:lpstr>
      <vt:lpstr>'3.1.1 Visual Inspection'!Afdrukbereik</vt:lpstr>
      <vt:lpstr>'3.1.2 Visual Inspection'!Afdrukbereik</vt:lpstr>
      <vt:lpstr>'3.1.3 Visual Inspection'!Afdrukbereik</vt:lpstr>
      <vt:lpstr>'3.13 Resistance Winding Hot'!Afdrukbereik</vt:lpstr>
      <vt:lpstr>'3.14 Winding Rise Test Calc'!Afdrukbereik</vt:lpstr>
      <vt:lpstr>'3.15.1 Load Test 1'!Afdrukbereik</vt:lpstr>
      <vt:lpstr>'3.15.2 Load Test 2'!Afdrukbereik</vt:lpstr>
      <vt:lpstr>'3.16 No-Load Test'!Afdrukbereik</vt:lpstr>
      <vt:lpstr>'3.19 Locked Rotor Test'!Afdrukbereik</vt:lpstr>
      <vt:lpstr>'3.2. Basic Tests'!Afdrukbereik</vt:lpstr>
      <vt:lpstr>'3.20 BEMF(Hot)'!Afdrukbereik</vt:lpstr>
      <vt:lpstr>'3.21 Insulation Resistance Hot'!Afdrukbereik</vt:lpstr>
      <vt:lpstr>'3.3 Insulation Resistance Cold'!Afdrukbereik</vt:lpstr>
      <vt:lpstr>'3.4 Resistance Winding Cold'!Afdrukbereik</vt:lpstr>
      <vt:lpstr>'3.6 PTC stop'!Afdrukbereik</vt:lpstr>
      <vt:lpstr>'3.7 PTC warning'!Afdrukbereik</vt:lpstr>
      <vt:lpstr>'3.8 Insulation HiPot AC'!Afdrukbereik</vt:lpstr>
      <vt:lpstr>'3.9 BEMF(Cold)'!Afdrukbereik</vt:lpstr>
      <vt:lpstr>'Annex 2'!Afdrukbereik</vt:lpstr>
      <vt:lpstr>Notes!Afdrukbereik</vt:lpstr>
      <vt:lpstr>'Test plan Electric Machines'!Afdrukbereik</vt:lpstr>
      <vt:lpstr>'Annex 2'!Afdruktitels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Schilpzand, Ernst-Jan</dc:creator>
  <cp:keywords/>
  <dc:description/>
  <cp:lastModifiedBy>Schilpzand, Ernst-Jan</cp:lastModifiedBy>
  <cp:revision/>
  <cp:lastPrinted>2025-09-17T16:52:37Z</cp:lastPrinted>
  <dcterms:created xsi:type="dcterms:W3CDTF">2023-09-29T11:29:33Z</dcterms:created>
  <dcterms:modified xsi:type="dcterms:W3CDTF">2025-09-17T17:12:58Z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0x0101007744EBCFBDD4F74797477BDCE63ADB63</vt:lpwstr>
  </property>
  <property fmtid="{D5CDD505-2E9C-101B-9397-08002B2CF9AE}" pid="3" name="MediaServiceImageTags">
    <vt:lpwstr/>
  </property>
</Properties>
</file>