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wijneninkoop-my.sharepoint.com/personal/lourens_wijneninkoopadvies_nl/Documents/0. Wijnen Inkoopadvies/2025-07 KYK scholen/ICT beheersdiensten/Aanbesteding/"/>
    </mc:Choice>
  </mc:AlternateContent>
  <xr:revisionPtr revIDLastSave="1" documentId="8_{E581A98D-423E-469F-9CBF-30B085730CF4}" xr6:coauthVersionLast="47" xr6:coauthVersionMax="47" xr10:uidLastSave="{EF99EFFE-7FAC-483B-BC41-A6DFC8AE5368}"/>
  <bookViews>
    <workbookView xWindow="-120" yWindow="-120" windowWidth="29040" windowHeight="15720" firstSheet="2" activeTab="2" xr2:uid="{BA72C558-8314-4D54-B43C-903DFA831FFB}"/>
  </bookViews>
  <sheets>
    <sheet name="rekenvoorbeelden gunningsmethod" sheetId="1" state="hidden" r:id="rId1"/>
    <sheet name="GOW prijsmodel HW - NB2024" sheetId="2" state="hidden" r:id="rId2"/>
    <sheet name="Invulformulier B - Prijs"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 i="4" l="1"/>
  <c r="G9" i="4"/>
  <c r="E9" i="4"/>
  <c r="D9" i="4"/>
  <c r="G15" i="4"/>
  <c r="H15" i="4" s="1"/>
  <c r="G16" i="4"/>
  <c r="H16" i="4" s="1"/>
  <c r="G14" i="4"/>
  <c r="H9" i="4"/>
  <c r="H17" i="4" l="1"/>
  <c r="H10" i="4"/>
  <c r="H19" i="4" l="1"/>
  <c r="B22" i="2"/>
  <c r="C22" i="2" s="1"/>
  <c r="J22" i="2" s="1"/>
  <c r="H14" i="2"/>
  <c r="H16" i="2"/>
  <c r="I16" i="2" s="1"/>
  <c r="H15" i="2"/>
  <c r="H13" i="2"/>
  <c r="K16" i="2"/>
  <c r="K13" i="2"/>
  <c r="S12" i="2"/>
  <c r="F16" i="2" s="1"/>
  <c r="S10" i="2"/>
  <c r="F15" i="2" s="1"/>
  <c r="S8" i="2"/>
  <c r="F14" i="2" s="1"/>
  <c r="S6" i="2"/>
  <c r="F13" i="2" s="1"/>
  <c r="G39" i="2"/>
  <c r="I39" i="2" s="1"/>
  <c r="E39" i="2"/>
  <c r="G38" i="2"/>
  <c r="I38" i="2" s="1"/>
  <c r="E38" i="2"/>
  <c r="G37" i="2"/>
  <c r="I37" i="2" s="1"/>
  <c r="E37" i="2"/>
  <c r="G36" i="2"/>
  <c r="I36" i="2" s="1"/>
  <c r="E36" i="2"/>
  <c r="G33" i="2"/>
  <c r="I33" i="2" s="1"/>
  <c r="G32" i="2"/>
  <c r="I32" i="2" s="1"/>
  <c r="G31" i="2"/>
  <c r="G30" i="2"/>
  <c r="J16" i="2"/>
  <c r="G16" i="2"/>
  <c r="J15" i="2"/>
  <c r="K15" i="2" s="1"/>
  <c r="G15" i="2"/>
  <c r="J14" i="2"/>
  <c r="K14" i="2" s="1"/>
  <c r="G14" i="2"/>
  <c r="E14" i="2"/>
  <c r="J13" i="2"/>
  <c r="G13" i="2"/>
  <c r="R12" i="2"/>
  <c r="E16" i="2" s="1"/>
  <c r="R10" i="2"/>
  <c r="E32" i="2" s="1"/>
  <c r="R8" i="2"/>
  <c r="E31" i="2" s="1"/>
  <c r="F36" i="2"/>
  <c r="R6" i="2"/>
  <c r="E30" i="2" s="1"/>
  <c r="R6" i="1"/>
  <c r="S6" i="1"/>
  <c r="T6" i="1"/>
  <c r="R8" i="1"/>
  <c r="S8" i="1"/>
  <c r="T8" i="1"/>
  <c r="R10" i="1"/>
  <c r="S10" i="1"/>
  <c r="T10" i="1"/>
  <c r="R12" i="1"/>
  <c r="S12" i="1"/>
  <c r="T12" i="1"/>
  <c r="E13" i="1"/>
  <c r="F13" i="1"/>
  <c r="G13" i="1"/>
  <c r="J13" i="1"/>
  <c r="K13" i="1"/>
  <c r="E14" i="1"/>
  <c r="F14" i="1"/>
  <c r="G14" i="1"/>
  <c r="J14" i="1"/>
  <c r="K14" i="1"/>
  <c r="E15" i="1"/>
  <c r="F15" i="1"/>
  <c r="G15" i="1"/>
  <c r="J15" i="1"/>
  <c r="K15" i="1"/>
  <c r="E16" i="1"/>
  <c r="F16" i="1"/>
  <c r="G16" i="1"/>
  <c r="I16" i="1"/>
  <c r="J16" i="1"/>
  <c r="K16" i="1"/>
  <c r="L16" i="1"/>
  <c r="B22" i="1"/>
  <c r="C22" i="1"/>
  <c r="F22" i="1"/>
  <c r="J22" i="1"/>
  <c r="K22" i="1"/>
  <c r="L22" i="1"/>
  <c r="F23" i="1"/>
  <c r="J23" i="1"/>
  <c r="K23" i="1"/>
  <c r="L23" i="1"/>
  <c r="F24" i="1"/>
  <c r="K24" i="1"/>
  <c r="L24" i="1"/>
  <c r="F25" i="1"/>
  <c r="J25" i="1"/>
  <c r="K25" i="1"/>
  <c r="L25" i="1"/>
  <c r="J26" i="1"/>
  <c r="K26" i="1"/>
  <c r="L26" i="1"/>
  <c r="E30" i="1"/>
  <c r="F30" i="1"/>
  <c r="G30" i="1"/>
  <c r="I30" i="1"/>
  <c r="K30" i="1"/>
  <c r="L30" i="1"/>
  <c r="E31" i="1"/>
  <c r="F31" i="1"/>
  <c r="G31" i="1"/>
  <c r="I31" i="1"/>
  <c r="K31" i="1"/>
  <c r="L31" i="1"/>
  <c r="E32" i="1"/>
  <c r="F32" i="1"/>
  <c r="G32" i="1"/>
  <c r="I32" i="1"/>
  <c r="K32" i="1"/>
  <c r="L32" i="1"/>
  <c r="E33" i="1"/>
  <c r="F33" i="1"/>
  <c r="G33" i="1"/>
  <c r="I33" i="1"/>
  <c r="K33" i="1"/>
  <c r="L33" i="1"/>
  <c r="M32" i="1" s="1" a="1"/>
  <c r="M32" i="1" s="1"/>
  <c r="M33" i="1" a="1"/>
  <c r="M33" i="1"/>
  <c r="E36" i="1"/>
  <c r="F36" i="1"/>
  <c r="G36" i="1"/>
  <c r="I36" i="1"/>
  <c r="K36" i="1"/>
  <c r="L36" i="1"/>
  <c r="E37" i="1"/>
  <c r="F37" i="1"/>
  <c r="G37" i="1"/>
  <c r="I37" i="1"/>
  <c r="K37" i="1"/>
  <c r="L37" i="1"/>
  <c r="E38" i="1"/>
  <c r="F38" i="1"/>
  <c r="G38" i="1"/>
  <c r="I38" i="1"/>
  <c r="K38" i="1"/>
  <c r="L38" i="1"/>
  <c r="E39" i="1"/>
  <c r="F39" i="1"/>
  <c r="G39" i="1"/>
  <c r="I39" i="1"/>
  <c r="K39" i="1"/>
  <c r="L39" i="1"/>
  <c r="M38" i="1" s="1" a="1"/>
  <c r="M38" i="1" s="1"/>
  <c r="M39" i="1" a="1"/>
  <c r="M39" i="1"/>
  <c r="K38" i="2" l="1"/>
  <c r="K39" i="2"/>
  <c r="K32" i="2"/>
  <c r="K33" i="2"/>
  <c r="K36" i="2"/>
  <c r="L36" i="2" s="1"/>
  <c r="K30" i="2"/>
  <c r="K31" i="2"/>
  <c r="K37" i="2"/>
  <c r="L16" i="2"/>
  <c r="E15" i="2"/>
  <c r="E13" i="2"/>
  <c r="E33" i="2"/>
  <c r="F30" i="2"/>
  <c r="F31" i="2"/>
  <c r="F32" i="2"/>
  <c r="F33" i="2"/>
  <c r="F37" i="2"/>
  <c r="F38" i="2"/>
  <c r="L38" i="2" s="1"/>
  <c r="F39" i="2"/>
  <c r="J25" i="2"/>
  <c r="J23" i="2"/>
  <c r="J26" i="2"/>
  <c r="F22" i="2"/>
  <c r="M37" i="1" a="1"/>
  <c r="M37" i="1" s="1"/>
  <c r="M36" i="1" a="1"/>
  <c r="M36" i="1" s="1"/>
  <c r="M31" i="1" a="1"/>
  <c r="M31" i="1" s="1"/>
  <c r="M30" i="1" a="1"/>
  <c r="M30" i="1" s="1"/>
  <c r="H13" i="1"/>
  <c r="H14" i="1"/>
  <c r="H15" i="1"/>
  <c r="L30" i="2" l="1"/>
  <c r="L39" i="2"/>
  <c r="M39" i="2" s="1" a="1"/>
  <c r="M39" i="2" s="1"/>
  <c r="L32" i="2"/>
  <c r="L37" i="2"/>
  <c r="L33" i="2"/>
  <c r="L31" i="2"/>
  <c r="M30" i="2" s="1" a="1"/>
  <c r="M30" i="2" s="1"/>
  <c r="M33" i="2" a="1"/>
  <c r="M33" i="2" s="1"/>
  <c r="F24" i="2"/>
  <c r="F23" i="2"/>
  <c r="F25" i="2"/>
  <c r="M36" i="2" a="1"/>
  <c r="M36" i="2" s="1"/>
  <c r="M38" i="2" a="1"/>
  <c r="M38" i="2" s="1"/>
  <c r="M37" i="2" a="1"/>
  <c r="M37" i="2" s="1"/>
  <c r="L14" i="2"/>
  <c r="I14" i="2"/>
  <c r="L13" i="2"/>
  <c r="I13" i="2"/>
  <c r="I15" i="2"/>
  <c r="L15" i="2"/>
  <c r="I15" i="1"/>
  <c r="L15" i="1"/>
  <c r="I14" i="1"/>
  <c r="L14" i="1"/>
  <c r="I13" i="1"/>
  <c r="L13" i="1"/>
  <c r="M32" i="2" l="1" a="1"/>
  <c r="M32" i="2" s="1"/>
  <c r="M15" i="2" a="1"/>
  <c r="M15" i="2" s="1"/>
  <c r="M31" i="2" a="1"/>
  <c r="M31" i="2" s="1"/>
  <c r="M13" i="2" a="1"/>
  <c r="M13" i="2" s="1"/>
  <c r="M16" i="2" a="1"/>
  <c r="M16" i="2" s="1"/>
  <c r="M14" i="2" a="1"/>
  <c r="M14" i="2" s="1"/>
  <c r="M13" i="1" a="1"/>
  <c r="M13" i="1" s="1"/>
  <c r="M16" i="1" a="1"/>
  <c r="M16" i="1" s="1"/>
  <c r="M14" i="1" a="1"/>
  <c r="M14" i="1" s="1"/>
  <c r="M15" i="1" a="1"/>
  <c r="M1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<sst xmlns="http://schemas.openxmlformats.org/spreadsheetml/2006/main" count="174" uniqueCount="74">
  <si>
    <t>D</t>
  </si>
  <si>
    <t>C</t>
  </si>
  <si>
    <t>B</t>
  </si>
  <si>
    <t>A</t>
  </si>
  <si>
    <t>scoreoptie 2</t>
  </si>
  <si>
    <t>% meerwaarde</t>
  </si>
  <si>
    <t>Prijs</t>
  </si>
  <si>
    <t>scoreoptie 1</t>
  </si>
  <si>
    <t>Meerwaarde</t>
  </si>
  <si>
    <t>onvoldoende</t>
  </si>
  <si>
    <t>matig</t>
  </si>
  <si>
    <t>neutraal</t>
  </si>
  <si>
    <t>goed</t>
  </si>
  <si>
    <t>Uitstekend</t>
  </si>
  <si>
    <t>96 stks</t>
  </si>
  <si>
    <t>1 paneel</t>
  </si>
  <si>
    <t>Gunnen op waarde</t>
  </si>
  <si>
    <t>Goed</t>
  </si>
  <si>
    <t>RANG</t>
  </si>
  <si>
    <t>Tot.</t>
  </si>
  <si>
    <t>Q</t>
  </si>
  <si>
    <t>verschil</t>
  </si>
  <si>
    <t>pnt.</t>
  </si>
  <si>
    <t>voor 24 stk</t>
  </si>
  <si>
    <t>Matig</t>
  </si>
  <si>
    <t>Onvoldoende</t>
  </si>
  <si>
    <t>200pnt</t>
  </si>
  <si>
    <t>kwaliteit =</t>
  </si>
  <si>
    <t>800pnt</t>
  </si>
  <si>
    <t>prijs =</t>
  </si>
  <si>
    <t>Neutraal</t>
  </si>
  <si>
    <t>kwaliteit wordt x% van maximaal te behalen aantal punten (x% x 200pnt)</t>
  </si>
  <si>
    <t>Andere scoren naar rato</t>
  </si>
  <si>
    <t>laagste prijs heeft maximale score.</t>
  </si>
  <si>
    <t>Scoreopties</t>
  </si>
  <si>
    <t>80/20</t>
  </si>
  <si>
    <t>Gewogen factor score</t>
  </si>
  <si>
    <t>48stk</t>
  </si>
  <si>
    <t>24stk</t>
  </si>
  <si>
    <t>1 stk</t>
  </si>
  <si>
    <t>inschrijfprijs p.bwp</t>
  </si>
  <si>
    <t>Q score</t>
  </si>
  <si>
    <t>Inschrijver</t>
  </si>
  <si>
    <t>AANPASSEN NAAR BELIEVEN</t>
  </si>
  <si>
    <t>Ficitieve inschrijvingen</t>
  </si>
  <si>
    <t>Rekenvoorbeelden</t>
  </si>
  <si>
    <t>675stks</t>
  </si>
  <si>
    <t>voor 675 stk</t>
  </si>
  <si>
    <t>pnt</t>
  </si>
  <si>
    <t>1stks</t>
  </si>
  <si>
    <t>Naam Inschrijver</t>
  </si>
  <si>
    <t>Aantal</t>
  </si>
  <si>
    <t>Instructies t.b.v. het invullen van het prijzenblad.</t>
  </si>
  <si>
    <t>Prijzenblad t.b.v. de Raamovereenkomst ICT Beheersdiensten - KyK Scholen</t>
  </si>
  <si>
    <t>Aantal devices</t>
  </si>
  <si>
    <t>Prijs per device per jaar (excl. BTW)</t>
  </si>
  <si>
    <t>Totaalprijs ICT Beheersdiensten per jaar</t>
  </si>
  <si>
    <t>Systeembeheerder</t>
  </si>
  <si>
    <t>Projectleider</t>
  </si>
  <si>
    <t>Productspecialist / specialist servicedesk</t>
  </si>
  <si>
    <t>Omschrijving</t>
  </si>
  <si>
    <t>Bandbreedte min.</t>
  </si>
  <si>
    <t>Bandbreedte max.</t>
  </si>
  <si>
    <t>Uurtarief</t>
  </si>
  <si>
    <t>Inschrijfprijs P2: Uurtarieven projectmatige / aanvullende werkzaamheden</t>
  </si>
  <si>
    <t>Inschrijfprijs P1</t>
  </si>
  <si>
    <t>Inschrijfprijs P2</t>
  </si>
  <si>
    <t>Uw Inschrijfprijs totaal</t>
  </si>
  <si>
    <t>Aantal uren</t>
  </si>
  <si>
    <t>Totaal</t>
  </si>
  <si>
    <t>Per device</t>
  </si>
  <si>
    <t>Inschrijfprijs P1: Totaalprijs ICT Beheersdiensten per jaar</t>
  </si>
  <si>
    <t>[NAAM]</t>
  </si>
  <si>
    <t xml:space="preserve">1. U vult alle lichtrode gearceerde cellen in. Wanneer niet alle lichtrode cellen correct zijn ingevuld, betekent dit dat de inschrijving onvolledig of buiten de gestelde bandbreedtes ingevuld is/zijn. Er blijven dan lichtrode cellen zichtbaar.
2. Het aanpassen van de overige cellen of het manipuleren van formules leidt tot uitsluiting van de aanbesteding.
3. De door u opgegeven prijzen vallen binnen de gestelde bandbreedte(s).  
4.  Met het invullen van dit prijzenblad verklaart u dat de door u aangeboden Dienstverlening  ten minste voldoet en blijft voldoen aan de minimale eisen zoals verwoord in het Aanbestedingsdocument inculsief alle Bijlages.
5. Uw totaalprijs voor inschrijving (Inschrijfprijs) wordt automatisch berekend en weergegeven in de paarse cel
6. Niet opgevoerde kosten in dit Prijzenblad komen achteraf niet voor facturatie in aanmerking.
7. Indexering van de prijzen geschiedt op basis van hetgeen daarover is bepaald in de Inkoopvoorwaarden.
8. U dient het ingevulde prijzenblad zowel in Excel als in PDF format bij uw Inschrijving in te dienen.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</si>
</sst>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2]\ #,##0.00"/>
    <numFmt numFmtId="166" formatCode="_([$€-2]\ * #,##0.00_);_([$€-2]\ * \(#,##0.00\);_([$€-2]\ * &quot;-&quot;??_);_(@_)"/>
    <numFmt numFmtId="167" formatCode="_(&quot;€&quot;\ * #,##0.00_);_(&quot;€&quot;\ * \(#,##0.00\);_(&quot;€&quot;\ * &quot;-&quot;??_);_(@_)"/>
    <numFmt numFmtId="168" formatCode="&quot;€&quot;\ #,##0.00"/>
  </numFmts>
  <fonts count="12" x14ac:knownFonts="1">
    <font>
      <sz val="10"/>
      <name val="Arial"/>
    </font>
    <font>
      <sz val="10"/>
      <name val="Arial"/>
      <family val="2"/>
    </font>
    <font>
      <b/>
      <sz val="10"/>
      <name val="Arial"/>
      <family val="2"/>
    </font>
    <font>
      <b/>
      <sz val="14"/>
      <name val="Arial"/>
      <family val="2"/>
    </font>
    <font>
      <sz val="12"/>
      <color theme="1"/>
      <name val="Aptos Narrow"/>
      <family val="2"/>
      <scheme val="minor"/>
    </font>
    <font>
      <b/>
      <sz val="20"/>
      <color theme="1"/>
      <name val="Aptos Narrow"/>
      <family val="2"/>
      <scheme val="minor"/>
    </font>
    <font>
      <b/>
      <sz val="12"/>
      <color theme="1"/>
      <name val="Aptos Narrow"/>
      <family val="2"/>
      <scheme val="minor"/>
    </font>
    <font>
      <sz val="12"/>
      <color theme="0"/>
      <name val="Aptos Narrow"/>
      <family val="2"/>
      <scheme val="minor"/>
    </font>
    <font>
      <b/>
      <sz val="12"/>
      <color theme="0"/>
      <name val="Aptos Narrow"/>
      <family val="2"/>
      <scheme val="minor"/>
    </font>
    <font>
      <sz val="11"/>
      <name val="Aptos Narrow"/>
      <family val="2"/>
    </font>
    <font>
      <b/>
      <sz val="11"/>
      <name val="Aptos Narrow"/>
      <family val="2"/>
    </font>
    <font>
      <b/>
      <sz val="20"/>
      <color rgb="FFFF0000"/>
      <name val="Aptos Narrow"/>
      <family val="2"/>
      <scheme val="minor"/>
    </font>
  </fonts>
  <fills count="12">
    <fill>
      <patternFill patternType="none"/>
    </fill>
    <fill>
      <patternFill patternType="gray125"/>
    </fill>
    <fill>
      <patternFill patternType="solid">
        <fgColor theme="7" tint="0.79998168889431442"/>
        <bgColor indexed="64"/>
      </patternFill>
    </fill>
    <fill>
      <patternFill patternType="solid">
        <fgColor theme="9"/>
      </patternFill>
    </fill>
    <fill>
      <patternFill patternType="solid">
        <fgColor theme="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rgb="FFF6B8B8"/>
        <bgColor indexed="64"/>
      </patternFill>
    </fill>
    <fill>
      <patternFill patternType="solid">
        <fgColor rgb="FF7030A0"/>
        <bgColor indexed="64"/>
      </patternFill>
    </fill>
  </fills>
  <borders count="35">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indexed="64"/>
      </left>
      <right/>
      <top/>
      <bottom/>
      <diagonal/>
    </border>
    <border>
      <left/>
      <right style="thin">
        <color theme="0" tint="-0.499984740745262"/>
      </right>
      <top/>
      <bottom/>
      <diagonal/>
    </border>
    <border>
      <left style="thin">
        <color indexed="64"/>
      </left>
      <right/>
      <top style="thin">
        <color theme="0" tint="-0.499984740745262"/>
      </top>
      <bottom style="thin">
        <color theme="0" tint="-0.499984740745262"/>
      </bottom>
      <diagonal/>
    </border>
    <border>
      <left style="thin">
        <color theme="7" tint="-0.499984740745262"/>
      </left>
      <right/>
      <top style="thin">
        <color theme="7" tint="-0.499984740745262"/>
      </top>
      <bottom style="thin">
        <color theme="7" tint="-0.499984740745262"/>
      </bottom>
      <diagonal/>
    </border>
    <border>
      <left/>
      <right style="thin">
        <color theme="7" tint="-0.499984740745262"/>
      </right>
      <top style="thin">
        <color theme="7" tint="-0.499984740745262"/>
      </top>
      <bottom style="thin">
        <color theme="7" tint="-0.499984740745262"/>
      </bottom>
      <diagonal/>
    </border>
    <border>
      <left/>
      <right/>
      <top/>
      <bottom style="thin">
        <color theme="0" tint="-0.499984740745262"/>
      </bottom>
      <diagonal/>
    </border>
    <border>
      <left/>
      <right style="thin">
        <color theme="2" tint="-0.499984740745262"/>
      </right>
      <top/>
      <bottom style="thin">
        <color theme="0" tint="-0.499984740745262"/>
      </bottom>
      <diagonal/>
    </border>
    <border>
      <left/>
      <right/>
      <top style="thin">
        <color theme="0" tint="-0.499984740745262"/>
      </top>
      <bottom style="thin">
        <color indexed="64"/>
      </bottom>
      <diagonal/>
    </border>
    <border>
      <left/>
      <right/>
      <top style="thin">
        <color theme="7" tint="-0.499984740745262"/>
      </top>
      <bottom style="thin">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499984740745262"/>
      </left>
      <right/>
      <top style="thin">
        <color theme="0" tint="-0.499984740745262"/>
      </top>
      <bottom/>
      <diagonal/>
    </border>
    <border>
      <left style="thin">
        <color theme="1" tint="0.499984740745262"/>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theme="7" tint="-0.499984740745262"/>
      </top>
      <bottom style="thin">
        <color theme="7" tint="-0.499984740745262"/>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4" fillId="0" borderId="0"/>
    <xf numFmtId="0" fontId="7" fillId="3" borderId="0" applyNumberFormat="0" applyBorder="0" applyAlignment="0" applyProtection="0"/>
  </cellStyleXfs>
  <cellXfs count="90">
    <xf numFmtId="0" fontId="0" fillId="0" borderId="0" xfId="0"/>
    <xf numFmtId="9" fontId="1" fillId="0" borderId="0" xfId="0" applyNumberFormat="1" applyFont="1"/>
    <xf numFmtId="9" fontId="0" fillId="0" borderId="0" xfId="0" applyNumberFormat="1"/>
    <xf numFmtId="0" fontId="1" fillId="0" borderId="0" xfId="0" applyFont="1"/>
    <xf numFmtId="0" fontId="2" fillId="0" borderId="0" xfId="0" applyFont="1"/>
    <xf numFmtId="164" fontId="1" fillId="0" borderId="0" xfId="0" applyNumberFormat="1" applyFont="1"/>
    <xf numFmtId="1" fontId="0" fillId="0" borderId="0" xfId="0" applyNumberFormat="1"/>
    <xf numFmtId="164" fontId="0" fillId="0" borderId="0" xfId="0" applyNumberFormat="1"/>
    <xf numFmtId="0" fontId="0" fillId="0" borderId="1" xfId="0" applyBorder="1"/>
    <xf numFmtId="9" fontId="0" fillId="0" borderId="2" xfId="0" applyNumberFormat="1" applyBorder="1"/>
    <xf numFmtId="0" fontId="0" fillId="0" borderId="2" xfId="0" applyBorder="1"/>
    <xf numFmtId="0" fontId="0" fillId="0" borderId="3" xfId="0" applyBorder="1"/>
    <xf numFmtId="0" fontId="0" fillId="0" borderId="4" xfId="0" applyBorder="1"/>
    <xf numFmtId="0" fontId="0" fillId="0" borderId="5" xfId="0" applyBorder="1"/>
    <xf numFmtId="0" fontId="2" fillId="0" borderId="4" xfId="0" applyFont="1" applyBorder="1"/>
    <xf numFmtId="9" fontId="2" fillId="0" borderId="0" xfId="0" applyNumberFormat="1" applyFont="1"/>
    <xf numFmtId="0" fontId="2" fillId="0" borderId="5" xfId="0" applyFont="1" applyBorder="1"/>
    <xf numFmtId="0" fontId="1" fillId="0" borderId="6" xfId="0" applyFont="1" applyBorder="1"/>
    <xf numFmtId="164" fontId="0" fillId="0" borderId="7" xfId="0" applyNumberFormat="1" applyBorder="1"/>
    <xf numFmtId="0" fontId="1" fillId="0" borderId="7" xfId="0" applyFont="1" applyBorder="1"/>
    <xf numFmtId="0" fontId="0" fillId="0" borderId="7" xfId="0" applyBorder="1"/>
    <xf numFmtId="0" fontId="2" fillId="0" borderId="7" xfId="0" applyFont="1" applyBorder="1"/>
    <xf numFmtId="0" fontId="2" fillId="0" borderId="8" xfId="0" applyFont="1" applyBorder="1"/>
    <xf numFmtId="0" fontId="0" fillId="2" borderId="2" xfId="0" applyFill="1" applyBorder="1"/>
    <xf numFmtId="0" fontId="1" fillId="2" borderId="2" xfId="0" applyFont="1" applyFill="1" applyBorder="1"/>
    <xf numFmtId="0" fontId="2" fillId="0" borderId="3" xfId="0" applyFont="1" applyBorder="1"/>
    <xf numFmtId="0" fontId="0" fillId="2" borderId="0" xfId="0" applyFill="1"/>
    <xf numFmtId="0" fontId="1" fillId="2" borderId="0" xfId="0" applyFont="1" applyFill="1"/>
    <xf numFmtId="0" fontId="1" fillId="0" borderId="2" xfId="0" applyFont="1" applyBorder="1"/>
    <xf numFmtId="0" fontId="0" fillId="0" borderId="6" xfId="0" applyBorder="1"/>
    <xf numFmtId="0" fontId="2" fillId="0" borderId="6" xfId="0" applyFont="1" applyBorder="1"/>
    <xf numFmtId="0" fontId="3" fillId="0" borderId="0" xfId="0" applyFont="1"/>
    <xf numFmtId="0" fontId="4" fillId="4" borderId="0" xfId="1" applyFill="1" applyAlignment="1">
      <alignment horizontal="left" vertical="top" wrapText="1"/>
    </xf>
    <xf numFmtId="0" fontId="4" fillId="4" borderId="0" xfId="1" applyFill="1" applyAlignment="1">
      <alignment vertical="top" wrapText="1"/>
    </xf>
    <xf numFmtId="0" fontId="6" fillId="5" borderId="14" xfId="1" applyFont="1" applyFill="1" applyBorder="1" applyAlignment="1">
      <alignment horizontal="left" vertical="center" wrapText="1"/>
    </xf>
    <xf numFmtId="0" fontId="5" fillId="5" borderId="17" xfId="1" applyFont="1" applyFill="1" applyBorder="1" applyAlignment="1">
      <alignment horizontal="center" vertical="center" wrapText="1"/>
    </xf>
    <xf numFmtId="0" fontId="5" fillId="5" borderId="18" xfId="1" applyFont="1" applyFill="1" applyBorder="1" applyAlignment="1">
      <alignment horizontal="center" vertical="center" wrapText="1"/>
    </xf>
    <xf numFmtId="0" fontId="6" fillId="4" borderId="19" xfId="1" applyFont="1" applyFill="1" applyBorder="1" applyAlignment="1">
      <alignment horizontal="left" vertical="center" wrapText="1"/>
    </xf>
    <xf numFmtId="0" fontId="5" fillId="4" borderId="20" xfId="1" applyFont="1" applyFill="1" applyBorder="1" applyAlignment="1" applyProtection="1">
      <alignment horizontal="left" vertical="top" wrapText="1"/>
      <protection locked="0"/>
    </xf>
    <xf numFmtId="0" fontId="5" fillId="4" borderId="0" xfId="1" applyFont="1" applyFill="1" applyAlignment="1">
      <alignment horizontal="center" vertical="center" wrapText="1"/>
    </xf>
    <xf numFmtId="0" fontId="6" fillId="7" borderId="22" xfId="1" applyFont="1" applyFill="1" applyBorder="1" applyAlignment="1">
      <alignment horizontal="left" vertical="center" wrapText="1"/>
    </xf>
    <xf numFmtId="9" fontId="4" fillId="4" borderId="0" xfId="1" applyNumberFormat="1" applyFill="1" applyAlignment="1">
      <alignment vertical="top" wrapText="1"/>
    </xf>
    <xf numFmtId="166" fontId="8" fillId="3" borderId="24" xfId="2" applyNumberFormat="1" applyFont="1" applyBorder="1" applyAlignment="1" applyProtection="1">
      <alignment vertical="top" wrapText="1"/>
    </xf>
    <xf numFmtId="0" fontId="4" fillId="0" borderId="0" xfId="1" applyAlignment="1">
      <alignment horizontal="left" vertical="top" wrapText="1"/>
    </xf>
    <xf numFmtId="0" fontId="4" fillId="0" borderId="0" xfId="1" applyAlignment="1">
      <alignment vertical="top" wrapText="1"/>
    </xf>
    <xf numFmtId="0" fontId="4" fillId="0" borderId="0" xfId="1" applyAlignment="1">
      <alignment horizontal="center" vertical="top" wrapText="1"/>
    </xf>
    <xf numFmtId="166" fontId="8" fillId="0" borderId="0" xfId="2" applyNumberFormat="1" applyFont="1" applyFill="1" applyBorder="1" applyAlignment="1" applyProtection="1">
      <alignment vertical="top" wrapText="1"/>
    </xf>
    <xf numFmtId="166" fontId="7" fillId="0" borderId="0" xfId="2" applyNumberFormat="1" applyFill="1" applyBorder="1" applyAlignment="1" applyProtection="1">
      <alignment vertical="top" wrapText="1"/>
    </xf>
    <xf numFmtId="167" fontId="4" fillId="4" borderId="0" xfId="1" applyNumberFormat="1" applyFill="1" applyAlignment="1">
      <alignment vertical="top" wrapText="1"/>
    </xf>
    <xf numFmtId="0" fontId="6" fillId="7" borderId="29" xfId="1" applyFont="1" applyFill="1" applyBorder="1" applyAlignment="1">
      <alignment horizontal="left" vertical="center" wrapText="1"/>
    </xf>
    <xf numFmtId="0" fontId="4" fillId="7" borderId="21" xfId="1" applyFill="1" applyBorder="1" applyAlignment="1">
      <alignment horizontal="left" vertical="top" wrapText="1"/>
    </xf>
    <xf numFmtId="0" fontId="9" fillId="0" borderId="0" xfId="0" applyFont="1"/>
    <xf numFmtId="0" fontId="10" fillId="0" borderId="0" xfId="0" applyFont="1"/>
    <xf numFmtId="168" fontId="0" fillId="0" borderId="0" xfId="0" applyNumberFormat="1"/>
    <xf numFmtId="0" fontId="4" fillId="9" borderId="21" xfId="1" applyFill="1" applyBorder="1" applyAlignment="1">
      <alignment vertical="top" wrapText="1"/>
    </xf>
    <xf numFmtId="165" fontId="4" fillId="9" borderId="21" xfId="1" applyNumberFormat="1" applyFill="1" applyBorder="1" applyAlignment="1">
      <alignment vertical="top" wrapText="1"/>
    </xf>
    <xf numFmtId="0" fontId="4" fillId="7" borderId="21" xfId="1" applyFill="1" applyBorder="1" applyAlignment="1">
      <alignment vertical="top" wrapText="1"/>
    </xf>
    <xf numFmtId="0" fontId="6" fillId="7" borderId="21" xfId="1" applyFont="1" applyFill="1" applyBorder="1" applyAlignment="1">
      <alignment horizontal="left" vertical="center" wrapText="1"/>
    </xf>
    <xf numFmtId="0" fontId="6" fillId="7" borderId="21" xfId="1" applyFont="1" applyFill="1" applyBorder="1" applyAlignment="1">
      <alignment vertical="center" wrapText="1"/>
    </xf>
    <xf numFmtId="0" fontId="4" fillId="7" borderId="21" xfId="1" applyFill="1" applyBorder="1" applyAlignment="1">
      <alignment vertical="center" wrapText="1"/>
    </xf>
    <xf numFmtId="0" fontId="4" fillId="7" borderId="31" xfId="1" applyFill="1" applyBorder="1" applyAlignment="1">
      <alignment horizontal="left" vertical="top" wrapText="1"/>
    </xf>
    <xf numFmtId="168" fontId="4" fillId="7" borderId="21" xfId="1" applyNumberFormat="1" applyFill="1" applyBorder="1" applyAlignment="1">
      <alignment vertical="top" wrapText="1"/>
    </xf>
    <xf numFmtId="168" fontId="4" fillId="8" borderId="21" xfId="1" applyNumberFormat="1" applyFill="1" applyBorder="1" applyAlignment="1" applyProtection="1">
      <alignment horizontal="left" vertical="top" wrapText="1"/>
      <protection locked="0"/>
    </xf>
    <xf numFmtId="0" fontId="6" fillId="7" borderId="25" xfId="1" applyFont="1" applyFill="1" applyBorder="1" applyAlignment="1">
      <alignment horizontal="center" vertical="top" wrapText="1"/>
    </xf>
    <xf numFmtId="0" fontId="6" fillId="7" borderId="26" xfId="1" applyFont="1" applyFill="1" applyBorder="1" applyAlignment="1">
      <alignment horizontal="center" vertical="top" wrapText="1"/>
    </xf>
    <xf numFmtId="0" fontId="6" fillId="5" borderId="28" xfId="1" applyFont="1" applyFill="1" applyBorder="1" applyAlignment="1">
      <alignment horizontal="left" vertical="top" wrapText="1"/>
    </xf>
    <xf numFmtId="0" fontId="6" fillId="5" borderId="10" xfId="1" applyFont="1" applyFill="1" applyBorder="1" applyAlignment="1">
      <alignment horizontal="left" vertical="top" wrapText="1"/>
    </xf>
    <xf numFmtId="0" fontId="6" fillId="5" borderId="11" xfId="1" applyFont="1" applyFill="1" applyBorder="1" applyAlignment="1">
      <alignment horizontal="left" vertical="top" wrapText="1"/>
    </xf>
    <xf numFmtId="49" fontId="4" fillId="0" borderId="23" xfId="1" applyNumberFormat="1" applyBorder="1" applyAlignment="1">
      <alignment horizontal="left" vertical="top" wrapText="1"/>
    </xf>
    <xf numFmtId="49" fontId="4" fillId="0" borderId="17" xfId="1" applyNumberFormat="1" applyBorder="1" applyAlignment="1">
      <alignment horizontal="left" vertical="top" wrapText="1"/>
    </xf>
    <xf numFmtId="49" fontId="4" fillId="0" borderId="24" xfId="1" applyNumberFormat="1" applyBorder="1" applyAlignment="1">
      <alignment horizontal="left" vertical="top" wrapText="1"/>
    </xf>
    <xf numFmtId="0" fontId="5" fillId="5" borderId="9" xfId="1" applyFont="1" applyFill="1" applyBorder="1" applyAlignment="1">
      <alignment horizontal="center" vertical="center" wrapText="1"/>
    </xf>
    <xf numFmtId="0" fontId="5" fillId="5" borderId="10" xfId="1" applyFont="1" applyFill="1" applyBorder="1" applyAlignment="1">
      <alignment horizontal="center" vertical="center" wrapText="1"/>
    </xf>
    <xf numFmtId="0" fontId="5" fillId="5" borderId="11" xfId="1" applyFont="1" applyFill="1" applyBorder="1" applyAlignment="1">
      <alignment horizontal="center" vertical="center" wrapText="1"/>
    </xf>
    <xf numFmtId="0" fontId="5" fillId="5" borderId="12" xfId="1" applyFont="1" applyFill="1" applyBorder="1" applyAlignment="1">
      <alignment horizontal="center" vertical="center" wrapText="1"/>
    </xf>
    <xf numFmtId="0" fontId="5" fillId="5" borderId="0" xfId="1" applyFont="1" applyFill="1" applyAlignment="1">
      <alignment horizontal="center" vertical="center" wrapText="1"/>
    </xf>
    <xf numFmtId="0" fontId="5" fillId="5" borderId="13" xfId="1" applyFont="1" applyFill="1" applyBorder="1" applyAlignment="1">
      <alignment horizontal="center" vertical="center" wrapText="1"/>
    </xf>
    <xf numFmtId="0" fontId="6" fillId="6" borderId="30" xfId="1" applyFont="1" applyFill="1" applyBorder="1" applyAlignment="1">
      <alignment horizontal="left" vertical="center" wrapText="1"/>
    </xf>
    <xf numFmtId="0" fontId="4" fillId="6" borderId="30" xfId="1" applyFill="1" applyBorder="1" applyAlignment="1">
      <alignment horizontal="left" wrapText="1"/>
    </xf>
    <xf numFmtId="0" fontId="4" fillId="7" borderId="23" xfId="1" applyFill="1" applyBorder="1" applyAlignment="1">
      <alignment horizontal="center" vertical="top" wrapText="1"/>
    </xf>
    <xf numFmtId="0" fontId="4" fillId="7" borderId="17" xfId="1" applyFill="1" applyBorder="1" applyAlignment="1">
      <alignment horizontal="center" vertical="top" wrapText="1"/>
    </xf>
    <xf numFmtId="0" fontId="6" fillId="6" borderId="21" xfId="1" applyFont="1" applyFill="1" applyBorder="1" applyAlignment="1">
      <alignment horizontal="left" vertical="center" wrapText="1"/>
    </xf>
    <xf numFmtId="0" fontId="4" fillId="6" borderId="21" xfId="1" applyFill="1" applyBorder="1" applyAlignment="1">
      <alignment horizontal="left" wrapText="1"/>
    </xf>
    <xf numFmtId="0" fontId="6" fillId="7" borderId="31" xfId="1" applyFont="1" applyFill="1" applyBorder="1" applyAlignment="1">
      <alignment horizontal="center" vertical="center" wrapText="1"/>
    </xf>
    <xf numFmtId="0" fontId="6" fillId="7" borderId="33" xfId="1" applyFont="1" applyFill="1" applyBorder="1" applyAlignment="1">
      <alignment horizontal="center" vertical="center" wrapText="1"/>
    </xf>
    <xf numFmtId="0" fontId="6" fillId="7" borderId="34" xfId="1" applyFont="1" applyFill="1" applyBorder="1" applyAlignment="1">
      <alignment horizontal="center" vertical="center" wrapText="1"/>
    </xf>
    <xf numFmtId="0" fontId="5" fillId="10" borderId="32" xfId="1" applyFont="1" applyFill="1" applyBorder="1" applyAlignment="1" applyProtection="1">
      <alignment horizontal="left" vertical="top" wrapText="1"/>
      <protection locked="0"/>
    </xf>
    <xf numFmtId="0" fontId="5" fillId="10" borderId="16" xfId="1" applyFont="1" applyFill="1" applyBorder="1" applyAlignment="1" applyProtection="1">
      <alignment horizontal="left" vertical="top" wrapText="1"/>
      <protection locked="0"/>
    </xf>
    <xf numFmtId="0" fontId="11" fillId="10" borderId="15" xfId="1" applyFont="1" applyFill="1" applyBorder="1" applyAlignment="1" applyProtection="1">
      <alignment horizontal="left" vertical="top" wrapText="1"/>
      <protection locked="0"/>
    </xf>
    <xf numFmtId="165" fontId="8" fillId="11" borderId="27" xfId="2" applyNumberFormat="1" applyFont="1" applyFill="1" applyBorder="1" applyAlignment="1" applyProtection="1">
      <alignment vertical="top" wrapText="1"/>
    </xf>
  </cellXfs>
  <cellStyles count="3">
    <cellStyle name="Accent6 2" xfId="2" xr:uid="{4BA60644-503E-4BFE-B8A1-355FBFD7B76F}"/>
    <cellStyle name="Standaard" xfId="0" builtinId="0"/>
    <cellStyle name="Standaard 2" xfId="1" xr:uid="{88B487C3-811A-4846-ADC6-69B2D3E558FE}"/>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s>
  <tableStyles count="0" defaultTableStyle="TableStyleMedium2" defaultPivotStyle="PivotStyleLight16"/>
  <colors>
    <mruColors>
      <color rgb="FFF6B8B8"/>
      <color rgb="FFE5A7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1285876</xdr:colOff>
      <xdr:row>0</xdr:row>
      <xdr:rowOff>71438</xdr:rowOff>
    </xdr:from>
    <xdr:to>
      <xdr:col>8</xdr:col>
      <xdr:colOff>0</xdr:colOff>
      <xdr:row>0</xdr:row>
      <xdr:rowOff>419100</xdr:rowOff>
    </xdr:to>
    <xdr:pic>
      <xdr:nvPicPr>
        <xdr:cNvPr id="3" name="Afbeelding 2" descr="Afbeelding met Graphics, grafische vormgeving, Lettertype, logo&#10;&#10;Door AI gegenereerde inhoud is mogelijk onjuist.">
          <a:extLst>
            <a:ext uri="{FF2B5EF4-FFF2-40B4-BE49-F238E27FC236}">
              <a16:creationId xmlns:a16="http://schemas.microsoft.com/office/drawing/2014/main" id="{22AABF9E-DBBF-5BBB-454B-A49109CD96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70595" y="71438"/>
          <a:ext cx="869156" cy="347662"/>
        </a:xfrm>
        <a:prstGeom prst="rect">
          <a:avLst/>
        </a:prstGeom>
        <a:noFill/>
        <a:ln>
          <a:noFill/>
        </a:ln>
      </xdr:spPr>
    </xdr:pic>
    <xdr:clientData/>
  </xdr:twoCellAnchor>
  <xdr:twoCellAnchor>
    <xdr:from>
      <xdr:col>1</xdr:col>
      <xdr:colOff>-1</xdr:colOff>
      <xdr:row>22</xdr:row>
      <xdr:rowOff>190499</xdr:rowOff>
    </xdr:from>
    <xdr:to>
      <xdr:col>5</xdr:col>
      <xdr:colOff>1619250</xdr:colOff>
      <xdr:row>41</xdr:row>
      <xdr:rowOff>11905</xdr:rowOff>
    </xdr:to>
    <xdr:sp macro="" textlink="">
      <xdr:nvSpPr>
        <xdr:cNvPr id="7" name="Tekstvak 6">
          <a:extLst>
            <a:ext uri="{FF2B5EF4-FFF2-40B4-BE49-F238E27FC236}">
              <a16:creationId xmlns:a16="http://schemas.microsoft.com/office/drawing/2014/main" id="{D02FF45E-A66E-46E8-F7D6-ED9575990C62}"/>
            </a:ext>
          </a:extLst>
        </xdr:cNvPr>
        <xdr:cNvSpPr txBox="1"/>
      </xdr:nvSpPr>
      <xdr:spPr>
        <a:xfrm>
          <a:off x="785812" y="7727155"/>
          <a:ext cx="7774782" cy="36790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t>Toelichting</a:t>
          </a:r>
          <a:r>
            <a:rPr lang="nl-NL" sz="1100" b="1" baseline="0"/>
            <a:t> op prijsformule:</a:t>
          </a:r>
          <a:endParaRPr lang="nl-NL" sz="1100" b="1"/>
        </a:p>
        <a:p>
          <a:r>
            <a:rPr lang="nl-NL" sz="1100"/>
            <a:t>Maximaal 250 punten te behalen op Prijs. </a:t>
          </a:r>
        </a:p>
        <a:p>
          <a:r>
            <a:rPr lang="nl-NL" sz="1100"/>
            <a:t>Prijsformule: 0+(0-250)</a:t>
          </a:r>
          <a:r>
            <a:rPr lang="nl-NL" sz="1100" baseline="0"/>
            <a:t> / (Bandbreedte totaal max. - Bandbreedte totaal min.) * (Inschrijfprijstotaal - Bandbreedte totaal max.)</a:t>
          </a:r>
          <a:endParaRPr lang="nl-NL" sz="1100"/>
        </a:p>
        <a:p>
          <a:r>
            <a:rPr lang="nl-NL" sz="1100"/>
            <a:t>Prijsformule: 0+(0-250) / (159775-119725) * (Inschrijfprijs totaal - 159775)</a:t>
          </a:r>
        </a:p>
        <a:p>
          <a:r>
            <a:rPr lang="nl-NL" sz="1100"/>
            <a:t>Voorbeeldgrafiek bij een Inschrijfprijs</a:t>
          </a:r>
          <a:r>
            <a:rPr lang="nl-NL" sz="1100" baseline="0"/>
            <a:t> totaal van €140.000,- (score: 123,4 punten):</a:t>
          </a:r>
        </a:p>
        <a:p>
          <a:endParaRPr lang="nl-NL" sz="1100"/>
        </a:p>
      </xdr:txBody>
    </xdr:sp>
    <xdr:clientData/>
  </xdr:twoCellAnchor>
  <xdr:twoCellAnchor editAs="oneCell">
    <xdr:from>
      <xdr:col>1</xdr:col>
      <xdr:colOff>35717</xdr:colOff>
      <xdr:row>27</xdr:row>
      <xdr:rowOff>119060</xdr:rowOff>
    </xdr:from>
    <xdr:to>
      <xdr:col>4</xdr:col>
      <xdr:colOff>28419</xdr:colOff>
      <xdr:row>40</xdr:row>
      <xdr:rowOff>130968</xdr:rowOff>
    </xdr:to>
    <xdr:pic>
      <xdr:nvPicPr>
        <xdr:cNvPr id="9" name="Afbeelding 8">
          <a:extLst>
            <a:ext uri="{FF2B5EF4-FFF2-40B4-BE49-F238E27FC236}">
              <a16:creationId xmlns:a16="http://schemas.microsoft.com/office/drawing/2014/main" id="{A447D51E-7CC7-6856-B342-A6B967DBDD2D}"/>
            </a:ext>
          </a:extLst>
        </xdr:cNvPr>
        <xdr:cNvPicPr>
          <a:picLocks noChangeAspect="1"/>
        </xdr:cNvPicPr>
      </xdr:nvPicPr>
      <xdr:blipFill>
        <a:blip xmlns:r="http://schemas.openxmlformats.org/officeDocument/2006/relationships" r:embed="rId2"/>
        <a:stretch>
          <a:fillRect/>
        </a:stretch>
      </xdr:blipFill>
      <xdr:spPr>
        <a:xfrm>
          <a:off x="821530" y="8679654"/>
          <a:ext cx="5124295" cy="2643189"/>
        </a:xfrm>
        <a:prstGeom prst="rect">
          <a:avLst/>
        </a:prstGeom>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DD661-11DA-455E-91EF-BBDEE8FCC5C1}">
  <dimension ref="A1:T39"/>
  <sheetViews>
    <sheetView workbookViewId="0">
      <selection activeCell="AE49" sqref="AE49"/>
    </sheetView>
  </sheetViews>
  <sheetFormatPr defaultRowHeight="12.75" x14ac:dyDescent="0.2"/>
  <cols>
    <col min="6" max="7" width="10.140625" customWidth="1"/>
    <col min="9" max="9" width="9.42578125" bestFit="1" customWidth="1"/>
    <col min="14" max="14" width="1.5703125" customWidth="1"/>
    <col min="15" max="17" width="11.5703125" customWidth="1"/>
  </cols>
  <sheetData>
    <row r="1" spans="1:20" ht="23.25" customHeight="1" x14ac:dyDescent="0.25">
      <c r="A1" s="31" t="s">
        <v>45</v>
      </c>
    </row>
    <row r="3" spans="1:20" ht="13.5" thickBot="1" x14ac:dyDescent="0.25">
      <c r="O3" s="4" t="s">
        <v>44</v>
      </c>
      <c r="P3" s="4"/>
      <c r="Q3" s="27" t="s">
        <v>43</v>
      </c>
      <c r="R3" s="26"/>
      <c r="S3" s="26"/>
    </row>
    <row r="4" spans="1:20" ht="13.5" thickBot="1" x14ac:dyDescent="0.25">
      <c r="O4" s="22" t="s">
        <v>42</v>
      </c>
      <c r="P4" s="21" t="s">
        <v>41</v>
      </c>
      <c r="Q4" s="21" t="s">
        <v>40</v>
      </c>
      <c r="R4" s="21" t="s">
        <v>39</v>
      </c>
      <c r="S4" s="21" t="s">
        <v>38</v>
      </c>
      <c r="T4" s="30" t="s">
        <v>37</v>
      </c>
    </row>
    <row r="5" spans="1:20" x14ac:dyDescent="0.2">
      <c r="A5" s="22" t="s">
        <v>36</v>
      </c>
      <c r="B5" s="20"/>
      <c r="C5" s="20"/>
      <c r="D5" s="19" t="s">
        <v>35</v>
      </c>
      <c r="E5" s="20"/>
      <c r="F5" s="20"/>
      <c r="G5" s="20"/>
      <c r="H5" s="20"/>
      <c r="I5" s="21" t="s">
        <v>34</v>
      </c>
      <c r="J5" s="29"/>
      <c r="O5" s="13"/>
      <c r="T5" s="12"/>
    </row>
    <row r="6" spans="1:20" x14ac:dyDescent="0.2">
      <c r="A6" s="13"/>
      <c r="B6" s="3" t="s">
        <v>33</v>
      </c>
      <c r="I6" s="2" t="s">
        <v>13</v>
      </c>
      <c r="J6" s="12">
        <v>200</v>
      </c>
      <c r="O6" s="16" t="s">
        <v>3</v>
      </c>
      <c r="P6" s="27" t="s">
        <v>17</v>
      </c>
      <c r="Q6" s="26">
        <v>8000</v>
      </c>
      <c r="R6">
        <f>Q6</f>
        <v>8000</v>
      </c>
      <c r="S6">
        <f>24*Q6</f>
        <v>192000</v>
      </c>
      <c r="T6" s="12">
        <f>48*Q6</f>
        <v>384000</v>
      </c>
    </row>
    <row r="7" spans="1:20" x14ac:dyDescent="0.2">
      <c r="A7" s="13"/>
      <c r="B7" s="3" t="s">
        <v>32</v>
      </c>
      <c r="I7" s="3" t="s">
        <v>17</v>
      </c>
      <c r="J7" s="12">
        <v>150</v>
      </c>
      <c r="O7" s="16"/>
      <c r="P7" s="3"/>
      <c r="T7" s="12"/>
    </row>
    <row r="8" spans="1:20" x14ac:dyDescent="0.2">
      <c r="A8" s="13"/>
      <c r="B8" s="3" t="s">
        <v>31</v>
      </c>
      <c r="I8" s="3" t="s">
        <v>30</v>
      </c>
      <c r="J8" s="12">
        <v>100</v>
      </c>
      <c r="O8" s="16" t="s">
        <v>2</v>
      </c>
      <c r="P8" s="27" t="s">
        <v>17</v>
      </c>
      <c r="Q8" s="26">
        <v>7500</v>
      </c>
      <c r="R8">
        <f>Q8</f>
        <v>7500</v>
      </c>
      <c r="S8">
        <f>24*Q8</f>
        <v>180000</v>
      </c>
      <c r="T8" s="12">
        <f>48*Q8</f>
        <v>360000</v>
      </c>
    </row>
    <row r="9" spans="1:20" x14ac:dyDescent="0.2">
      <c r="A9" s="13"/>
      <c r="B9" s="3" t="s">
        <v>29</v>
      </c>
      <c r="C9" s="3" t="s">
        <v>28</v>
      </c>
      <c r="I9" s="3" t="s">
        <v>24</v>
      </c>
      <c r="J9" s="12">
        <v>50</v>
      </c>
      <c r="O9" s="13"/>
      <c r="T9" s="12"/>
    </row>
    <row r="10" spans="1:20" ht="13.5" thickBot="1" x14ac:dyDescent="0.25">
      <c r="A10" s="11"/>
      <c r="B10" s="28" t="s">
        <v>27</v>
      </c>
      <c r="C10" s="28" t="s">
        <v>26</v>
      </c>
      <c r="D10" s="10"/>
      <c r="E10" s="10"/>
      <c r="F10" s="10"/>
      <c r="G10" s="10"/>
      <c r="H10" s="10"/>
      <c r="I10" s="28" t="s">
        <v>25</v>
      </c>
      <c r="J10" s="8">
        <v>0</v>
      </c>
      <c r="O10" s="16" t="s">
        <v>1</v>
      </c>
      <c r="P10" s="27" t="s">
        <v>24</v>
      </c>
      <c r="Q10" s="26">
        <v>6500</v>
      </c>
      <c r="R10">
        <f>Q10</f>
        <v>6500</v>
      </c>
      <c r="S10">
        <f>24*Q10</f>
        <v>156000</v>
      </c>
      <c r="T10" s="12">
        <f>48*Q10</f>
        <v>312000</v>
      </c>
    </row>
    <row r="11" spans="1:20" x14ac:dyDescent="0.2">
      <c r="B11" s="3"/>
      <c r="C11" s="3"/>
      <c r="O11" s="13"/>
      <c r="P11" s="3"/>
      <c r="T11" s="12"/>
    </row>
    <row r="12" spans="1:20" ht="13.5" thickBot="1" x14ac:dyDescent="0.25">
      <c r="E12" s="4" t="s">
        <v>6</v>
      </c>
      <c r="F12" s="4" t="s">
        <v>23</v>
      </c>
      <c r="G12" s="4"/>
      <c r="H12" s="4" t="s">
        <v>22</v>
      </c>
      <c r="I12" s="4" t="s">
        <v>21</v>
      </c>
      <c r="J12" s="4"/>
      <c r="K12" s="4" t="s">
        <v>20</v>
      </c>
      <c r="L12" s="4" t="s">
        <v>19</v>
      </c>
      <c r="M12" s="4" t="s">
        <v>18</v>
      </c>
      <c r="O12" s="25" t="s">
        <v>0</v>
      </c>
      <c r="P12" s="24" t="s">
        <v>17</v>
      </c>
      <c r="Q12" s="23">
        <v>8500</v>
      </c>
      <c r="R12" s="10">
        <f>Q12</f>
        <v>8500</v>
      </c>
      <c r="S12" s="10">
        <f>24*Q12</f>
        <v>204000</v>
      </c>
      <c r="T12" s="8">
        <f>48*Q12</f>
        <v>408000</v>
      </c>
    </row>
    <row r="13" spans="1:20" x14ac:dyDescent="0.2">
      <c r="D13" s="4" t="s">
        <v>3</v>
      </c>
      <c r="E13">
        <f>R6</f>
        <v>8000</v>
      </c>
      <c r="F13">
        <f>S6</f>
        <v>192000</v>
      </c>
      <c r="G13" s="5" t="str">
        <f>P6</f>
        <v>Goed</v>
      </c>
      <c r="H13" s="7">
        <f>SUM(E16/E13)*800</f>
        <v>850</v>
      </c>
      <c r="I13" s="7">
        <f>H16-H13</f>
        <v>-50</v>
      </c>
      <c r="J13" s="5" t="str">
        <f>P6</f>
        <v>Goed</v>
      </c>
      <c r="K13">
        <f>IF(J13="Onvoldoende",0,IF(J13="Matig",50,IF(J13="Neutraal",100,IF(J13="Goed",150,IF(J13="Uitstekend",200,"Geen score")))))</f>
        <v>150</v>
      </c>
      <c r="L13" s="7">
        <f>H13+K13</f>
        <v>1000</v>
      </c>
      <c r="M13" cm="1">
        <f t="array" ref="M13">1+SUMPRODUCT((L13&lt;$L$13:$L$16)*1)</f>
        <v>3</v>
      </c>
    </row>
    <row r="14" spans="1:20" x14ac:dyDescent="0.2">
      <c r="D14" s="4" t="s">
        <v>2</v>
      </c>
      <c r="E14">
        <f>R8</f>
        <v>7500</v>
      </c>
      <c r="F14">
        <f>S8</f>
        <v>180000</v>
      </c>
      <c r="G14" s="3" t="str">
        <f>P8</f>
        <v>Goed</v>
      </c>
      <c r="H14" s="7">
        <f>SUM(E16/E14)*800</f>
        <v>906.66666666666663</v>
      </c>
      <c r="I14" s="7">
        <f>H16-H14</f>
        <v>-106.66666666666663</v>
      </c>
      <c r="J14" s="3" t="str">
        <f>P8</f>
        <v>Goed</v>
      </c>
      <c r="K14">
        <f>IF(J14="Onvoldoende",0,IF(J14="Matig",50,IF(J14="Neutraal",100,IF(J14="Goed",150,IF(J14="Uitstekend",200,"Geen score")))))</f>
        <v>150</v>
      </c>
      <c r="L14" s="7">
        <f>H14+K14</f>
        <v>1056.6666666666665</v>
      </c>
      <c r="M14" cm="1">
        <f t="array" ref="M14">1+SUMPRODUCT((L14&lt;$L$13:$L$16)*1)</f>
        <v>2</v>
      </c>
    </row>
    <row r="15" spans="1:20" x14ac:dyDescent="0.2">
      <c r="D15" s="4" t="s">
        <v>1</v>
      </c>
      <c r="E15">
        <f>R10</f>
        <v>6500</v>
      </c>
      <c r="F15">
        <f>S10</f>
        <v>156000</v>
      </c>
      <c r="G15" s="3" t="str">
        <f>P10</f>
        <v>Matig</v>
      </c>
      <c r="H15" s="7">
        <f>SUM(E16/E15)*800</f>
        <v>1046.1538461538462</v>
      </c>
      <c r="I15" s="7">
        <f>H16-H15</f>
        <v>-246.15384615384619</v>
      </c>
      <c r="J15" s="3" t="str">
        <f>P10</f>
        <v>Matig</v>
      </c>
      <c r="K15">
        <f>IF(J15="Onvoldoende",0,IF(J15="Matig",50,IF(J15="Neutraal",100,IF(J15="Goed",150,IF(J15="Uitstekend",200,"Geen score")))))</f>
        <v>50</v>
      </c>
      <c r="L15" s="7">
        <f>H15+K15</f>
        <v>1096.1538461538462</v>
      </c>
      <c r="M15" cm="1">
        <f t="array" ref="M15">1+SUMPRODUCT((L15&lt;$L$13:$L$16)*1)</f>
        <v>1</v>
      </c>
    </row>
    <row r="16" spans="1:20" x14ac:dyDescent="0.2">
      <c r="D16" s="4" t="s">
        <v>0</v>
      </c>
      <c r="E16">
        <f>R12</f>
        <v>8500</v>
      </c>
      <c r="F16">
        <f>S12</f>
        <v>204000</v>
      </c>
      <c r="G16" s="3" t="str">
        <f>P12</f>
        <v>Goed</v>
      </c>
      <c r="H16" s="7">
        <v>800</v>
      </c>
      <c r="I16" s="7">
        <f>H16-H16</f>
        <v>0</v>
      </c>
      <c r="J16" s="3" t="str">
        <f>P12</f>
        <v>Goed</v>
      </c>
      <c r="K16">
        <f>IF(J16="Onvoldoende",0,IF(J16="Matig",50,IF(J16="Neutraal",100,IF(J16="Goed",150,IF(J16="Uitstekend",200,"Geen score")))))</f>
        <v>150</v>
      </c>
      <c r="L16" s="7">
        <f>H16+K16</f>
        <v>950</v>
      </c>
      <c r="M16" cm="1">
        <f t="array" ref="M16">1+SUMPRODUCT((L16&lt;$L$13:$L$16)*1)</f>
        <v>4</v>
      </c>
    </row>
    <row r="17" spans="1:13" x14ac:dyDescent="0.2">
      <c r="D17" s="4"/>
      <c r="G17" s="3"/>
      <c r="H17" s="7"/>
      <c r="I17" s="7"/>
      <c r="J17" s="3"/>
      <c r="L17" s="7"/>
    </row>
    <row r="18" spans="1:13" ht="3.75" customHeight="1" x14ac:dyDescent="0.2">
      <c r="D18" s="4"/>
      <c r="G18" s="3"/>
      <c r="H18" s="7"/>
      <c r="I18" s="7"/>
      <c r="J18" s="3"/>
      <c r="L18" s="7"/>
    </row>
    <row r="19" spans="1:13" ht="3.75" customHeight="1" thickBot="1" x14ac:dyDescent="0.25">
      <c r="D19" s="4"/>
      <c r="G19" s="3"/>
      <c r="H19" s="7"/>
      <c r="I19" s="7"/>
      <c r="J19" s="3"/>
      <c r="L19" s="7"/>
    </row>
    <row r="20" spans="1:13" ht="15" customHeight="1" x14ac:dyDescent="0.2">
      <c r="A20" s="22" t="s">
        <v>16</v>
      </c>
      <c r="B20" s="20"/>
      <c r="C20" s="20"/>
      <c r="D20" s="21"/>
      <c r="E20" s="20"/>
      <c r="F20" s="20"/>
      <c r="G20" s="19"/>
      <c r="H20" s="18"/>
      <c r="I20" s="18"/>
      <c r="J20" s="17"/>
      <c r="L20" s="7"/>
    </row>
    <row r="21" spans="1:13" ht="15" customHeight="1" x14ac:dyDescent="0.2">
      <c r="A21" s="16" t="s">
        <v>15</v>
      </c>
      <c r="B21" s="4" t="s">
        <v>14</v>
      </c>
      <c r="C21" s="15">
        <v>0.2</v>
      </c>
      <c r="D21" s="4"/>
      <c r="E21" s="4" t="s">
        <v>7</v>
      </c>
      <c r="F21" s="4"/>
      <c r="G21" s="4"/>
      <c r="H21" s="4" t="s">
        <v>4</v>
      </c>
      <c r="I21" s="4"/>
      <c r="J21" s="14"/>
      <c r="L21" s="7"/>
    </row>
    <row r="22" spans="1:13" ht="15" customHeight="1" x14ac:dyDescent="0.2">
      <c r="A22" s="13">
        <v>7500</v>
      </c>
      <c r="B22">
        <f>96*A22</f>
        <v>720000</v>
      </c>
      <c r="C22">
        <f>C21*B22</f>
        <v>144000</v>
      </c>
      <c r="D22" s="2" t="s">
        <v>13</v>
      </c>
      <c r="E22" s="2">
        <v>-1</v>
      </c>
      <c r="F22">
        <f>C22</f>
        <v>144000</v>
      </c>
      <c r="H22" s="2" t="s">
        <v>13</v>
      </c>
      <c r="I22" s="2">
        <v>-1</v>
      </c>
      <c r="J22" s="12">
        <f>-C22</f>
        <v>-144000</v>
      </c>
      <c r="K22">
        <f>0.6*J22</f>
        <v>-86400</v>
      </c>
      <c r="L22" s="7">
        <f>0.4*J22</f>
        <v>-57600</v>
      </c>
    </row>
    <row r="23" spans="1:13" ht="15" customHeight="1" x14ac:dyDescent="0.2">
      <c r="A23" s="13"/>
      <c r="D23" t="s">
        <v>12</v>
      </c>
      <c r="E23" s="2">
        <v>-0.8</v>
      </c>
      <c r="F23">
        <f>0.8*F22</f>
        <v>115200</v>
      </c>
      <c r="H23" t="s">
        <v>12</v>
      </c>
      <c r="I23" s="2">
        <v>-0.5</v>
      </c>
      <c r="J23" s="12">
        <f>-0.5*C22</f>
        <v>-72000</v>
      </c>
      <c r="K23">
        <f>0.6*J23</f>
        <v>-43200</v>
      </c>
      <c r="L23" s="7">
        <f>0.4*J23</f>
        <v>-28800</v>
      </c>
    </row>
    <row r="24" spans="1:13" ht="15" customHeight="1" x14ac:dyDescent="0.2">
      <c r="A24" s="13"/>
      <c r="D24" t="s">
        <v>11</v>
      </c>
      <c r="E24" s="2">
        <v>-0.4</v>
      </c>
      <c r="F24">
        <f>0.4*F22</f>
        <v>57600</v>
      </c>
      <c r="H24" t="s">
        <v>11</v>
      </c>
      <c r="I24" s="2">
        <v>0</v>
      </c>
      <c r="J24" s="12">
        <v>0</v>
      </c>
      <c r="K24">
        <f>0.6*J24</f>
        <v>0</v>
      </c>
      <c r="L24" s="7">
        <f>0.4*J24</f>
        <v>0</v>
      </c>
    </row>
    <row r="25" spans="1:13" ht="15" customHeight="1" x14ac:dyDescent="0.2">
      <c r="A25" s="13"/>
      <c r="D25" t="s">
        <v>10</v>
      </c>
      <c r="E25" s="2">
        <v>-0.2</v>
      </c>
      <c r="F25">
        <f>0.2*F22</f>
        <v>28800</v>
      </c>
      <c r="H25" t="s">
        <v>10</v>
      </c>
      <c r="I25" s="2">
        <v>0.5</v>
      </c>
      <c r="J25" s="12">
        <f>0.5*C22</f>
        <v>72000</v>
      </c>
      <c r="K25">
        <f>0.6*J25</f>
        <v>43200</v>
      </c>
      <c r="L25" s="7">
        <f>0.4*J25</f>
        <v>28800</v>
      </c>
    </row>
    <row r="26" spans="1:13" ht="15" customHeight="1" thickBot="1" x14ac:dyDescent="0.25">
      <c r="A26" s="11"/>
      <c r="B26" s="10"/>
      <c r="C26" s="10"/>
      <c r="D26" s="10" t="s">
        <v>9</v>
      </c>
      <c r="E26" s="9">
        <v>0</v>
      </c>
      <c r="F26" s="10">
        <v>0</v>
      </c>
      <c r="G26" s="10"/>
      <c r="H26" s="10" t="s">
        <v>9</v>
      </c>
      <c r="I26" s="9">
        <v>1</v>
      </c>
      <c r="J26" s="8">
        <f>C22</f>
        <v>144000</v>
      </c>
      <c r="K26">
        <f>0.6*J26</f>
        <v>86400</v>
      </c>
      <c r="L26" s="7">
        <f>0.4*J26</f>
        <v>57600</v>
      </c>
    </row>
    <row r="27" spans="1:13" ht="15" customHeight="1" x14ac:dyDescent="0.2">
      <c r="D27" s="4"/>
      <c r="G27" s="3"/>
      <c r="H27" s="7"/>
      <c r="I27" s="7"/>
      <c r="J27" s="3"/>
      <c r="L27" s="7"/>
    </row>
    <row r="29" spans="1:13" x14ac:dyDescent="0.2">
      <c r="E29" s="4" t="s">
        <v>6</v>
      </c>
      <c r="H29" s="4" t="s">
        <v>5</v>
      </c>
      <c r="K29" s="4" t="s">
        <v>8</v>
      </c>
    </row>
    <row r="30" spans="1:13" x14ac:dyDescent="0.2">
      <c r="A30" s="3" t="s">
        <v>7</v>
      </c>
      <c r="D30" s="4" t="s">
        <v>3</v>
      </c>
      <c r="E30">
        <f>R6</f>
        <v>8000</v>
      </c>
      <c r="F30">
        <f>S6</f>
        <v>192000</v>
      </c>
      <c r="G30" s="5" t="str">
        <f>P6</f>
        <v>Goed</v>
      </c>
      <c r="H30" s="2"/>
      <c r="I30" s="1">
        <f>IF(G30="Onvoldoende",$E$26,IF(G30="Matig",$E$25,IF(G30="Neutraal",$E$24,IF(G30="Goed",$E$23,IF(G30="Uitstekend",$E$22,"Geen score")))))</f>
        <v>-0.8</v>
      </c>
      <c r="J30" s="2"/>
      <c r="K30">
        <f>I30*$C$22</f>
        <v>-115200</v>
      </c>
      <c r="L30" s="6">
        <f>F30+K30</f>
        <v>76800</v>
      </c>
      <c r="M30" cm="1">
        <f t="array" ref="M30">1+SUMPRODUCT((L30&gt;$L$30:$L$33)*1)</f>
        <v>2</v>
      </c>
    </row>
    <row r="31" spans="1:13" x14ac:dyDescent="0.2">
      <c r="D31" s="4" t="s">
        <v>2</v>
      </c>
      <c r="E31">
        <f>R8</f>
        <v>7500</v>
      </c>
      <c r="F31">
        <f>S8</f>
        <v>180000</v>
      </c>
      <c r="G31" s="3" t="str">
        <f>P8</f>
        <v>Goed</v>
      </c>
      <c r="H31" s="2"/>
      <c r="I31" s="1">
        <f>IF(G31="Onvoldoende",$E$26,IF(G31="Matig",$E$25,IF(G31="Neutraal",$E$24,IF(G31="Goed",$E$23,IF(G31="Uitstekend",$E$22,"Geen score")))))</f>
        <v>-0.8</v>
      </c>
      <c r="J31" s="2"/>
      <c r="K31">
        <f>I31*$C$22</f>
        <v>-115200</v>
      </c>
      <c r="L31" s="6">
        <f>F31+K31</f>
        <v>64800</v>
      </c>
      <c r="M31" cm="1">
        <f t="array" ref="M31">1+SUMPRODUCT((L31&gt;$L$30:$L$33)*1)</f>
        <v>1</v>
      </c>
    </row>
    <row r="32" spans="1:13" x14ac:dyDescent="0.2">
      <c r="D32" s="4" t="s">
        <v>1</v>
      </c>
      <c r="E32">
        <f>R10</f>
        <v>6500</v>
      </c>
      <c r="F32">
        <f>S10</f>
        <v>156000</v>
      </c>
      <c r="G32" s="3" t="str">
        <f>P10</f>
        <v>Matig</v>
      </c>
      <c r="H32" s="2"/>
      <c r="I32" s="1">
        <f>IF(G32="Onvoldoende",$E$26,IF(G32="Matig",$E$25,IF(G32="Neutraal",$E$24,IF(G32="Goed",$E$23,IF(G32="Uitstekend",$E$22,"Geen score")))))</f>
        <v>-0.2</v>
      </c>
      <c r="J32" s="2"/>
      <c r="K32">
        <f>I32*$C$22</f>
        <v>-28800</v>
      </c>
      <c r="L32" s="6">
        <f>F32+K32</f>
        <v>127200</v>
      </c>
      <c r="M32" cm="1">
        <f t="array" ref="M32">1+SUMPRODUCT((L32&gt;$L$30:$L$33)*1)</f>
        <v>4</v>
      </c>
    </row>
    <row r="33" spans="1:13" x14ac:dyDescent="0.2">
      <c r="D33" s="4" t="s">
        <v>0</v>
      </c>
      <c r="E33">
        <f>R12</f>
        <v>8500</v>
      </c>
      <c r="F33">
        <f>S12</f>
        <v>204000</v>
      </c>
      <c r="G33" s="3" t="str">
        <f>P12</f>
        <v>Goed</v>
      </c>
      <c r="H33" s="2"/>
      <c r="I33" s="1">
        <f>IF(G33="Onvoldoende",$E$26,IF(G33="Matig",$E$25,IF(G33="Neutraal",$E$24,IF(G33="Goed",$E$23,IF(G33="Uitstekend",$E$22,"Geen score")))))</f>
        <v>-0.8</v>
      </c>
      <c r="J33" s="2"/>
      <c r="K33">
        <f>I33*$C$22</f>
        <v>-115200</v>
      </c>
      <c r="L33" s="6">
        <f>F33+K33</f>
        <v>88800</v>
      </c>
      <c r="M33" cm="1">
        <f t="array" ref="M33">1+SUMPRODUCT((L33&gt;$L$30:$L$33)*1)</f>
        <v>3</v>
      </c>
    </row>
    <row r="35" spans="1:13" x14ac:dyDescent="0.2">
      <c r="A35" s="3"/>
      <c r="E35" s="4" t="s">
        <v>6</v>
      </c>
      <c r="H35" s="4" t="s">
        <v>5</v>
      </c>
    </row>
    <row r="36" spans="1:13" x14ac:dyDescent="0.2">
      <c r="A36" s="3" t="s">
        <v>4</v>
      </c>
      <c r="D36" s="4" t="s">
        <v>3</v>
      </c>
      <c r="E36">
        <f>Q6</f>
        <v>8000</v>
      </c>
      <c r="F36">
        <f>S6</f>
        <v>192000</v>
      </c>
      <c r="G36" s="5" t="str">
        <f>P6</f>
        <v>Goed</v>
      </c>
      <c r="H36" s="2"/>
      <c r="I36" s="1">
        <f>IF(G36="Onvoldoende",$I$26,IF(G36="Matig",$I$25,IF(G36="Neutraal",$I$24,IF(G36="Goed",$I$23,IF(G36="Uitstekend",$I$22,"Geen score")))))</f>
        <v>-0.5</v>
      </c>
      <c r="K36">
        <f>I36*$C$22</f>
        <v>-72000</v>
      </c>
      <c r="L36">
        <f>F36+K36</f>
        <v>120000</v>
      </c>
      <c r="M36" cm="1">
        <f t="array" ref="M36">1+SUMPRODUCT((L36&gt;$L$36:$L$39)*1)</f>
        <v>2</v>
      </c>
    </row>
    <row r="37" spans="1:13" x14ac:dyDescent="0.2">
      <c r="D37" s="4" t="s">
        <v>2</v>
      </c>
      <c r="E37">
        <f>Q8</f>
        <v>7500</v>
      </c>
      <c r="F37">
        <f>S8</f>
        <v>180000</v>
      </c>
      <c r="G37" s="3" t="str">
        <f>P8</f>
        <v>Goed</v>
      </c>
      <c r="H37" s="2"/>
      <c r="I37" s="1">
        <f>IF(G37="Onvoldoende",$I$26,IF(G37="Matig",$I$25,IF(G37="Neutraal",$I$24,IF(G37="Goed",$I$23,IF(G37="Uitstekend",$I$22,"Geen score")))))</f>
        <v>-0.5</v>
      </c>
      <c r="K37">
        <f>I37*$C$22</f>
        <v>-72000</v>
      </c>
      <c r="L37">
        <f>F37+K37</f>
        <v>108000</v>
      </c>
      <c r="M37" cm="1">
        <f t="array" ref="M37">1+SUMPRODUCT((L37&gt;$L$36:$L$39)*1)</f>
        <v>1</v>
      </c>
    </row>
    <row r="38" spans="1:13" x14ac:dyDescent="0.2">
      <c r="D38" s="4" t="s">
        <v>1</v>
      </c>
      <c r="E38">
        <f>Q10</f>
        <v>6500</v>
      </c>
      <c r="F38">
        <f>S10</f>
        <v>156000</v>
      </c>
      <c r="G38" s="3" t="str">
        <f>P10</f>
        <v>Matig</v>
      </c>
      <c r="H38" s="2"/>
      <c r="I38" s="1">
        <f>IF(G38="Onvoldoende",$I$26,IF(G38="Matig",$I$25,IF(G38="Neutraal",$I$24,IF(G38="Goed",$I$23,IF(G38="Uitstekend",$I$22,"Geen score")))))</f>
        <v>0.5</v>
      </c>
      <c r="K38">
        <f>I38*$C$22</f>
        <v>72000</v>
      </c>
      <c r="L38">
        <f>F38+K38</f>
        <v>228000</v>
      </c>
      <c r="M38" cm="1">
        <f t="array" ref="M38">1+SUMPRODUCT((L38&gt;$L$36:$L$39)*1)</f>
        <v>4</v>
      </c>
    </row>
    <row r="39" spans="1:13" x14ac:dyDescent="0.2">
      <c r="D39" s="4" t="s">
        <v>0</v>
      </c>
      <c r="E39">
        <f>Q12</f>
        <v>8500</v>
      </c>
      <c r="F39">
        <f>S12</f>
        <v>204000</v>
      </c>
      <c r="G39" s="3" t="str">
        <f>P12</f>
        <v>Goed</v>
      </c>
      <c r="H39" s="2"/>
      <c r="I39" s="1">
        <f>IF(G39="Onvoldoende",$I$26,IF(G39="Matig",$I$25,IF(G39="Neutraal",$I$24,IF(G39="Goed",$I$23,IF(G39="Uitstekend",$I$22,"Geen score")))))</f>
        <v>-0.5</v>
      </c>
      <c r="K39">
        <f>I39*$C$22</f>
        <v>-72000</v>
      </c>
      <c r="L39">
        <f>F39+K39</f>
        <v>132000</v>
      </c>
      <c r="M39" cm="1">
        <f t="array" ref="M39">1+SUMPRODUCT((L39&gt;$L$36:$L$39)*1)</f>
        <v>3</v>
      </c>
    </row>
  </sheetData>
  <conditionalFormatting sqref="L13:L16">
    <cfRule type="top10" dxfId="13" priority="1" rank="1"/>
  </conditionalFormatting>
  <conditionalFormatting sqref="L30:L33">
    <cfRule type="top10" dxfId="12" priority="3" bottom="1" rank="1"/>
  </conditionalFormatting>
  <conditionalFormatting sqref="L36:L39">
    <cfRule type="top10" dxfId="11" priority="2" bottom="1" rank="1"/>
  </conditionalFormatting>
  <dataValidations count="1">
    <dataValidation type="list" allowBlank="1" showInputMessage="1" showErrorMessage="1" sqref="P6 P8 P10 P12" xr:uid="{454E2A16-EBC6-4F2E-B88D-B7B86FDAC2DC}">
      <formula1>$I$6:$I$10</formula1>
    </dataValidation>
  </dataValidations>
  <pageMargins left="0.7" right="0.7" top="0.75" bottom="0.75" header="0.3" footer="0.3"/>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20E3F-32EB-4DD5-85FF-37B88E2051AE}">
  <dimension ref="A1:T39"/>
  <sheetViews>
    <sheetView workbookViewId="0">
      <selection activeCell="I32" sqref="I32"/>
    </sheetView>
  </sheetViews>
  <sheetFormatPr defaultRowHeight="12.75" x14ac:dyDescent="0.2"/>
  <cols>
    <col min="6" max="7" width="10.140625" customWidth="1"/>
    <col min="9" max="9" width="9.42578125" bestFit="1" customWidth="1"/>
    <col min="14" max="14" width="1.5703125" customWidth="1"/>
    <col min="15" max="17" width="11.5703125" customWidth="1"/>
  </cols>
  <sheetData>
    <row r="1" spans="1:20" ht="23.25" customHeight="1" x14ac:dyDescent="0.25">
      <c r="A1" s="31" t="s">
        <v>45</v>
      </c>
    </row>
    <row r="3" spans="1:20" ht="13.5" thickBot="1" x14ac:dyDescent="0.25">
      <c r="O3" s="4" t="s">
        <v>44</v>
      </c>
      <c r="P3" s="4"/>
      <c r="Q3" s="27" t="s">
        <v>43</v>
      </c>
      <c r="R3" s="26"/>
      <c r="S3" s="26"/>
    </row>
    <row r="4" spans="1:20" ht="13.5" thickBot="1" x14ac:dyDescent="0.25">
      <c r="O4" s="22" t="s">
        <v>42</v>
      </c>
      <c r="P4" s="21" t="s">
        <v>41</v>
      </c>
      <c r="Q4" s="21" t="s">
        <v>40</v>
      </c>
      <c r="R4" s="21" t="s">
        <v>39</v>
      </c>
      <c r="S4" s="21" t="s">
        <v>46</v>
      </c>
      <c r="T4" s="30"/>
    </row>
    <row r="5" spans="1:20" x14ac:dyDescent="0.2">
      <c r="A5" s="22" t="s">
        <v>36</v>
      </c>
      <c r="B5" s="20"/>
      <c r="C5" s="20"/>
      <c r="D5" s="19" t="s">
        <v>35</v>
      </c>
      <c r="E5" s="20"/>
      <c r="F5" s="20"/>
      <c r="G5" s="20"/>
      <c r="H5" s="20"/>
      <c r="I5" s="21" t="s">
        <v>34</v>
      </c>
      <c r="J5" s="29"/>
      <c r="O5" s="13"/>
      <c r="T5" s="12"/>
    </row>
    <row r="6" spans="1:20" x14ac:dyDescent="0.2">
      <c r="A6" s="13"/>
      <c r="B6" s="3" t="s">
        <v>33</v>
      </c>
      <c r="I6" s="2" t="s">
        <v>13</v>
      </c>
      <c r="J6" s="12">
        <v>400</v>
      </c>
      <c r="O6" s="16" t="s">
        <v>3</v>
      </c>
      <c r="P6" s="27" t="s">
        <v>13</v>
      </c>
      <c r="Q6" s="26">
        <v>840</v>
      </c>
      <c r="R6">
        <f>Q6</f>
        <v>840</v>
      </c>
      <c r="S6">
        <f>675*Q6</f>
        <v>567000</v>
      </c>
      <c r="T6" s="12"/>
    </row>
    <row r="7" spans="1:20" x14ac:dyDescent="0.2">
      <c r="A7" s="13"/>
      <c r="B7" s="3" t="s">
        <v>32</v>
      </c>
      <c r="I7" s="3" t="s">
        <v>17</v>
      </c>
      <c r="J7" s="12">
        <v>300</v>
      </c>
      <c r="O7" s="16"/>
      <c r="P7" s="3"/>
      <c r="T7" s="12"/>
    </row>
    <row r="8" spans="1:20" x14ac:dyDescent="0.2">
      <c r="A8" s="13"/>
      <c r="B8" s="3" t="s">
        <v>31</v>
      </c>
      <c r="I8" s="3" t="s">
        <v>30</v>
      </c>
      <c r="J8" s="12">
        <v>200</v>
      </c>
      <c r="O8" s="16" t="s">
        <v>2</v>
      </c>
      <c r="P8" s="27" t="s">
        <v>24</v>
      </c>
      <c r="Q8" s="26">
        <v>600</v>
      </c>
      <c r="R8">
        <f>Q8</f>
        <v>600</v>
      </c>
      <c r="S8">
        <f>675*Q8</f>
        <v>405000</v>
      </c>
      <c r="T8" s="12"/>
    </row>
    <row r="9" spans="1:20" x14ac:dyDescent="0.2">
      <c r="A9" s="13"/>
      <c r="B9" s="3" t="s">
        <v>29</v>
      </c>
      <c r="C9" s="3">
        <v>600</v>
      </c>
      <c r="D9" t="s">
        <v>48</v>
      </c>
      <c r="I9" s="3" t="s">
        <v>24</v>
      </c>
      <c r="J9" s="12">
        <v>100</v>
      </c>
      <c r="O9" s="13"/>
      <c r="T9" s="12"/>
    </row>
    <row r="10" spans="1:20" ht="13.5" thickBot="1" x14ac:dyDescent="0.25">
      <c r="A10" s="11"/>
      <c r="B10" s="28" t="s">
        <v>27</v>
      </c>
      <c r="C10" s="28">
        <v>400</v>
      </c>
      <c r="D10" s="10" t="s">
        <v>48</v>
      </c>
      <c r="E10" s="10"/>
      <c r="F10" s="10"/>
      <c r="G10" s="10"/>
      <c r="H10" s="10"/>
      <c r="I10" s="28" t="s">
        <v>25</v>
      </c>
      <c r="J10" s="8">
        <v>0</v>
      </c>
      <c r="O10" s="16" t="s">
        <v>1</v>
      </c>
      <c r="P10" s="27" t="s">
        <v>24</v>
      </c>
      <c r="Q10" s="26">
        <v>650</v>
      </c>
      <c r="R10">
        <f>Q10</f>
        <v>650</v>
      </c>
      <c r="S10">
        <f>675*Q10</f>
        <v>438750</v>
      </c>
      <c r="T10" s="12"/>
    </row>
    <row r="11" spans="1:20" x14ac:dyDescent="0.2">
      <c r="B11" s="3"/>
      <c r="C11" s="3"/>
      <c r="O11" s="13"/>
      <c r="P11" s="3"/>
      <c r="T11" s="12"/>
    </row>
    <row r="12" spans="1:20" ht="13.5" thickBot="1" x14ac:dyDescent="0.25">
      <c r="E12" s="4" t="s">
        <v>6</v>
      </c>
      <c r="F12" s="4" t="s">
        <v>47</v>
      </c>
      <c r="G12" s="4"/>
      <c r="H12" s="4" t="s">
        <v>22</v>
      </c>
      <c r="I12" s="4" t="s">
        <v>21</v>
      </c>
      <c r="J12" s="4"/>
      <c r="K12" s="4" t="s">
        <v>20</v>
      </c>
      <c r="L12" s="4" t="s">
        <v>19</v>
      </c>
      <c r="M12" s="4" t="s">
        <v>18</v>
      </c>
      <c r="O12" s="25" t="s">
        <v>0</v>
      </c>
      <c r="P12" s="24" t="s">
        <v>13</v>
      </c>
      <c r="Q12" s="23">
        <v>750</v>
      </c>
      <c r="R12" s="10">
        <f>Q12</f>
        <v>750</v>
      </c>
      <c r="S12" s="10">
        <f>675*Q12</f>
        <v>506250</v>
      </c>
      <c r="T12" s="8"/>
    </row>
    <row r="13" spans="1:20" x14ac:dyDescent="0.2">
      <c r="D13" s="4" t="s">
        <v>3</v>
      </c>
      <c r="E13">
        <f>R6</f>
        <v>840</v>
      </c>
      <c r="F13">
        <f>S6</f>
        <v>567000</v>
      </c>
      <c r="G13" s="5" t="str">
        <f>P6</f>
        <v>Uitstekend</v>
      </c>
      <c r="H13" s="7">
        <f>SUM(E14/E13)*800</f>
        <v>571.42857142857144</v>
      </c>
      <c r="I13" s="7">
        <f>H16-H13</f>
        <v>68.571428571428555</v>
      </c>
      <c r="J13" s="5" t="str">
        <f>P6</f>
        <v>Uitstekend</v>
      </c>
      <c r="K13">
        <f>IF(J13="Onvoldoende",0,IF(J13="Matig",100,IF(J13="Neutraal",200,IF(J13="Goed",300,IF(J13="Uitstekend",400,"Geen score")))))</f>
        <v>400</v>
      </c>
      <c r="L13" s="7">
        <f>H13+K13</f>
        <v>971.42857142857144</v>
      </c>
      <c r="M13" cm="1">
        <f t="array" ref="M13">1+SUMPRODUCT((L13&lt;$L$13:$L$16)*1)</f>
        <v>2</v>
      </c>
    </row>
    <row r="14" spans="1:20" x14ac:dyDescent="0.2">
      <c r="D14" s="4" t="s">
        <v>2</v>
      </c>
      <c r="E14">
        <f>R8</f>
        <v>600</v>
      </c>
      <c r="F14">
        <f>S8</f>
        <v>405000</v>
      </c>
      <c r="G14" s="3" t="str">
        <f>P8</f>
        <v>Matig</v>
      </c>
      <c r="H14" s="7">
        <f>SUM(E14/E14)*600</f>
        <v>600</v>
      </c>
      <c r="I14" s="7">
        <f>H16-H14</f>
        <v>40</v>
      </c>
      <c r="J14" s="3" t="str">
        <f>P8</f>
        <v>Matig</v>
      </c>
      <c r="K14">
        <f t="shared" ref="K14:K16" si="0">IF(J14="Onvoldoende",0,IF(J14="Matig",100,IF(J14="Neutraal",200,IF(J14="Goed",300,IF(J14="Uitstekend",400,"Geen score")))))</f>
        <v>100</v>
      </c>
      <c r="L14" s="7">
        <f>H14+K14</f>
        <v>700</v>
      </c>
      <c r="M14" cm="1">
        <f t="array" ref="M14">1+SUMPRODUCT((L14&lt;$L$13:$L$16)*1)</f>
        <v>4</v>
      </c>
    </row>
    <row r="15" spans="1:20" x14ac:dyDescent="0.2">
      <c r="D15" s="4" t="s">
        <v>1</v>
      </c>
      <c r="E15">
        <f>R10</f>
        <v>650</v>
      </c>
      <c r="F15">
        <f>S10</f>
        <v>438750</v>
      </c>
      <c r="G15" s="3" t="str">
        <f>P10</f>
        <v>Matig</v>
      </c>
      <c r="H15" s="7">
        <f>SUM(E14/E15)*800</f>
        <v>738.46153846153845</v>
      </c>
      <c r="I15" s="7">
        <f>H16-H15</f>
        <v>-98.461538461538453</v>
      </c>
      <c r="J15" s="3" t="str">
        <f>P10</f>
        <v>Matig</v>
      </c>
      <c r="K15">
        <f t="shared" si="0"/>
        <v>100</v>
      </c>
      <c r="L15" s="7">
        <f>H15+K15</f>
        <v>838.46153846153845</v>
      </c>
      <c r="M15" cm="1">
        <f t="array" ref="M15">1+SUMPRODUCT((L15&lt;$L$13:$L$16)*1)</f>
        <v>3</v>
      </c>
    </row>
    <row r="16" spans="1:20" x14ac:dyDescent="0.2">
      <c r="D16" s="4" t="s">
        <v>0</v>
      </c>
      <c r="E16">
        <f>R12</f>
        <v>750</v>
      </c>
      <c r="F16">
        <f>S12</f>
        <v>506250</v>
      </c>
      <c r="G16" s="3" t="str">
        <f>P12</f>
        <v>Uitstekend</v>
      </c>
      <c r="H16" s="7">
        <f>SUM(E14/E16)*800</f>
        <v>640</v>
      </c>
      <c r="I16" s="7">
        <f>H16-H16</f>
        <v>0</v>
      </c>
      <c r="J16" s="3" t="str">
        <f>P12</f>
        <v>Uitstekend</v>
      </c>
      <c r="K16">
        <f t="shared" si="0"/>
        <v>400</v>
      </c>
      <c r="L16" s="7">
        <f>H16+K16</f>
        <v>1040</v>
      </c>
      <c r="M16" cm="1">
        <f t="array" ref="M16">1+SUMPRODUCT((L16&lt;$L$13:$L$16)*1)</f>
        <v>1</v>
      </c>
    </row>
    <row r="17" spans="1:13" x14ac:dyDescent="0.2">
      <c r="D17" s="4"/>
      <c r="G17" s="3"/>
      <c r="H17" s="7"/>
      <c r="I17" s="7"/>
      <c r="J17" s="3"/>
      <c r="L17" s="7"/>
    </row>
    <row r="18" spans="1:13" ht="3.75" customHeight="1" x14ac:dyDescent="0.2">
      <c r="D18" s="4"/>
      <c r="G18" s="3"/>
      <c r="H18" s="7"/>
      <c r="I18" s="7"/>
      <c r="J18" s="3"/>
      <c r="L18" s="7"/>
    </row>
    <row r="19" spans="1:13" ht="3.75" customHeight="1" thickBot="1" x14ac:dyDescent="0.25">
      <c r="D19" s="4"/>
      <c r="G19" s="3"/>
      <c r="H19" s="7"/>
      <c r="I19" s="7"/>
      <c r="J19" s="3"/>
      <c r="L19" s="7"/>
    </row>
    <row r="20" spans="1:13" ht="15" customHeight="1" x14ac:dyDescent="0.2">
      <c r="A20" s="22" t="s">
        <v>16</v>
      </c>
      <c r="B20" s="20"/>
      <c r="C20" s="20"/>
      <c r="D20" s="21"/>
      <c r="E20" s="20"/>
      <c r="F20" s="20"/>
      <c r="G20" s="19"/>
      <c r="H20" s="18"/>
      <c r="I20" s="18"/>
      <c r="J20" s="17"/>
      <c r="L20" s="7"/>
    </row>
    <row r="21" spans="1:13" ht="15" customHeight="1" x14ac:dyDescent="0.2">
      <c r="A21" s="16" t="s">
        <v>49</v>
      </c>
      <c r="B21" s="4" t="s">
        <v>46</v>
      </c>
      <c r="C21" s="15">
        <v>0.2</v>
      </c>
      <c r="D21" s="4"/>
      <c r="E21" s="4" t="s">
        <v>7</v>
      </c>
      <c r="F21" s="4"/>
      <c r="G21" s="4"/>
      <c r="H21" s="4" t="s">
        <v>4</v>
      </c>
      <c r="I21" s="4"/>
      <c r="J21" s="14"/>
      <c r="L21" s="7"/>
    </row>
    <row r="22" spans="1:13" ht="15" customHeight="1" x14ac:dyDescent="0.2">
      <c r="A22" s="13">
        <v>800</v>
      </c>
      <c r="B22">
        <f>675*A22</f>
        <v>540000</v>
      </c>
      <c r="C22">
        <f>C21*B22</f>
        <v>108000</v>
      </c>
      <c r="D22" s="2" t="s">
        <v>13</v>
      </c>
      <c r="E22" s="2">
        <v>-1</v>
      </c>
      <c r="F22">
        <f>C22</f>
        <v>108000</v>
      </c>
      <c r="H22" s="2" t="s">
        <v>13</v>
      </c>
      <c r="I22" s="2">
        <v>-1</v>
      </c>
      <c r="J22" s="12">
        <f>-C22</f>
        <v>-108000</v>
      </c>
      <c r="L22" s="7"/>
    </row>
    <row r="23" spans="1:13" ht="15" customHeight="1" x14ac:dyDescent="0.2">
      <c r="A23" s="13"/>
      <c r="D23" t="s">
        <v>12</v>
      </c>
      <c r="E23" s="2">
        <v>-0.8</v>
      </c>
      <c r="F23">
        <f>0.8*F22</f>
        <v>86400</v>
      </c>
      <c r="H23" t="s">
        <v>12</v>
      </c>
      <c r="I23" s="2">
        <v>-0.5</v>
      </c>
      <c r="J23" s="12">
        <f>-0.5*C22</f>
        <v>-54000</v>
      </c>
      <c r="L23" s="7"/>
    </row>
    <row r="24" spans="1:13" ht="15" customHeight="1" x14ac:dyDescent="0.2">
      <c r="A24" s="13"/>
      <c r="D24" t="s">
        <v>11</v>
      </c>
      <c r="E24" s="2">
        <v>-0.4</v>
      </c>
      <c r="F24">
        <f>0.4*F22</f>
        <v>43200</v>
      </c>
      <c r="H24" t="s">
        <v>11</v>
      </c>
      <c r="I24" s="2">
        <v>0</v>
      </c>
      <c r="J24" s="12">
        <v>0</v>
      </c>
      <c r="L24" s="7"/>
    </row>
    <row r="25" spans="1:13" ht="15" customHeight="1" x14ac:dyDescent="0.2">
      <c r="A25" s="13"/>
      <c r="D25" t="s">
        <v>10</v>
      </c>
      <c r="E25" s="2">
        <v>-0.2</v>
      </c>
      <c r="F25">
        <f>0.2*F22</f>
        <v>21600</v>
      </c>
      <c r="H25" t="s">
        <v>10</v>
      </c>
      <c r="I25" s="2">
        <v>0.5</v>
      </c>
      <c r="J25" s="12">
        <f>0.5*C22</f>
        <v>54000</v>
      </c>
      <c r="L25" s="7"/>
    </row>
    <row r="26" spans="1:13" ht="15" customHeight="1" thickBot="1" x14ac:dyDescent="0.25">
      <c r="A26" s="11"/>
      <c r="B26" s="10"/>
      <c r="C26" s="10"/>
      <c r="D26" s="10" t="s">
        <v>9</v>
      </c>
      <c r="E26" s="9">
        <v>0</v>
      </c>
      <c r="F26" s="10">
        <v>0</v>
      </c>
      <c r="G26" s="10"/>
      <c r="H26" s="10" t="s">
        <v>9</v>
      </c>
      <c r="I26" s="9">
        <v>1</v>
      </c>
      <c r="J26" s="8">
        <f>C22</f>
        <v>108000</v>
      </c>
      <c r="L26" s="7"/>
    </row>
    <row r="27" spans="1:13" ht="15" customHeight="1" x14ac:dyDescent="0.2">
      <c r="D27" s="4"/>
      <c r="G27" s="3"/>
      <c r="H27" s="7"/>
      <c r="I27" s="7"/>
      <c r="J27" s="3"/>
      <c r="L27" s="7"/>
    </row>
    <row r="29" spans="1:13" x14ac:dyDescent="0.2">
      <c r="E29" s="4" t="s">
        <v>6</v>
      </c>
      <c r="H29" s="4" t="s">
        <v>5</v>
      </c>
      <c r="K29" s="4" t="s">
        <v>8</v>
      </c>
    </row>
    <row r="30" spans="1:13" x14ac:dyDescent="0.2">
      <c r="A30" s="3" t="s">
        <v>7</v>
      </c>
      <c r="D30" s="4" t="s">
        <v>3</v>
      </c>
      <c r="E30">
        <f>R6</f>
        <v>840</v>
      </c>
      <c r="F30">
        <f>S6</f>
        <v>567000</v>
      </c>
      <c r="G30" s="5" t="str">
        <f>P6</f>
        <v>Uitstekend</v>
      </c>
      <c r="H30" s="2"/>
      <c r="I30" s="1"/>
      <c r="J30" s="2"/>
      <c r="K30">
        <f>I30*$C$22</f>
        <v>0</v>
      </c>
      <c r="L30" s="6">
        <f>F30+K30</f>
        <v>567000</v>
      </c>
      <c r="M30" cm="1">
        <f t="array" ref="M30">1+SUMPRODUCT((L30&gt;$L$30:$L$33)*1)</f>
        <v>4</v>
      </c>
    </row>
    <row r="31" spans="1:13" x14ac:dyDescent="0.2">
      <c r="D31" s="4" t="s">
        <v>2</v>
      </c>
      <c r="E31">
        <f>R8</f>
        <v>600</v>
      </c>
      <c r="F31">
        <f>S8</f>
        <v>405000</v>
      </c>
      <c r="G31" s="3" t="str">
        <f>P8</f>
        <v>Matig</v>
      </c>
      <c r="H31" s="2"/>
      <c r="I31" s="1"/>
      <c r="J31" s="2"/>
      <c r="K31">
        <f>I31*$C$22</f>
        <v>0</v>
      </c>
      <c r="L31" s="6">
        <f>F31+K31</f>
        <v>405000</v>
      </c>
      <c r="M31" cm="1">
        <f t="array" ref="M31">1+SUMPRODUCT((L31&gt;$L$30:$L$33)*1)</f>
        <v>2</v>
      </c>
    </row>
    <row r="32" spans="1:13" x14ac:dyDescent="0.2">
      <c r="D32" s="4" t="s">
        <v>1</v>
      </c>
      <c r="E32">
        <f>R10</f>
        <v>650</v>
      </c>
      <c r="F32">
        <f>S10</f>
        <v>438750</v>
      </c>
      <c r="G32" s="3" t="str">
        <f>P10</f>
        <v>Matig</v>
      </c>
      <c r="H32" s="2"/>
      <c r="I32" s="1">
        <f>IF(G32="Onvoldoende",$E$26,IF(G32="Matig",$E$25,IF(G32="Neutraal",$E$24,IF(G32="Goed",$E$23,IF(G32="Uitstekend",$E$22,"Geen score")))))</f>
        <v>-0.2</v>
      </c>
      <c r="J32" s="2"/>
      <c r="K32">
        <f>I32*$C$22</f>
        <v>-21600</v>
      </c>
      <c r="L32" s="6">
        <f>F32+K32</f>
        <v>417150</v>
      </c>
      <c r="M32" cm="1">
        <f t="array" ref="M32">1+SUMPRODUCT((L32&gt;$L$30:$L$33)*1)</f>
        <v>3</v>
      </c>
    </row>
    <row r="33" spans="1:13" x14ac:dyDescent="0.2">
      <c r="D33" s="4" t="s">
        <v>0</v>
      </c>
      <c r="E33">
        <f>R12</f>
        <v>750</v>
      </c>
      <c r="F33">
        <f>S12</f>
        <v>506250</v>
      </c>
      <c r="G33" s="3" t="str">
        <f>P12</f>
        <v>Uitstekend</v>
      </c>
      <c r="H33" s="2"/>
      <c r="I33" s="1">
        <f>IF(G33="Onvoldoende",$E$26,IF(G33="Matig",$E$25,IF(G33="Neutraal",$E$24,IF(G33="Goed",$E$23,IF(G33="Uitstekend",$E$22,"Geen score")))))</f>
        <v>-1</v>
      </c>
      <c r="J33" s="2"/>
      <c r="K33">
        <f>I33*$C$22</f>
        <v>-108000</v>
      </c>
      <c r="L33" s="6">
        <f>F33+K33</f>
        <v>398250</v>
      </c>
      <c r="M33" cm="1">
        <f t="array" ref="M33">1+SUMPRODUCT((L33&gt;$L$30:$L$33)*1)</f>
        <v>1</v>
      </c>
    </row>
    <row r="35" spans="1:13" x14ac:dyDescent="0.2">
      <c r="A35" s="3"/>
      <c r="E35" s="4" t="s">
        <v>6</v>
      </c>
      <c r="H35" s="4" t="s">
        <v>5</v>
      </c>
    </row>
    <row r="36" spans="1:13" x14ac:dyDescent="0.2">
      <c r="A36" s="3" t="s">
        <v>4</v>
      </c>
      <c r="D36" s="4" t="s">
        <v>3</v>
      </c>
      <c r="E36">
        <f>Q6</f>
        <v>840</v>
      </c>
      <c r="F36">
        <f>S6</f>
        <v>567000</v>
      </c>
      <c r="G36" s="5" t="str">
        <f>P6</f>
        <v>Uitstekend</v>
      </c>
      <c r="H36" s="2"/>
      <c r="I36" s="1">
        <f>IF(G36="Onvoldoende",$I$26,IF(G36="Matig",$I$25,IF(G36="Neutraal",$I$24,IF(G36="Goed",$I$23,IF(G36="Uitstekend",$I$22,"Geen score")))))</f>
        <v>-1</v>
      </c>
      <c r="K36">
        <f>I36*$C$22</f>
        <v>-108000</v>
      </c>
      <c r="L36">
        <f>F36+K36</f>
        <v>459000</v>
      </c>
      <c r="M36" cm="1">
        <f t="array" ref="M36">1+SUMPRODUCT((L36&gt;$L$36:$L$39)*1)</f>
        <v>2</v>
      </c>
    </row>
    <row r="37" spans="1:13" x14ac:dyDescent="0.2">
      <c r="D37" s="4" t="s">
        <v>2</v>
      </c>
      <c r="E37">
        <f>Q8</f>
        <v>600</v>
      </c>
      <c r="F37">
        <f>S8</f>
        <v>405000</v>
      </c>
      <c r="G37" s="3" t="str">
        <f>P8</f>
        <v>Matig</v>
      </c>
      <c r="H37" s="2"/>
      <c r="I37" s="1">
        <f>IF(G37="Onvoldoende",$I$26,IF(G37="Matig",$I$25,IF(G37="Neutraal",$I$24,IF(G37="Goed",$I$23,IF(G37="Uitstekend",$I$22,"Geen score")))))</f>
        <v>0.5</v>
      </c>
      <c r="K37">
        <f>I37*$C$22</f>
        <v>54000</v>
      </c>
      <c r="L37">
        <f>F37+K37</f>
        <v>459000</v>
      </c>
      <c r="M37" cm="1">
        <f t="array" ref="M37">1+SUMPRODUCT((L37&gt;$L$36:$L$39)*1)</f>
        <v>2</v>
      </c>
    </row>
    <row r="38" spans="1:13" x14ac:dyDescent="0.2">
      <c r="D38" s="4" t="s">
        <v>1</v>
      </c>
      <c r="E38">
        <f>Q10</f>
        <v>650</v>
      </c>
      <c r="F38">
        <f>S10</f>
        <v>438750</v>
      </c>
      <c r="G38" s="3" t="str">
        <f>P10</f>
        <v>Matig</v>
      </c>
      <c r="H38" s="2"/>
      <c r="I38" s="1">
        <f>IF(G38="Onvoldoende",$I$26,IF(G38="Matig",$I$25,IF(G38="Neutraal",$I$24,IF(G38="Goed",$I$23,IF(G38="Uitstekend",$I$22,"Geen score")))))</f>
        <v>0.5</v>
      </c>
      <c r="K38">
        <f>I38*$C$22</f>
        <v>54000</v>
      </c>
      <c r="L38">
        <f>F38+K38</f>
        <v>492750</v>
      </c>
      <c r="M38" cm="1">
        <f t="array" ref="M38">1+SUMPRODUCT((L38&gt;$L$36:$L$39)*1)</f>
        <v>4</v>
      </c>
    </row>
    <row r="39" spans="1:13" x14ac:dyDescent="0.2">
      <c r="D39" s="4" t="s">
        <v>0</v>
      </c>
      <c r="E39">
        <f>Q12</f>
        <v>750</v>
      </c>
      <c r="F39">
        <f>S12</f>
        <v>506250</v>
      </c>
      <c r="G39" s="3" t="str">
        <f>P12</f>
        <v>Uitstekend</v>
      </c>
      <c r="H39" s="2"/>
      <c r="I39" s="1">
        <f>IF(G39="Onvoldoende",$I$26,IF(G39="Matig",$I$25,IF(G39="Neutraal",$I$24,IF(G39="Goed",$I$23,IF(G39="Uitstekend",$I$22,"Geen score")))))</f>
        <v>-1</v>
      </c>
      <c r="K39">
        <f>I39*$C$22</f>
        <v>-108000</v>
      </c>
      <c r="L39">
        <f>F39+K39</f>
        <v>398250</v>
      </c>
      <c r="M39" cm="1">
        <f t="array" ref="M39">1+SUMPRODUCT((L39&gt;$L$36:$L$39)*1)</f>
        <v>1</v>
      </c>
    </row>
  </sheetData>
  <conditionalFormatting sqref="L13:L16">
    <cfRule type="top10" dxfId="10" priority="1" rank="1"/>
  </conditionalFormatting>
  <conditionalFormatting sqref="L30:L33">
    <cfRule type="top10" dxfId="9" priority="3" bottom="1" rank="1"/>
  </conditionalFormatting>
  <conditionalFormatting sqref="L36:L39">
    <cfRule type="top10" dxfId="8" priority="2" bottom="1" rank="1"/>
  </conditionalFormatting>
  <dataValidations count="1">
    <dataValidation type="list" allowBlank="1" showInputMessage="1" showErrorMessage="1" sqref="P6 P8 P10 P12" xr:uid="{890EC965-CDAE-410E-A838-47EF09215178}">
      <formula1>$I$6:$I$10</formula1>
    </dataValidation>
  </dataValidations>
  <pageMargins left="0.7" right="0.7" top="0.75" bottom="0.75" header="0.3" footer="0.3"/>
  <pageSetup paperSize="9"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B342A-4893-4873-900C-0294B70D68DE}">
  <dimension ref="A1:P29"/>
  <sheetViews>
    <sheetView showGridLines="0" tabSelected="1" zoomScale="80" zoomScaleNormal="80" workbookViewId="0">
      <selection activeCell="B2" sqref="B2:H3"/>
    </sheetView>
  </sheetViews>
  <sheetFormatPr defaultColWidth="11.85546875" defaultRowHeight="15.75" x14ac:dyDescent="0.2"/>
  <cols>
    <col min="1" max="1" width="11.85546875" style="33"/>
    <col min="2" max="2" width="28.140625" style="32" customWidth="1"/>
    <col min="3" max="3" width="32.85546875" style="33" customWidth="1"/>
    <col min="4" max="4" width="15.85546875" style="33" customWidth="1"/>
    <col min="5" max="5" width="15.42578125" style="33" customWidth="1"/>
    <col min="6" max="6" width="24.7109375" style="33" customWidth="1"/>
    <col min="7" max="7" width="20.7109375" style="33" customWidth="1"/>
    <col min="8" max="8" width="32.28515625" style="33" customWidth="1"/>
    <col min="9" max="9" width="13.140625" style="33" bestFit="1" customWidth="1"/>
    <col min="10" max="16384" width="11.85546875" style="33"/>
  </cols>
  <sheetData>
    <row r="1" spans="2:9" ht="36" customHeight="1" x14ac:dyDescent="0.2"/>
    <row r="2" spans="2:9" ht="33.950000000000003" customHeight="1" x14ac:dyDescent="0.2">
      <c r="B2" s="71" t="s">
        <v>53</v>
      </c>
      <c r="C2" s="72"/>
      <c r="D2" s="72"/>
      <c r="E2" s="72"/>
      <c r="F2" s="72"/>
      <c r="G2" s="72"/>
      <c r="H2" s="73"/>
    </row>
    <row r="3" spans="2:9" ht="6" customHeight="1" x14ac:dyDescent="0.2">
      <c r="B3" s="74"/>
      <c r="C3" s="75"/>
      <c r="D3" s="75"/>
      <c r="E3" s="75"/>
      <c r="F3" s="75"/>
      <c r="G3" s="75"/>
      <c r="H3" s="76"/>
    </row>
    <row r="4" spans="2:9" ht="30" customHeight="1" x14ac:dyDescent="0.2">
      <c r="B4" s="34" t="s">
        <v>50</v>
      </c>
      <c r="C4" s="88" t="s">
        <v>72</v>
      </c>
      <c r="D4" s="86"/>
      <c r="E4" s="87"/>
      <c r="F4" s="35"/>
      <c r="G4" s="35"/>
      <c r="H4" s="36"/>
    </row>
    <row r="5" spans="2:9" ht="11.1" customHeight="1" x14ac:dyDescent="0.2">
      <c r="B5" s="37"/>
      <c r="C5" s="38"/>
      <c r="D5" s="38"/>
      <c r="E5" s="38"/>
      <c r="F5" s="39"/>
      <c r="G5" s="39"/>
      <c r="H5" s="39"/>
    </row>
    <row r="6" spans="2:9" ht="15.95" customHeight="1" x14ac:dyDescent="0.25">
      <c r="B6" s="77" t="s">
        <v>71</v>
      </c>
      <c r="C6" s="78"/>
      <c r="D6" s="78"/>
      <c r="E6" s="78"/>
      <c r="F6" s="39"/>
      <c r="G6" s="39"/>
      <c r="H6" s="39"/>
    </row>
    <row r="7" spans="2:9" ht="31.5" x14ac:dyDescent="0.2">
      <c r="B7" s="57" t="s">
        <v>54</v>
      </c>
      <c r="C7" s="58" t="s">
        <v>60</v>
      </c>
      <c r="D7" s="58" t="s">
        <v>61</v>
      </c>
      <c r="E7" s="58" t="s">
        <v>62</v>
      </c>
      <c r="F7" s="57" t="s">
        <v>55</v>
      </c>
      <c r="G7" s="57" t="s">
        <v>51</v>
      </c>
      <c r="H7" s="57" t="s">
        <v>56</v>
      </c>
    </row>
    <row r="8" spans="2:9" x14ac:dyDescent="0.2">
      <c r="B8" s="50">
        <v>500</v>
      </c>
      <c r="C8" s="59" t="s">
        <v>69</v>
      </c>
      <c r="D8" s="61">
        <v>88000</v>
      </c>
      <c r="E8" s="61">
        <v>121000</v>
      </c>
      <c r="F8" s="83"/>
      <c r="G8" s="84"/>
      <c r="H8" s="85"/>
    </row>
    <row r="9" spans="2:9" x14ac:dyDescent="0.2">
      <c r="B9" s="50">
        <v>1</v>
      </c>
      <c r="C9" s="56" t="s">
        <v>70</v>
      </c>
      <c r="D9" s="61">
        <f>D8/B8</f>
        <v>176</v>
      </c>
      <c r="E9" s="61">
        <f>E8/B8</f>
        <v>242</v>
      </c>
      <c r="F9" s="62">
        <v>0</v>
      </c>
      <c r="G9" s="54">
        <f>B8</f>
        <v>500</v>
      </c>
      <c r="H9" s="55">
        <f>SUM(F9*G9)</f>
        <v>0</v>
      </c>
      <c r="I9" s="41"/>
    </row>
    <row r="10" spans="2:9" ht="15.95" customHeight="1" x14ac:dyDescent="0.2">
      <c r="F10" s="79" t="s">
        <v>65</v>
      </c>
      <c r="G10" s="80"/>
      <c r="H10" s="42">
        <f>SUM(H9:H9)</f>
        <v>0</v>
      </c>
    </row>
    <row r="11" spans="2:9" s="44" customFormat="1" ht="15.95" customHeight="1" x14ac:dyDescent="0.2">
      <c r="B11" s="43"/>
      <c r="F11" s="45"/>
      <c r="G11" s="45"/>
      <c r="H11" s="46"/>
    </row>
    <row r="12" spans="2:9" ht="15.95" customHeight="1" x14ac:dyDescent="0.25">
      <c r="B12" s="81" t="s">
        <v>64</v>
      </c>
      <c r="C12" s="82"/>
      <c r="D12" s="82"/>
      <c r="E12" s="82"/>
      <c r="F12" s="39"/>
      <c r="G12" s="39"/>
      <c r="H12" s="39"/>
    </row>
    <row r="13" spans="2:9" ht="31.5" x14ac:dyDescent="0.2">
      <c r="B13" s="49" t="s">
        <v>68</v>
      </c>
      <c r="C13" s="58" t="s">
        <v>60</v>
      </c>
      <c r="D13" s="58" t="s">
        <v>61</v>
      </c>
      <c r="E13" s="58" t="s">
        <v>62</v>
      </c>
      <c r="F13" s="40" t="s">
        <v>63</v>
      </c>
      <c r="G13" s="40" t="s">
        <v>51</v>
      </c>
      <c r="H13" s="40" t="s">
        <v>56</v>
      </c>
    </row>
    <row r="14" spans="2:9" x14ac:dyDescent="0.2">
      <c r="B14" s="60">
        <v>200</v>
      </c>
      <c r="C14" s="56" t="s">
        <v>57</v>
      </c>
      <c r="D14" s="61">
        <v>81</v>
      </c>
      <c r="E14" s="61">
        <v>99</v>
      </c>
      <c r="F14" s="62">
        <v>0</v>
      </c>
      <c r="G14" s="54">
        <f>B14</f>
        <v>200</v>
      </c>
      <c r="H14" s="55">
        <f>SUM(F14*G14)</f>
        <v>0</v>
      </c>
      <c r="I14" s="41"/>
    </row>
    <row r="15" spans="2:9" ht="15.75" customHeight="1" x14ac:dyDescent="0.2">
      <c r="B15" s="60">
        <v>100</v>
      </c>
      <c r="C15" s="56" t="s">
        <v>59</v>
      </c>
      <c r="D15" s="61">
        <v>99</v>
      </c>
      <c r="E15" s="61">
        <v>121</v>
      </c>
      <c r="F15" s="62">
        <v>0</v>
      </c>
      <c r="G15" s="54">
        <f>B15</f>
        <v>100</v>
      </c>
      <c r="H15" s="55">
        <f>SUM(F15*G15)</f>
        <v>0</v>
      </c>
      <c r="I15" s="41"/>
    </row>
    <row r="16" spans="2:9" x14ac:dyDescent="0.2">
      <c r="B16" s="50">
        <v>50</v>
      </c>
      <c r="C16" s="56" t="s">
        <v>58</v>
      </c>
      <c r="D16" s="61">
        <v>112.5</v>
      </c>
      <c r="E16" s="61">
        <v>137.5</v>
      </c>
      <c r="F16" s="62">
        <v>0</v>
      </c>
      <c r="G16" s="54">
        <f>B16</f>
        <v>50</v>
      </c>
      <c r="H16" s="55">
        <f>SUM(F16*G16)</f>
        <v>0</v>
      </c>
      <c r="I16" s="41"/>
    </row>
    <row r="17" spans="1:16" ht="15.95" customHeight="1" x14ac:dyDescent="0.2">
      <c r="F17" s="79" t="s">
        <v>66</v>
      </c>
      <c r="G17" s="80"/>
      <c r="H17" s="42">
        <f>SUM(H14:H16)</f>
        <v>0</v>
      </c>
    </row>
    <row r="18" spans="1:16" ht="15.95" customHeight="1" thickBot="1" x14ac:dyDescent="0.25">
      <c r="F18" s="45"/>
      <c r="G18" s="45"/>
      <c r="H18" s="47"/>
    </row>
    <row r="19" spans="1:16" ht="15.95" customHeight="1" thickBot="1" x14ac:dyDescent="0.25">
      <c r="F19" s="63" t="s">
        <v>67</v>
      </c>
      <c r="G19" s="64"/>
      <c r="H19" s="89">
        <f>H10+H17</f>
        <v>0</v>
      </c>
    </row>
    <row r="21" spans="1:16" ht="20.100000000000001" customHeight="1" x14ac:dyDescent="0.2">
      <c r="B21" s="65" t="s">
        <v>52</v>
      </c>
      <c r="C21" s="66"/>
      <c r="D21" s="66"/>
      <c r="E21" s="66"/>
      <c r="F21" s="67"/>
    </row>
    <row r="22" spans="1:16" ht="188.1" customHeight="1" x14ac:dyDescent="0.2">
      <c r="B22" s="68" t="s">
        <v>73</v>
      </c>
      <c r="C22" s="69"/>
      <c r="D22" s="69"/>
      <c r="E22" s="69"/>
      <c r="F22" s="70"/>
      <c r="I22" s="48"/>
    </row>
    <row r="23" spans="1:16" ht="17.100000000000001" customHeight="1" x14ac:dyDescent="0.2">
      <c r="G23" s="3"/>
    </row>
    <row r="24" spans="1:16" ht="15.75" customHeight="1" x14ac:dyDescent="0.25">
      <c r="A24" s="44"/>
      <c r="C24"/>
      <c r="D24"/>
      <c r="E24"/>
      <c r="F24"/>
      <c r="G24" s="3"/>
      <c r="H24"/>
      <c r="I24"/>
      <c r="J24" s="51"/>
      <c r="K24"/>
      <c r="L24"/>
      <c r="M24"/>
      <c r="N24"/>
      <c r="O24"/>
      <c r="P24"/>
    </row>
    <row r="25" spans="1:16" x14ac:dyDescent="0.25">
      <c r="C25"/>
      <c r="D25"/>
      <c r="E25"/>
      <c r="F25"/>
      <c r="G25"/>
      <c r="H25"/>
      <c r="I25"/>
      <c r="J25" s="51"/>
      <c r="K25"/>
      <c r="L25"/>
      <c r="M25"/>
      <c r="N25"/>
      <c r="O25"/>
      <c r="P25"/>
    </row>
    <row r="26" spans="1:16" x14ac:dyDescent="0.25">
      <c r="C26"/>
      <c r="D26"/>
      <c r="E26"/>
      <c r="F26"/>
      <c r="G26"/>
      <c r="H26"/>
      <c r="I26"/>
      <c r="J26" s="51"/>
      <c r="K26"/>
      <c r="L26"/>
      <c r="M26"/>
      <c r="N26"/>
      <c r="O26"/>
      <c r="P26"/>
    </row>
    <row r="27" spans="1:16" x14ac:dyDescent="0.25">
      <c r="C27"/>
      <c r="D27"/>
      <c r="E27"/>
      <c r="F27"/>
      <c r="G27"/>
      <c r="H27"/>
      <c r="I27"/>
      <c r="J27"/>
      <c r="K27"/>
      <c r="L27"/>
      <c r="M27"/>
      <c r="N27"/>
      <c r="O27"/>
      <c r="P27" s="52"/>
    </row>
    <row r="28" spans="1:16" x14ac:dyDescent="0.2">
      <c r="C28"/>
      <c r="D28"/>
      <c r="E28" s="53"/>
      <c r="F28" s="53"/>
      <c r="G28" s="53"/>
      <c r="H28"/>
      <c r="I28"/>
      <c r="J28"/>
      <c r="K28"/>
      <c r="L28"/>
      <c r="M28"/>
      <c r="N28"/>
      <c r="O28"/>
      <c r="P28"/>
    </row>
    <row r="29" spans="1:16" x14ac:dyDescent="0.2">
      <c r="C29"/>
      <c r="D29"/>
      <c r="E29"/>
      <c r="F29"/>
      <c r="G29"/>
      <c r="H29"/>
      <c r="I29"/>
      <c r="J29"/>
      <c r="K29"/>
      <c r="L29"/>
      <c r="M29"/>
      <c r="N29"/>
      <c r="O29"/>
      <c r="P29"/>
    </row>
  </sheetData>
  <sheetProtection algorithmName="SHA-512" hashValue="YcYEkbzoX/8xE1KSjkzaW4Ka7Vu2EqpNhkPr1b18Kyfh0qXieFHjLR1okTol2ovcLw5fMWZWEYDx8n+HB319Tg==" saltValue="axvlyhvkuF/OLHHQWTFYtw==" spinCount="100000" sheet="1" objects="1" scenarios="1"/>
  <scenarios current="0" sqref="G10">
    <scenario name="A" locked="1" count="1" user="Daniel Douma" comment="Gemaakt door Daniel Douma op 28-05-2019_x000a_Gewijzigd door Daniel Douma op 28-05-2019">
      <inputCells r="F9" val="3400" numFmtId="165"/>
    </scenario>
    <scenario name="B" locked="1" count="1" user="Daniel Douma" comment="Gemaakt door Daniel Douma op 28-05-2019">
      <inputCells r="F9" val="3500" numFmtId="165"/>
    </scenario>
    <scenario name="C" locked="1" count="1" user="Daniel Douma" comment="Gemaakt door Daniel Douma op 28-05-2019">
      <inputCells r="F9" val="3600" numFmtId="165"/>
    </scenario>
    <scenario name="D" locked="1" count="1" user="Daniel Douma" comment="Gemaakt door Daniel Douma op 28-05-2019">
      <inputCells r="F9" val="3700" numFmtId="165"/>
    </scenario>
  </scenarios>
  <mergeCells count="10">
    <mergeCell ref="F19:G19"/>
    <mergeCell ref="B21:F21"/>
    <mergeCell ref="B22:F22"/>
    <mergeCell ref="B2:H3"/>
    <mergeCell ref="C4:E4"/>
    <mergeCell ref="B6:E6"/>
    <mergeCell ref="F10:G10"/>
    <mergeCell ref="B12:E12"/>
    <mergeCell ref="F17:G17"/>
    <mergeCell ref="F8:H8"/>
  </mergeCells>
  <conditionalFormatting sqref="F9">
    <cfRule type="cellIs" dxfId="7" priority="7" operator="lessThan">
      <formula>$D$9</formula>
    </cfRule>
    <cfRule type="cellIs" dxfId="6" priority="8" operator="greaterThan">
      <formula>$E$9</formula>
    </cfRule>
  </conditionalFormatting>
  <conditionalFormatting sqref="F14">
    <cfRule type="cellIs" dxfId="5" priority="5" operator="lessThan">
      <formula>$D$14</formula>
    </cfRule>
    <cfRule type="cellIs" dxfId="4" priority="6" operator="greaterThan">
      <formula>$E$14</formula>
    </cfRule>
  </conditionalFormatting>
  <conditionalFormatting sqref="F15">
    <cfRule type="cellIs" dxfId="3" priority="3" operator="lessThan">
      <formula>$D$15</formula>
    </cfRule>
    <cfRule type="cellIs" dxfId="2" priority="4" operator="greaterThan">
      <formula>$E$15</formula>
    </cfRule>
  </conditionalFormatting>
  <conditionalFormatting sqref="F16">
    <cfRule type="cellIs" dxfId="1" priority="1" operator="lessThan">
      <formula>$D$16</formula>
    </cfRule>
    <cfRule type="cellIs" dxfId="0" priority="2" operator="greaterThan">
      <formula>$E$16</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8331aa8-2685-48ec-b51a-43c17d92fbdb" xsi:nil="true"/>
    <lcf76f155ced4ddcb4097134ff3c332f xmlns="2b4e4c0d-ffee-4029-b076-54b2090d06e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03052CE0037B1418304980BBD092DAE" ma:contentTypeVersion="10" ma:contentTypeDescription="Een nieuw document maken." ma:contentTypeScope="" ma:versionID="130b674c38dd0623c529f52320f7e052">
  <xsd:schema xmlns:xsd="http://www.w3.org/2001/XMLSchema" xmlns:xs="http://www.w3.org/2001/XMLSchema" xmlns:p="http://schemas.microsoft.com/office/2006/metadata/properties" xmlns:ns2="2b4e4c0d-ffee-4029-b076-54b2090d06e0" xmlns:ns3="f8331aa8-2685-48ec-b51a-43c17d92fbdb" targetNamespace="http://schemas.microsoft.com/office/2006/metadata/properties" ma:root="true" ma:fieldsID="49555b52e964b25d821be5593acf721f" ns2:_="" ns3:_="">
    <xsd:import namespace="2b4e4c0d-ffee-4029-b076-54b2090d06e0"/>
    <xsd:import namespace="f8331aa8-2685-48ec-b51a-43c17d92fbd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4e4c0d-ffee-4029-b076-54b2090d06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26632a7d-5597-4242-8b19-a17233388435"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8331aa8-2685-48ec-b51a-43c17d92fbd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aeae4bb-2af2-4a31-bb98-bc038b9501cd}" ma:internalName="TaxCatchAll" ma:showField="CatchAllData" ma:web="f8331aa8-2685-48ec-b51a-43c17d92fb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8B802C-0923-408C-8779-0DC9836E9BB3}">
  <ds:schemaRefs>
    <ds:schemaRef ds:uri="http://schemas.microsoft.com/sharepoint/v3/contenttype/forms"/>
  </ds:schemaRefs>
</ds:datastoreItem>
</file>

<file path=customXml/itemProps2.xml><?xml version="1.0" encoding="utf-8"?>
<ds:datastoreItem xmlns:ds="http://schemas.openxmlformats.org/officeDocument/2006/customXml" ds:itemID="{8C93A03B-F871-4E85-961A-6540847D52D0}">
  <ds:schemaRefs>
    <ds:schemaRef ds:uri="http://purl.org/dc/terms/"/>
    <ds:schemaRef ds:uri="http://schemas.microsoft.com/office/2006/documentManagement/types"/>
    <ds:schemaRef ds:uri="http://purl.org/dc/dcmitype/"/>
    <ds:schemaRef ds:uri="2b4e4c0d-ffee-4029-b076-54b2090d06e0"/>
    <ds:schemaRef ds:uri="http://schemas.openxmlformats.org/package/2006/metadata/core-properties"/>
    <ds:schemaRef ds:uri="http://purl.org/dc/elements/1.1/"/>
    <ds:schemaRef ds:uri="http://schemas.microsoft.com/office/infopath/2007/PartnerControls"/>
    <ds:schemaRef ds:uri="f8331aa8-2685-48ec-b51a-43c17d92fbdb"/>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FF5D524F-EF88-464E-B424-507B0F034E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4e4c0d-ffee-4029-b076-54b2090d06e0"/>
    <ds:schemaRef ds:uri="f8331aa8-2685-48ec-b51a-43c17d92fb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3</vt:i4>
      </vt:variant>
    </vt:vector>
  </HeadingPairs>
  <TitlesOfParts>
    <vt:vector size="3" baseType="lpstr">
      <vt:lpstr>rekenvoorbeelden gunningsmethod</vt:lpstr>
      <vt:lpstr>GOW prijsmodel HW - NB2024</vt:lpstr>
      <vt:lpstr>Invulformulier B - Prijs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Wijnen, LM (ink)</dc:creator>
  <cp:lastModifiedBy>Lourens Wijnen</cp:lastModifiedBy>
  <dcterms:created xsi:type="dcterms:W3CDTF">2024-10-14T07:47:57Z</dcterms:created>
  <dcterms:modified xsi:type="dcterms:W3CDTF">2025-11-11T11:05:47Z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0x010100603052CE0037B1418304980BBD092DAE</vt:lpwstr>
  </property>
</Properties>
</file>